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S:\Western Region\2000 Western Region Office\WUTC\WUTC-Vashon  2132\Dump Fee\DF Increase 1-1-2024\"/>
    </mc:Choice>
  </mc:AlternateContent>
  <xr:revisionPtr revIDLastSave="0" documentId="13_ncr:1_{1A0BD40D-8354-456A-8810-E39D40E32E92}" xr6:coauthVersionLast="47" xr6:coauthVersionMax="47" xr10:uidLastSave="{00000000-0000-0000-0000-000000000000}"/>
  <bookViews>
    <workbookView xWindow="-120" yWindow="-120" windowWidth="29040" windowHeight="15840" activeTab="4" xr2:uid="{F73BF529-EE96-4A8A-8F70-F77C6D322523}"/>
  </bookViews>
  <sheets>
    <sheet name="References" sheetId="6" r:id="rId1"/>
    <sheet name="DF Calculation" sheetId="7" r:id="rId2"/>
    <sheet name="Proposed Rates" sheetId="8" r:id="rId3"/>
    <sheet name="Vashon Price Out TG220857" sheetId="10" r:id="rId4"/>
    <sheet name="Vashon Disposal TG220857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A" localSheetId="3">#REF!</definedName>
    <definedName name="\A">#REF!</definedName>
    <definedName name="\c">'[1]10200'!$IU$8196</definedName>
    <definedName name="\D" localSheetId="4">#REF!</definedName>
    <definedName name="\D" localSheetId="3">#REF!</definedName>
    <definedName name="\D">#REF!</definedName>
    <definedName name="\E">'[2]#REF'!$AD$4</definedName>
    <definedName name="\R">'[2]#REF'!$AD$8</definedName>
    <definedName name="\S" localSheetId="3">#REF!</definedName>
    <definedName name="\S">#REF!</definedName>
    <definedName name="\Y">#REF!</definedName>
    <definedName name="\z">#REF!</definedName>
    <definedName name="______________CYA1">[3]Hidden!$N$11</definedName>
    <definedName name="______________CYA10">[3]Hidden!$E$11</definedName>
    <definedName name="______________CYA11">[3]Hidden!$P$11</definedName>
    <definedName name="______________CYA2">[3]Hidden!$M$11</definedName>
    <definedName name="______________CYA3">[3]Hidden!$L$11</definedName>
    <definedName name="______________CYA4">[3]Hidden!$K$11</definedName>
    <definedName name="______________CYA5">[3]Hidden!$J$11</definedName>
    <definedName name="______________CYA6">[3]Hidden!$I$11</definedName>
    <definedName name="______________CYA7">[3]Hidden!$H$11</definedName>
    <definedName name="______________CYA8">[3]Hidden!$G$11</definedName>
    <definedName name="______________CYA9">[3]Hidden!$F$11</definedName>
    <definedName name="______________LYA12">[3]Hidden!$O$11</definedName>
    <definedName name="_____________CYA1">[3]Hidden!$N$11</definedName>
    <definedName name="_____________CYA10">[3]Hidden!$E$11</definedName>
    <definedName name="_____________CYA11">[3]Hidden!$P$11</definedName>
    <definedName name="_____________CYA2">[3]Hidden!$M$11</definedName>
    <definedName name="_____________CYA3">[3]Hidden!$L$11</definedName>
    <definedName name="_____________CYA4">[3]Hidden!$K$11</definedName>
    <definedName name="_____________CYA5">[3]Hidden!$J$11</definedName>
    <definedName name="_____________CYA6">[3]Hidden!$I$11</definedName>
    <definedName name="_____________CYA7">[3]Hidden!$H$11</definedName>
    <definedName name="_____________CYA8">[3]Hidden!$G$11</definedName>
    <definedName name="_____________CYA9">[3]Hidden!$F$11</definedName>
    <definedName name="_____________LYA12">[3]Hidden!$O$11</definedName>
    <definedName name="____________CYA1">[3]Hidden!$N$11</definedName>
    <definedName name="____________CYA10">[3]Hidden!$E$11</definedName>
    <definedName name="____________CYA11">[3]Hidden!$P$11</definedName>
    <definedName name="____________CYA2">[3]Hidden!$M$11</definedName>
    <definedName name="____________CYA3">[3]Hidden!$L$11</definedName>
    <definedName name="____________CYA4">[3]Hidden!$K$11</definedName>
    <definedName name="____________CYA5">[3]Hidden!$J$11</definedName>
    <definedName name="____________CYA6">[3]Hidden!$I$11</definedName>
    <definedName name="____________CYA7">[3]Hidden!$H$11</definedName>
    <definedName name="____________CYA8">[3]Hidden!$G$11</definedName>
    <definedName name="____________CYA9">[3]Hidden!$F$11</definedName>
    <definedName name="____________LYA12">[3]Hidden!$O$11</definedName>
    <definedName name="___________CYA1">[3]Hidden!$N$11</definedName>
    <definedName name="___________CYA10">[3]Hidden!$E$11</definedName>
    <definedName name="___________CYA11">[3]Hidden!$P$11</definedName>
    <definedName name="___________CYA2">[3]Hidden!$M$11</definedName>
    <definedName name="___________CYA3">[3]Hidden!$L$11</definedName>
    <definedName name="___________CYA4">[3]Hidden!$K$11</definedName>
    <definedName name="___________CYA5">[3]Hidden!$J$11</definedName>
    <definedName name="___________CYA6">[3]Hidden!$I$11</definedName>
    <definedName name="___________CYA7">[3]Hidden!$H$11</definedName>
    <definedName name="___________CYA8">[3]Hidden!$G$11</definedName>
    <definedName name="___________CYA9">[3]Hidden!$F$11</definedName>
    <definedName name="___________LYA12">[3]Hidden!$O$11</definedName>
    <definedName name="__________CYA1">[3]Hidden!$N$11</definedName>
    <definedName name="__________CYA10">[3]Hidden!$E$11</definedName>
    <definedName name="__________CYA11">[3]Hidden!$P$11</definedName>
    <definedName name="__________CYA2">[3]Hidden!$M$11</definedName>
    <definedName name="__________CYA3">[3]Hidden!$L$11</definedName>
    <definedName name="__________CYA4">[3]Hidden!$K$11</definedName>
    <definedName name="__________CYA5">[3]Hidden!$J$11</definedName>
    <definedName name="__________CYA6">[3]Hidden!$I$11</definedName>
    <definedName name="__________CYA7">[3]Hidden!$H$11</definedName>
    <definedName name="__________CYA8">[3]Hidden!$G$11</definedName>
    <definedName name="__________CYA9">[3]Hidden!$F$11</definedName>
    <definedName name="__________LYA12">[3]Hidden!$O$11</definedName>
    <definedName name="_________CYA1">[3]Hidden!$N$11</definedName>
    <definedName name="_________CYA10">[3]Hidden!$E$11</definedName>
    <definedName name="_________CYA11">[3]Hidden!$P$11</definedName>
    <definedName name="_________CYA2">[3]Hidden!$M$11</definedName>
    <definedName name="_________CYA3">[3]Hidden!$L$11</definedName>
    <definedName name="_________CYA4">[3]Hidden!$K$11</definedName>
    <definedName name="_________CYA5">[3]Hidden!$J$11</definedName>
    <definedName name="_________CYA6">[3]Hidden!$I$11</definedName>
    <definedName name="_________CYA7">[3]Hidden!$H$11</definedName>
    <definedName name="_________CYA8">[3]Hidden!$G$11</definedName>
    <definedName name="_________CYA9">[3]Hidden!$F$11</definedName>
    <definedName name="_________LYA12">[3]Hidden!$O$11</definedName>
    <definedName name="________CYA1">[3]Hidden!$N$11</definedName>
    <definedName name="________CYA10">[3]Hidden!$E$11</definedName>
    <definedName name="________CYA11">[3]Hidden!$P$11</definedName>
    <definedName name="________CYA2">[3]Hidden!$M$11</definedName>
    <definedName name="________CYA3">[3]Hidden!$L$11</definedName>
    <definedName name="________CYA4">[3]Hidden!$K$11</definedName>
    <definedName name="________CYA5">[3]Hidden!$J$11</definedName>
    <definedName name="________CYA6">[3]Hidden!$I$11</definedName>
    <definedName name="________CYA7">[3]Hidden!$H$11</definedName>
    <definedName name="________CYA8">[3]Hidden!$G$11</definedName>
    <definedName name="________CYA9">[3]Hidden!$F$11</definedName>
    <definedName name="________LYA12">[3]Hidden!$O$11</definedName>
    <definedName name="_______CYA1">[3]Hidden!$N$11</definedName>
    <definedName name="_______CYA10">[3]Hidden!$E$11</definedName>
    <definedName name="_______CYA11">[3]Hidden!$P$11</definedName>
    <definedName name="_______CYA2">[3]Hidden!$M$11</definedName>
    <definedName name="_______CYA3">[3]Hidden!$L$11</definedName>
    <definedName name="_______CYA4">[3]Hidden!$K$11</definedName>
    <definedName name="_______CYA5">[3]Hidden!$J$11</definedName>
    <definedName name="_______CYA6">[3]Hidden!$I$11</definedName>
    <definedName name="_______CYA7">[3]Hidden!$H$11</definedName>
    <definedName name="_______CYA8">[3]Hidden!$G$11</definedName>
    <definedName name="_______CYA9">[3]Hidden!$F$11</definedName>
    <definedName name="_______LYA12">[3]Hidden!$O$11</definedName>
    <definedName name="______ACT1">[4]Hidden!#REF!</definedName>
    <definedName name="______ACT2">[4]Hidden!#REF!</definedName>
    <definedName name="______ACT3">[4]Hidden!#REF!</definedName>
    <definedName name="______CYA1">[3]Hidden!$N$11</definedName>
    <definedName name="______CYA10">[3]Hidden!$E$11</definedName>
    <definedName name="______CYA11">[3]Hidden!$P$11</definedName>
    <definedName name="______CYA2">[3]Hidden!$M$11</definedName>
    <definedName name="______CYA3">[3]Hidden!$L$11</definedName>
    <definedName name="______CYA4">[3]Hidden!$K$11</definedName>
    <definedName name="______CYA5">[3]Hidden!$J$11</definedName>
    <definedName name="______CYA6">[3]Hidden!$I$11</definedName>
    <definedName name="______CYA7">[3]Hidden!$H$11</definedName>
    <definedName name="______CYA8">[3]Hidden!$G$11</definedName>
    <definedName name="______CYA9">[3]Hidden!$F$11</definedName>
    <definedName name="______LYA12">[3]Hidden!$O$11</definedName>
    <definedName name="_____ACT1">[4]Hidden!#REF!</definedName>
    <definedName name="_____ACT2">[4]Hidden!#REF!</definedName>
    <definedName name="_____ACT3">[4]Hidden!#REF!</definedName>
    <definedName name="_____CYA1">[3]Hidden!$N$11</definedName>
    <definedName name="_____CYA10">[3]Hidden!$E$11</definedName>
    <definedName name="_____CYA11">[3]Hidden!$P$11</definedName>
    <definedName name="_____CYA2">[3]Hidden!$M$11</definedName>
    <definedName name="_____CYA3">[3]Hidden!$L$11</definedName>
    <definedName name="_____CYA4">[3]Hidden!$K$11</definedName>
    <definedName name="_____CYA5">[3]Hidden!$J$11</definedName>
    <definedName name="_____CYA6">[3]Hidden!$I$11</definedName>
    <definedName name="_____CYA7">[3]Hidden!$H$11</definedName>
    <definedName name="_____CYA8">[3]Hidden!$G$11</definedName>
    <definedName name="_____CYA9">[3]Hidden!$F$11</definedName>
    <definedName name="_____LYA12">[3]Hidden!$O$11</definedName>
    <definedName name="____ACT1">[4]Hidden!#REF!</definedName>
    <definedName name="____ACT2">[4]Hidden!#REF!</definedName>
    <definedName name="____ACT3">[4]Hidden!#REF!</definedName>
    <definedName name="____CYA1">[3]Hidden!$N$11</definedName>
    <definedName name="____CYA10">[3]Hidden!$E$11</definedName>
    <definedName name="____CYA11">[3]Hidden!$P$11</definedName>
    <definedName name="____CYA2">[3]Hidden!$M$11</definedName>
    <definedName name="____CYA3">[3]Hidden!$L$11</definedName>
    <definedName name="____CYA4">[3]Hidden!$K$11</definedName>
    <definedName name="____CYA5">[3]Hidden!$J$11</definedName>
    <definedName name="____CYA6">[3]Hidden!$I$11</definedName>
    <definedName name="____CYA7">[3]Hidden!$H$11</definedName>
    <definedName name="____CYA8">[3]Hidden!$G$11</definedName>
    <definedName name="____CYA9">[3]Hidden!$F$11</definedName>
    <definedName name="____LYA12">[3]Hidden!$O$11</definedName>
    <definedName name="___ACT1">[4]Hidden!#REF!</definedName>
    <definedName name="___ACT2">[4]Hidden!#REF!</definedName>
    <definedName name="___ACT3">[4]Hidden!#REF!</definedName>
    <definedName name="___CYA1">[3]Hidden!$N$11</definedName>
    <definedName name="___CYA10">[3]Hidden!$E$11</definedName>
    <definedName name="___CYA11">[3]Hidden!$P$11</definedName>
    <definedName name="___CYA2">[3]Hidden!$M$11</definedName>
    <definedName name="___CYA3">[3]Hidden!$L$11</definedName>
    <definedName name="___CYA4">[3]Hidden!$K$11</definedName>
    <definedName name="___CYA5">[3]Hidden!$J$11</definedName>
    <definedName name="___CYA6">[3]Hidden!$I$11</definedName>
    <definedName name="___CYA7">[3]Hidden!$H$11</definedName>
    <definedName name="___CYA8">[3]Hidden!$G$11</definedName>
    <definedName name="___CYA9">[3]Hidden!$F$11</definedName>
    <definedName name="___LYA12">[3]Hidden!$O$11</definedName>
    <definedName name="__ACT1" localSheetId="3">[5]Hidden!#REF!</definedName>
    <definedName name="__ACT1">[5]Hidden!#REF!</definedName>
    <definedName name="__ACT2" localSheetId="3">[5]Hidden!#REF!</definedName>
    <definedName name="__ACT2">[5]Hidden!#REF!</definedName>
    <definedName name="__ACT3" localSheetId="3">[5]Hidden!#REF!</definedName>
    <definedName name="__ACT3">[5]Hidden!#REF!</definedName>
    <definedName name="__CYA1">[3]Hidden!$N$11</definedName>
    <definedName name="__CYA10">[3]Hidden!$E$11</definedName>
    <definedName name="__CYA11">[3]Hidden!$P$11</definedName>
    <definedName name="__CYA2">[3]Hidden!$M$11</definedName>
    <definedName name="__CYA3">[3]Hidden!$L$11</definedName>
    <definedName name="__CYA4">[3]Hidden!$K$11</definedName>
    <definedName name="__CYA5">[3]Hidden!$J$11</definedName>
    <definedName name="__CYA6">[3]Hidden!$I$11</definedName>
    <definedName name="__CYA7">[3]Hidden!$H$11</definedName>
    <definedName name="__CYA8">[3]Hidden!$G$11</definedName>
    <definedName name="__CYA9">[3]Hidden!$F$11</definedName>
    <definedName name="__LYA1">[6]Hidden!$P$11</definedName>
    <definedName name="__LYA10">[6]Hidden!$G$11</definedName>
    <definedName name="__LYA11">[6]Hidden!$F$11</definedName>
    <definedName name="__LYA12">[3]Hidden!$O$11</definedName>
    <definedName name="__LYA2">[6]Hidden!$O$11</definedName>
    <definedName name="__LYA3">[6]Hidden!$N$11</definedName>
    <definedName name="__LYA4">[6]Hidden!$M$11</definedName>
    <definedName name="__LYA5">[6]Hidden!$L$11</definedName>
    <definedName name="__LYA6">[6]Hidden!$K$11</definedName>
    <definedName name="__LYA7">[6]Hidden!$J$11</definedName>
    <definedName name="__LYA8">[6]Hidden!$I$11</definedName>
    <definedName name="__LYA9">[6]Hidden!$H$11</definedName>
    <definedName name="_123Graph_g" hidden="1">'[2]#REF'!$F$9:$F$83</definedName>
    <definedName name="_13054">'[7]10800-10899'!#REF!</definedName>
    <definedName name="_132" hidden="1">[1]XXXXXX!$B$10:$B$10</definedName>
    <definedName name="_132Graph_h" localSheetId="4" hidden="1">#REF!</definedName>
    <definedName name="_132Graph_h" localSheetId="3" hidden="1">#REF!</definedName>
    <definedName name="_132Graph_h" hidden="1">#REF!</definedName>
    <definedName name="_ACT1" localSheetId="4">[8]Hidden!#REF!</definedName>
    <definedName name="_ACT1" localSheetId="3">[8]Hidden!#REF!</definedName>
    <definedName name="_ACT1">[8]Hidden!#REF!</definedName>
    <definedName name="_ACT2" localSheetId="4">[8]Hidden!#REF!</definedName>
    <definedName name="_ACT2" localSheetId="3">[8]Hidden!#REF!</definedName>
    <definedName name="_ACT2">[8]Hidden!#REF!</definedName>
    <definedName name="_ACT3">[8]Hidden!#REF!</definedName>
    <definedName name="_ACT4">[4]Hidden!#REF!</definedName>
    <definedName name="_BUN1">'[9]2008 West Group IS'!$AJ$5</definedName>
    <definedName name="_BUN3">'[9]2008 Group Office IS'!$AJ$5</definedName>
    <definedName name="_COS1" localSheetId="4">#REF!</definedName>
    <definedName name="_COS1" localSheetId="3">#REF!</definedName>
    <definedName name="_COS1">#REF!</definedName>
    <definedName name="_COS2" localSheetId="4">#REF!</definedName>
    <definedName name="_COS2" localSheetId="3">#REF!</definedName>
    <definedName name="_COS2">#REF!</definedName>
    <definedName name="_CYA1">[3]Hidden!$N$11</definedName>
    <definedName name="_CYA10">[3]Hidden!$E$11</definedName>
    <definedName name="_CYA11">[3]Hidden!$P$11</definedName>
    <definedName name="_CYA2">[3]Hidden!$M$11</definedName>
    <definedName name="_CYA3">[3]Hidden!$L$11</definedName>
    <definedName name="_CYA4">[3]Hidden!$K$11</definedName>
    <definedName name="_CYA5">[3]Hidden!$J$11</definedName>
    <definedName name="_CYA6">[3]Hidden!$I$11</definedName>
    <definedName name="_CYA7">[3]Hidden!$H$11</definedName>
    <definedName name="_CYA8">[3]Hidden!$G$11</definedName>
    <definedName name="_CYA9">[3]Hidden!$F$11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3" hidden="1">'Vashon Price Out TG220857'!$B$6:$AP$159</definedName>
    <definedName name="_Key1" localSheetId="3" hidden="1">#REF!</definedName>
    <definedName name="_Key1" hidden="1">#REF!</definedName>
    <definedName name="_Key2" hidden="1">'[2]#REF'!$D$12</definedName>
    <definedName name="_key5" hidden="1">[1]XXXXXX!$H$10</definedName>
    <definedName name="_LYA1">[6]Hidden!$P$11</definedName>
    <definedName name="_LYA10">[6]Hidden!$G$11</definedName>
    <definedName name="_LYA11">[6]Hidden!$F$11</definedName>
    <definedName name="_LYA12">[3]Hidden!$O$11</definedName>
    <definedName name="_LYA2">[6]Hidden!$O$11</definedName>
    <definedName name="_LYA3">[6]Hidden!$N$11</definedName>
    <definedName name="_LYA4">[6]Hidden!$M$11</definedName>
    <definedName name="_LYA5">[6]Hidden!$L$11</definedName>
    <definedName name="_LYA6">[6]Hidden!$K$11</definedName>
    <definedName name="_LYA7">[6]Hidden!$J$11</definedName>
    <definedName name="_LYA8">[6]Hidden!$I$11</definedName>
    <definedName name="_LYA9">[6]Hidden!$H$11</definedName>
    <definedName name="_max" localSheetId="4" hidden="1">#REF!</definedName>
    <definedName name="_max" localSheetId="3" hidden="1">#REF!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[9]WTB!$DC$8</definedName>
    <definedName name="_PER2">'[9]2008 West Group IS'!$AH$8</definedName>
    <definedName name="_PER3">'[9]2008 West Group IS'!$AI$5</definedName>
    <definedName name="_PER4">'[9]2008 Group Office IS'!$AH$8</definedName>
    <definedName name="_PER5">'[9]2008 Group Office IS'!$AI$5</definedName>
    <definedName name="_Regression_Int">0</definedName>
    <definedName name="_SFD1">'[9]2008 West Group IS'!$AK$5</definedName>
    <definedName name="_SFD3">'[9]2008 Group Office IS'!$AK$5</definedName>
    <definedName name="_SFV1">'[9]2008 West Group IS'!$AK$4</definedName>
    <definedName name="_SFV4">'[9]2008 Group Office IS'!$AK$4</definedName>
    <definedName name="_Sort" localSheetId="3" hidden="1">#REF!</definedName>
    <definedName name="_Sort" hidden="1">#REF!</definedName>
    <definedName name="_Sort1" hidden="1">'[2]#REF'!$A$10:$Z$281</definedName>
    <definedName name="_sort3" hidden="1">[1]XXXXXX!$G$10:$J$11</definedName>
    <definedName name="a" localSheetId="4">#REF!</definedName>
    <definedName name="a" localSheetId="3">#REF!</definedName>
    <definedName name="a">#REF!</definedName>
    <definedName name="aaaaaaa" localSheetId="4">rank</definedName>
    <definedName name="aaaaaaa" localSheetId="3">rank</definedName>
    <definedName name="aaaaaaa">rank</definedName>
    <definedName name="Accounts" localSheetId="4">#REF!</definedName>
    <definedName name="Accounts" localSheetId="3">#REF!</definedName>
    <definedName name="Accounts">#REF!</definedName>
    <definedName name="ACCT" localSheetId="4">[8]Hidden!#REF!</definedName>
    <definedName name="ACCT" localSheetId="3">[8]Hidden!#REF!</definedName>
    <definedName name="ACCT">[8]Hidden!#REF!</definedName>
    <definedName name="ACCT.ConsolSum">[3]Hidden!$Q$11</definedName>
    <definedName name="AcctName">'[10]2012 Act-Fcast P&amp;L'!#REF!</definedName>
    <definedName name="ACT_CUR" localSheetId="4">[8]Hidden!#REF!</definedName>
    <definedName name="ACT_CUR" localSheetId="3">[8]Hidden!#REF!</definedName>
    <definedName name="ACT_CUR">[8]Hidden!#REF!</definedName>
    <definedName name="ACT_YTD" localSheetId="4">[8]Hidden!#REF!</definedName>
    <definedName name="ACT_YTD" localSheetId="3">[8]Hidden!#REF!</definedName>
    <definedName name="ACT_YTD">[8]Hidden!#REF!</definedName>
    <definedName name="AD">'[1]ACC DEP 12XXX'!$A$4:$L$22</definedName>
    <definedName name="adfd" localSheetId="4">rank</definedName>
    <definedName name="adfd" localSheetId="3">rank</definedName>
    <definedName name="adfd">rank</definedName>
    <definedName name="ADK">'[1]10250_Recy Chkg'!$D$27</definedName>
    <definedName name="afsdfsdfsd" localSheetId="4">#REF!</definedName>
    <definedName name="afsdfsdfsd" localSheetId="3">#REF!</definedName>
    <definedName name="afsdfsdfsd">#REF!</definedName>
    <definedName name="AmountCount">#REF!</definedName>
    <definedName name="AmountCount1">#REF!</definedName>
    <definedName name="AmountFrom">#REF!</definedName>
    <definedName name="AmountTo">#REF!</definedName>
    <definedName name="AmountTotal">#REF!</definedName>
    <definedName name="AmountTotal1">#REF!</definedName>
    <definedName name="AOK">#REF!</definedName>
    <definedName name="APA">'[11]Income Statement (WMofWA)'!#REF!</definedName>
    <definedName name="APN">'[11]Income Statement (WMofWA)'!#REF!</definedName>
    <definedName name="ASD">'[11]Income Statement (WMofWA)'!#REF!</definedName>
    <definedName name="AST">'[11]Income Statement (WMofWA)'!#REF!</definedName>
    <definedName name="BaseMonthDate">[12]Settings!$I$15</definedName>
    <definedName name="BaseMonthDate2">[12]Settings!$I$16</definedName>
    <definedName name="BaseMonthDate3">[12]Settings!$I$17</definedName>
    <definedName name="BaseYear" localSheetId="3">#REF!</definedName>
    <definedName name="BaseYear">#REF!</definedName>
    <definedName name="BEGCELL" localSheetId="3">#REF!</definedName>
    <definedName name="BEGCELL">#REF!</definedName>
    <definedName name="begin" localSheetId="3">#REF!</definedName>
    <definedName name="begin">#REF!</definedName>
    <definedName name="BookRev">'[13]Pacific Regulated - Price Out'!$F$50</definedName>
    <definedName name="BookRev_com">'[13]Pacific Regulated - Price Out'!$F$214</definedName>
    <definedName name="BookRev_mfr">'[13]Pacific Regulated - Price Out'!$F$222</definedName>
    <definedName name="BookRev_ro">'[13]Pacific Regulated - Price Out'!$F$282</definedName>
    <definedName name="BookRev_rr">'[13]Pacific Regulated - Price Out'!$F$59</definedName>
    <definedName name="BookRev_yw">'[13]Pacific Regulated - Price Out'!$F$70</definedName>
    <definedName name="BREMAIR_COST_of_SERVICE_STUDY" localSheetId="4">#REF!</definedName>
    <definedName name="BREMAIR_COST_of_SERVICE_STUDY" localSheetId="3">#REF!</definedName>
    <definedName name="BREMAIR_COST_of_SERVICE_STUDY">#REF!</definedName>
    <definedName name="Brokerage">'[14]Finance Charges'!$H$8</definedName>
    <definedName name="BUD_CUR" localSheetId="4">[8]Hidden!#REF!</definedName>
    <definedName name="BUD_CUR" localSheetId="3">[8]Hidden!#REF!</definedName>
    <definedName name="BUD_CUR">[8]Hidden!#REF!</definedName>
    <definedName name="BUD_YTD" localSheetId="4">[8]Hidden!#REF!</definedName>
    <definedName name="BUD_YTD" localSheetId="3">[8]Hidden!#REF!</definedName>
    <definedName name="BUD_YTD">[8]Hidden!#REF!</definedName>
    <definedName name="BUN">[9]WTB!$DD$5</definedName>
    <definedName name="BusUnitCode">[12]Settings!$I$3</definedName>
    <definedName name="BusUnitName">[12]Settings!$I$4</definedName>
    <definedName name="BUV">'[11]Income Statement (WMofWA)'!#REF!</definedName>
    <definedName name="Calc">[9]WTB!#REF!</definedName>
    <definedName name="Calc0">[9]WTB!#REF!</definedName>
    <definedName name="Calc1">[9]WTB!#REF!</definedName>
    <definedName name="Calc10">[9]WTB!#REF!</definedName>
    <definedName name="Calc11">[9]WTB!#REF!</definedName>
    <definedName name="Calc12">[9]WTB!#REF!</definedName>
    <definedName name="Calc13">[9]WTB!#REF!</definedName>
    <definedName name="Calc14">[9]WTB!#REF!</definedName>
    <definedName name="Calc15">[9]WTB!#REF!</definedName>
    <definedName name="Calc16">[9]WTB!#REF!</definedName>
    <definedName name="Calc17">[9]WTB!#REF!</definedName>
    <definedName name="Calc18">[9]WTB!#REF!</definedName>
    <definedName name="Calc2">[9]WTB!#REF!</definedName>
    <definedName name="Calc3">[9]WTB!#REF!</definedName>
    <definedName name="Calc4">[9]WTB!#REF!</definedName>
    <definedName name="Calc5">[9]WTB!#REF!</definedName>
    <definedName name="Calc6">[9]WTB!#REF!</definedName>
    <definedName name="Calc7">[9]WTB!#REF!</definedName>
    <definedName name="Calc8">[9]WTB!#REF!</definedName>
    <definedName name="Calc9">[9]WTB!#REF!</definedName>
    <definedName name="CalRecyTons">'[15]Recycl Tons, Commodity Value'!$L$23</definedName>
    <definedName name="CanCartTons">[16]CanCartTonsAllocate!$E$3</definedName>
    <definedName name="CheckTotals" localSheetId="4">#REF!</definedName>
    <definedName name="CheckTotals" localSheetId="3">#REF!</definedName>
    <definedName name="CheckTotals">#REF!</definedName>
    <definedName name="clear">#REF!</definedName>
    <definedName name="CoCanTons">[17]Cust_Count1!$M$28</definedName>
    <definedName name="CoComYd">'[17]Gross Yardage Worksheet'!$L$16</definedName>
    <definedName name="CoCustCnt" localSheetId="3">#REF!</definedName>
    <definedName name="CoCustCnt">#REF!</definedName>
    <definedName name="colgroup">[3]Orientation!$G$6</definedName>
    <definedName name="colsegment">[3]Orientation!$F$6</definedName>
    <definedName name="Comments">[18]Main!$K$57:INDEX([18]Main!$K$57:$K$59,SUMPRODUCT(--([18]Main!$K$57:$K$59&lt;&gt;"")))</definedName>
    <definedName name="CommlStaffPriceOut" localSheetId="4">'[19]Price Out-Reg EASTSIDE-Resi'!#REF!</definedName>
    <definedName name="CommlStaffPriceOut" localSheetId="3">'[19]Price Out-Reg EASTSIDE-Resi'!#REF!</definedName>
    <definedName name="CommlStaffPriceOut">'[19]Price Out-Reg EASTSIDE-Resi'!#REF!</definedName>
    <definedName name="CoMultiYd">'[17]Gross Yardage Worksheet'!$L$31</definedName>
    <definedName name="ContainerTons">[16]ContainerTonsAllocation!$E$2</definedName>
    <definedName name="ControlNumber">[20]Summary!$J$8</definedName>
    <definedName name="COST_OF_SERVICE_STUDY" localSheetId="3">#REF!</definedName>
    <definedName name="COST_OF_SERVICE_STUDY">#REF!</definedName>
    <definedName name="Coststudy" localSheetId="3">#REF!</definedName>
    <definedName name="Coststudy">#REF!</definedName>
    <definedName name="CoXtraYds" localSheetId="3">#REF!</definedName>
    <definedName name="CoXtraYds">#REF!</definedName>
    <definedName name="CR">#REF!</definedName>
    <definedName name="CRCTable" localSheetId="4">#REF!</definedName>
    <definedName name="CRCTable" localSheetId="3">#REF!</definedName>
    <definedName name="CRCTable">#REF!</definedName>
    <definedName name="CRCTableOLD">#REF!</definedName>
    <definedName name="CriteriaType">[21]ControlPanel!$Z$2:$Z$5</definedName>
    <definedName name="CtyCanTons">[17]Cust_Count1!$N$28</definedName>
    <definedName name="CtyComYd">'[17]Gross Yardage Worksheet'!$L$49</definedName>
    <definedName name="CtyCustCnt" localSheetId="3">#REF!</definedName>
    <definedName name="CtyCustCnt">#REF!</definedName>
    <definedName name="CtyMultiYd">'[17]Gross Yardage Worksheet'!$L$64</definedName>
    <definedName name="CtyXtraYds" localSheetId="3">#REF!</definedName>
    <definedName name="CtyXtraYds">#REF!</definedName>
    <definedName name="CUR" localSheetId="3">'[22]O-9'!#REF!</definedName>
    <definedName name="CUR">'[22]O-9'!#REF!</definedName>
    <definedName name="Currency">[18]Main!$I$82</definedName>
    <definedName name="CurrentMonth" localSheetId="4">#REF!</definedName>
    <definedName name="CurrentMonth" localSheetId="3">#REF!</definedName>
    <definedName name="CurrentMonth">#REF!</definedName>
    <definedName name="Cutomers">#REF!</definedName>
    <definedName name="CWR">'[1]SALES TAX RETURN_20140'!$A$1:$E$49</definedName>
    <definedName name="CWRS" localSheetId="3">#REF!</definedName>
    <definedName name="CWRS">#REF!</definedName>
    <definedName name="CYear">'[22]O-9'!#REF!</definedName>
    <definedName name="dasd" localSheetId="4">rank</definedName>
    <definedName name="dasd" localSheetId="3">rank</definedName>
    <definedName name="dasd">rank</definedName>
    <definedName name="Data_End_Test" localSheetId="3">#REF!</definedName>
    <definedName name="Data_End_Test">#REF!</definedName>
    <definedName name="Data_Start_Test" localSheetId="3">#REF!</definedName>
    <definedName name="Data_Start_Test">#REF!</definedName>
    <definedName name="_xlnm.Database">#REF!</definedName>
    <definedName name="Database_MI">#REF!</definedName>
    <definedName name="Database1">#REF!</definedName>
    <definedName name="DateFrom" localSheetId="4">#REF!</definedName>
    <definedName name="DateFrom" localSheetId="3">#REF!</definedName>
    <definedName name="DateFrom">#REF!</definedName>
    <definedName name="DateRange">#REF!</definedName>
    <definedName name="DateTo" localSheetId="4">#REF!</definedName>
    <definedName name="DateTo" localSheetId="3">#REF!</definedName>
    <definedName name="DateTo">#REF!</definedName>
    <definedName name="DAY">'[11]Income Statement (WMofWA)'!#REF!</definedName>
    <definedName name="DBxStaffPriceOut">'[19]Price Out-Reg EASTSIDE-Resi'!#REF!</definedName>
    <definedName name="DEBITS">'[1]ASSETS 11XXX'!$A$1:$L$19</definedName>
    <definedName name="debtP" localSheetId="3">#REF!</definedName>
    <definedName name="debtP">#REF!</definedName>
    <definedName name="DeleteCMReconBook">[20]Summary!$J$10</definedName>
    <definedName name="deletion" localSheetId="3">#REF!</definedName>
    <definedName name="deletion">#REF!</definedName>
    <definedName name="DEPT">[8]Hidden!#REF!</definedName>
    <definedName name="Detail" localSheetId="3">#REF!</definedName>
    <definedName name="Detail">#REF!</definedName>
    <definedName name="DetailBudYear" localSheetId="3">#REF!</definedName>
    <definedName name="DetailBudYear">#REF!</definedName>
    <definedName name="DetailDistrict" localSheetId="3">#REF!</definedName>
    <definedName name="DetailDistrict">#REF!</definedName>
    <definedName name="DispRates">#REF!</definedName>
    <definedName name="Dist" localSheetId="4">[23]Data!$E$3</definedName>
    <definedName name="Dist" localSheetId="3">[23]Data!$E$3</definedName>
    <definedName name="Dist">[24]Data!$E$3</definedName>
    <definedName name="District" localSheetId="4">[20]Summary!$J$17</definedName>
    <definedName name="District" localSheetId="3">[20]Summary!$J$17</definedName>
    <definedName name="District">'[25]Vashon BS'!#REF!</definedName>
    <definedName name="DistrictName">[20]Summary!$M$8</definedName>
    <definedName name="DistrictNum" localSheetId="4">#REF!</definedName>
    <definedName name="DistrictNum" localSheetId="3">#REF!</definedName>
    <definedName name="DistrictNum">#REF!</definedName>
    <definedName name="Districts">#REF!</definedName>
    <definedName name="DistrictSelection">[26]Summary!$C$6</definedName>
    <definedName name="DistStaffSignOffStatus">[20]Summary!$N$19</definedName>
    <definedName name="DivisionSignOffReq">[20]Summary!$M$11</definedName>
    <definedName name="DivSignOffStatus">[20]Summary!$N$18</definedName>
    <definedName name="dOG" localSheetId="3">#REF!</definedName>
    <definedName name="dOG">#REF!</definedName>
    <definedName name="drlFilter">[3]Settings!$D$27</definedName>
    <definedName name="End" localSheetId="4">#REF!</definedName>
    <definedName name="End" localSheetId="3">#REF!</definedName>
    <definedName name="End">#REF!</definedName>
    <definedName name="EndTime" localSheetId="3">'[22]O-9'!#REF!</definedName>
    <definedName name="EndTime">'[22]O-9'!#REF!</definedName>
    <definedName name="EntrieShownLimit" localSheetId="4">#REF!</definedName>
    <definedName name="EntrieShownLimit" localSheetId="3">#REF!</definedName>
    <definedName name="EntrieShownLimit">#REF!</definedName>
    <definedName name="ExcludeIC" localSheetId="3">'[25]Vashon BS'!#REF!</definedName>
    <definedName name="ExcludeIC">'[25]Vashon BS'!#REF!</definedName>
    <definedName name="expenses" localSheetId="3">#REF!</definedName>
    <definedName name="expenses">#REF!</definedName>
    <definedName name="ExpensesPF1" localSheetId="4">#REF!</definedName>
    <definedName name="ExpensesPF1" localSheetId="3">#REF!</definedName>
    <definedName name="ExpensesPF1">#REF!</definedName>
    <definedName name="EXT" localSheetId="3">#REF!</definedName>
    <definedName name="EXT">#REF!</definedName>
    <definedName name="FBTable">#REF!</definedName>
    <definedName name="FBTableOld">#REF!</definedName>
    <definedName name="filter">[3]Settings!$B$14:$H$25</definedName>
    <definedName name="Financial">[9]WTB!#REF!</definedName>
    <definedName name="FirstColCriteria">[9]WTB!#REF!</definedName>
    <definedName name="FirstHeaderCriteria">[9]WTB!#REF!</definedName>
    <definedName name="flag">[9]WTB!#REF!</definedName>
    <definedName name="Format_Column" localSheetId="3">#REF!</definedName>
    <definedName name="Format_Column">#REF!</definedName>
    <definedName name="formata" localSheetId="3">#REF!</definedName>
    <definedName name="formata">#REF!</definedName>
    <definedName name="formatb" localSheetId="3">#REF!</definedName>
    <definedName name="formatb">#REF!</definedName>
    <definedName name="FromMonth" localSheetId="4">#REF!</definedName>
    <definedName name="FromMonth" localSheetId="3">#REF!</definedName>
    <definedName name="FromMonth">#REF!</definedName>
    <definedName name="FundsApprPend" localSheetId="4">[23]Data!#REF!</definedName>
    <definedName name="FundsApprPend" localSheetId="3">[23]Data!#REF!</definedName>
    <definedName name="FundsApprPend">[24]Data!#REF!</definedName>
    <definedName name="FundsBudUnbud" localSheetId="4">[23]Data!#REF!</definedName>
    <definedName name="FundsBudUnbud" localSheetId="3">[23]Data!#REF!</definedName>
    <definedName name="FundsBudUnbud">[24]Data!#REF!</definedName>
    <definedName name="FY">'[11]Income Statement (WMofWA)'!#REF!</definedName>
    <definedName name="GLMappingStart" localSheetId="4">#REF!</definedName>
    <definedName name="GLMappingStart" localSheetId="3">#REF!</definedName>
    <definedName name="GLMappingStart">#REF!</definedName>
    <definedName name="GLMappingStart1">#REF!</definedName>
    <definedName name="GRETABLE">[27]Gresham!$E$12:$AI$261</definedName>
    <definedName name="HeaderReturnMessage">[20]Summary!$Q$16</definedName>
    <definedName name="Heading1">'[11]Income Statement (WMofWA)'!#REF!</definedName>
    <definedName name="IDN">'[11]Income Statement (WMofWA)'!#REF!</definedName>
    <definedName name="IFN">'[11]Income Statement (WMofWA)'!#REF!</definedName>
    <definedName name="Import_Range" localSheetId="4">[23]Data!#REF!</definedName>
    <definedName name="Import_Range" localSheetId="3">[23]Data!#REF!</definedName>
    <definedName name="Import_Range">[24]Data!#REF!</definedName>
    <definedName name="IncomeStmnt" localSheetId="4">#REF!</definedName>
    <definedName name="IncomeStmnt" localSheetId="3">#REF!</definedName>
    <definedName name="IncomeStmnt">#REF!</definedName>
    <definedName name="INPUT">#REF!</definedName>
    <definedName name="INPUTc">#REF!</definedName>
    <definedName name="InsertColRange">[9]WTB!#REF!</definedName>
    <definedName name="Insurance" localSheetId="3">#REF!</definedName>
    <definedName name="Insurance">#REF!</definedName>
    <definedName name="Interject_LastPulledValues_BalanceRange" localSheetId="3">#REF!</definedName>
    <definedName name="Interject_LastPulledValues_BalanceRange">#REF!</definedName>
    <definedName name="Interject_LastPulledValues_DescriptionRange" localSheetId="3">#REF!</definedName>
    <definedName name="Interject_LastPulledValues_DescriptionRange">#REF!</definedName>
    <definedName name="Interject_LastPulledValues_LastChangeGUID" localSheetId="3">#REF!</definedName>
    <definedName name="Interject_LastPulledValues_LastChangeGUID">#REF!</definedName>
    <definedName name="Interject_LastPulledValues_PreviousLastChangeGUID" localSheetId="3">#REF!</definedName>
    <definedName name="Interject_LastPulledValues_PreviousLastChangeGUID">#REF!</definedName>
    <definedName name="Invoice_Start" localSheetId="4">[23]Invoice_Drill!#REF!</definedName>
    <definedName name="Invoice_Start" localSheetId="3">[23]Invoice_Drill!#REF!</definedName>
    <definedName name="Invoice_Start">[24]Invoice_Drill!#REF!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4">#REF!</definedName>
    <definedName name="JEDetail" localSheetId="3">#REF!</definedName>
    <definedName name="JEDetail">#REF!</definedName>
    <definedName name="JEDetail1">#REF!</definedName>
    <definedName name="JEType">#REF!</definedName>
    <definedName name="JEType1">#REF!</definedName>
    <definedName name="Juris1CanCount">[16]Cust_Count1!$C$60</definedName>
    <definedName name="Juris1CanTons">[16]Cust_Count1!$C$30</definedName>
    <definedName name="Juris1ComYd">'[16]Gross Yardage Worksheet'!$L$16</definedName>
    <definedName name="Juris1CustCnt">[16]Cust_Count2!$E$39</definedName>
    <definedName name="Juris1MultiYd">'[16]Gross Yardage Worksheet'!$X$16</definedName>
    <definedName name="Juris1SeasonalYds">'[16]Gross Yardage Worksheet'!$R$18</definedName>
    <definedName name="Juris1XtraYds">[16]Cust_Count2!$E$28</definedName>
    <definedName name="Juris2CanCount">[16]Cust_Count1!$D$60</definedName>
    <definedName name="Juris2CanTons">[16]Cust_Count1!$D$30</definedName>
    <definedName name="Juris2ComYd">'[16]Gross Yardage Worksheet'!$L$33</definedName>
    <definedName name="Juris2CustCnt">[16]Cust_Count2!$F$39</definedName>
    <definedName name="Juris2MultiYd">'[16]Gross Yardage Worksheet'!$X$33</definedName>
    <definedName name="Juris2SeasonalYds">'[16]Gross Yardage Worksheet'!$R$35</definedName>
    <definedName name="Juris2XtraYds">[16]Cust_Count2!$F$28</definedName>
    <definedName name="Juris3CanCount">[16]Cust_Count1!$E$60</definedName>
    <definedName name="Juris3CanTons">[16]Cust_Count1!$E$30</definedName>
    <definedName name="Juris3ComYd">'[16]Gross Yardage Worksheet'!$L$51</definedName>
    <definedName name="Juris3CustCnt">[16]Cust_Count2!$G$39</definedName>
    <definedName name="Juris3MultiYd">'[16]Gross Yardage Worksheet'!$X$51</definedName>
    <definedName name="Juris3SeasonalYds">'[16]Gross Yardage Worksheet'!$R$53</definedName>
    <definedName name="Juris3XtraYds">[16]Cust_Count2!$G$28</definedName>
    <definedName name="Juris4CanCount">[16]Cust_Count1!$F$60</definedName>
    <definedName name="Juris4CanTons">[16]Cust_Count1!$F$30</definedName>
    <definedName name="Juris4ComYd">'[16]Gross Yardage Worksheet'!$L$68</definedName>
    <definedName name="Juris4CustCnt">[16]Cust_Count2!$H$39</definedName>
    <definedName name="Juris4MultiYd">'[16]Gross Yardage Worksheet'!$X$68</definedName>
    <definedName name="Juris4SeasonalYds">'[16]Gross Yardage Worksheet'!$R$70</definedName>
    <definedName name="Juris4XtraYds">[16]Cust_Count2!$H$28</definedName>
    <definedName name="Juris5CanCount">[16]Cust_Count1!$G$60</definedName>
    <definedName name="Juris5CanTons">[16]Cust_Count1!$G$30</definedName>
    <definedName name="Juris5ComYD">'[16]Gross Yardage Worksheet'!$L$85</definedName>
    <definedName name="Juris5CustCnt">[16]Cust_Count2!$I$39</definedName>
    <definedName name="Juris5MultiYd">'[16]Gross Yardage Worksheet'!$X$85</definedName>
    <definedName name="Juris5SeasonalYds">'[16]Gross Yardage Worksheet'!$R$87</definedName>
    <definedName name="Juris5XtraYds">[16]Cust_Count2!$I$28</definedName>
    <definedName name="Jurisdiction_1">'[16]Title Inputs'!$C$5</definedName>
    <definedName name="Jurisdiction_2">'[16]Title Inputs'!$C$6</definedName>
    <definedName name="Jurisdiction_3">'[16]Title Inputs'!$C$7</definedName>
    <definedName name="Jurisdiction_4">'[16]Title Inputs'!$C$8</definedName>
    <definedName name="Jurisdiction_5">'[16]Title Inputs'!$C$9</definedName>
    <definedName name="LAST_ROW">'[28]Income Statement (Tonnage)'!#REF!</definedName>
    <definedName name="LastExecutedFor">[20]Summary!$Q$17</definedName>
    <definedName name="LastSavedOn">[20]Summary!$Q$19</definedName>
    <definedName name="lblBillAreaStatus" localSheetId="3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LOB" localSheetId="4">[29]DropDownRanges!$B$4:$B$37</definedName>
    <definedName name="LOB" localSheetId="3">[29]DropDownRanges!$B$4:$B$37</definedName>
    <definedName name="LOB">[30]DropDownRanges!$B$4:$B$37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 localSheetId="3">#REF!</definedName>
    <definedName name="LU_Line">#REF!</definedName>
    <definedName name="Lurito" localSheetId="3">#REF!</definedName>
    <definedName name="Lurito">#REF!</definedName>
    <definedName name="LYN" localSheetId="3">'[11]Income Statement (WMofWA)'!#REF!</definedName>
    <definedName name="LYN">'[11]Income Statement (WMofWA)'!#REF!</definedName>
    <definedName name="MainDataEnd" localSheetId="4">#REF!</definedName>
    <definedName name="MainDataEnd" localSheetId="3">#REF!</definedName>
    <definedName name="MainDataEnd">#REF!</definedName>
    <definedName name="MainDataStart">#REF!</definedName>
    <definedName name="MapKeyStart">#REF!</definedName>
    <definedName name="master_def">#REF!</definedName>
    <definedName name="MATRIX">#REF!</definedName>
    <definedName name="MemoAttachment">#REF!</definedName>
    <definedName name="MetaSet">[3]Orientation!$C$22</definedName>
    <definedName name="MFStaffPriceOut" localSheetId="4">'[19]Price Out-Reg EASTSIDE-Resi'!#REF!</definedName>
    <definedName name="MFStaffPriceOut" localSheetId="3">'[19]Price Out-Reg EASTSIDE-Resi'!#REF!</definedName>
    <definedName name="MFStaffPriceOut">'[19]Price Out-Reg EASTSIDE-Resi'!#REF!</definedName>
    <definedName name="MILTON" localSheetId="4">#REF!</definedName>
    <definedName name="MILTON" localSheetId="3">#REF!</definedName>
    <definedName name="MILTON">#REF!</definedName>
    <definedName name="MissingAccountList">[20]Summary!$Q$18</definedName>
    <definedName name="Month" localSheetId="3">#REF!</definedName>
    <definedName name="Month">#REF!</definedName>
    <definedName name="MonthList" localSheetId="4">'[23]Lookup Tables'!$A$1:$A$13</definedName>
    <definedName name="MonthList" localSheetId="3">'[23]Lookup Tables'!$A$1:$A$13</definedName>
    <definedName name="MonthList">'[24]Lookup Tables'!$A$1:$A$13</definedName>
    <definedName name="MthValue">'[22]O-9'!#REF!</definedName>
    <definedName name="NarrThreshold_Doll">[12]Settings!$I$27</definedName>
    <definedName name="NarrThreshold_Perc">[12]Settings!$I$26</definedName>
    <definedName name="New" localSheetId="3">#REF!</definedName>
    <definedName name="New">#REF!</definedName>
    <definedName name="NewAccountCheck">[20]Summary!$L$18</definedName>
    <definedName name="NewLob" localSheetId="4">[29]DropDownRanges!$B$4:$B$37</definedName>
    <definedName name="NewLob" localSheetId="3">[29]DropDownRanges!$B$4:$B$37</definedName>
    <definedName name="NewLob">[30]DropDownRanges!$B$4:$B$37</definedName>
    <definedName name="NewOnlyOrg">#N/A</definedName>
    <definedName name="NewSource" localSheetId="4">[29]DropDownRanges!$D$4:$D$7</definedName>
    <definedName name="NewSource" localSheetId="3">[29]DropDownRanges!$D$4:$D$7</definedName>
    <definedName name="NewSource">[30]DropDownRanges!$D$4:$D$7</definedName>
    <definedName name="nn" localSheetId="4">#REF!</definedName>
    <definedName name="nn" localSheetId="3">#REF!</definedName>
    <definedName name="nn">#REF!</definedName>
    <definedName name="NONRECAP" localSheetId="3">#REF!</definedName>
    <definedName name="NONRECAP">#REF!</definedName>
    <definedName name="NOTES">#REF!</definedName>
    <definedName name="N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4">rank</definedName>
    <definedName name="NvsInstanceHook" localSheetId="3">rank</definedName>
    <definedName name="NvsInstanceHook">rank</definedName>
    <definedName name="NvsInstanceHook1" localSheetId="4">rank</definedName>
    <definedName name="NvsInstanceHook1" localSheetId="3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#N/A</definedName>
    <definedName name="OffsetAcctBil" localSheetId="3">[31]JEexport!$L$10</definedName>
    <definedName name="OffsetAcctBil">[32]JEexport!$L$10</definedName>
    <definedName name="OffsetAcctPmt" localSheetId="3">[31]JEexport!$L$9</definedName>
    <definedName name="OffsetAcctPmt">[32]JEexport!$L$9</definedName>
    <definedName name="Operations">'[11]Income Statement (WMofWA)'!#REF!</definedName>
    <definedName name="OPR">'[11]Income Statement (WMofWA)'!#REF!</definedName>
    <definedName name="Org11_13">#N/A</definedName>
    <definedName name="Org7_10">#N/A</definedName>
    <definedName name="ORIG2GALWT_">#REF!</definedName>
    <definedName name="ORIG2OH" localSheetId="3">#REF!</definedName>
    <definedName name="ORIG2OH">#REF!</definedName>
    <definedName name="OthCanTons">[17]Cust_Count1!$O$28</definedName>
    <definedName name="OthComYd">'[17]Gross Yardage Worksheet'!$L$82</definedName>
    <definedName name="OthCustCnt" localSheetId="3">#REF!</definedName>
    <definedName name="OthCustCnt">#REF!</definedName>
    <definedName name="OthMultiYd">'[17]Gross Yardage Worksheet'!$L$98</definedName>
    <definedName name="OthXtraYds" localSheetId="3">#REF!</definedName>
    <definedName name="OthXtraYds">#REF!</definedName>
    <definedName name="p" localSheetId="4">#REF!</definedName>
    <definedName name="p" localSheetId="3">#REF!</definedName>
    <definedName name="p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D">'[11]Income Statement (WMofWA)'!#REF!</definedName>
    <definedName name="pEndPostDate" localSheetId="3">#REF!</definedName>
    <definedName name="pEndPostDate">#REF!</definedName>
    <definedName name="PER">[9]WTB!$DC$5</definedName>
    <definedName name="Period" localSheetId="3">#REF!</definedName>
    <definedName name="Period">#REF!</definedName>
    <definedName name="PFREVB4">#REF!</definedName>
    <definedName name="pMonth">#REF!</definedName>
    <definedName name="pOnlyShowLastTranx">#REF!</definedName>
    <definedName name="Posting">#REF!</definedName>
    <definedName name="POTruckSubTypeLookup">[33]TruckCenterReference!$B$26:$D$74</definedName>
    <definedName name="primtbl">[3]Orientation!$C$23</definedName>
    <definedName name="_xlnm.Print_Area" localSheetId="1">'DF Calculation'!$A$1:$T$63</definedName>
    <definedName name="_xlnm.Print_Area" localSheetId="2">'Proposed Rates'!$A$1:$F$56</definedName>
    <definedName name="_xlnm.Print_Area" localSheetId="3">'Vashon Price Out TG220857'!$B$1:$BB$161</definedName>
    <definedName name="_xlnm.Print_Area">#REF!</definedName>
    <definedName name="Print_Area_MI" localSheetId="4">#REF!</definedName>
    <definedName name="Print_Area_MI" localSheetId="3">#REF!</definedName>
    <definedName name="Print_Area_MI">#REF!</definedName>
    <definedName name="Print_Area_MIc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1">'DF Calculation'!$C:$C</definedName>
    <definedName name="_xlnm.Print_Titles" localSheetId="2">'Proposed Rates'!$4:$4</definedName>
    <definedName name="_xlnm.Print_Titles" localSheetId="3">'Vashon Price Out TG220857'!$B:$C,'Vashon Price Out TG220857'!$1:$6</definedName>
    <definedName name="Print_Titles_MI" localSheetId="3">#REF!</definedName>
    <definedName name="Print_Titles_MI">#REF!</definedName>
    <definedName name="Print1" localSheetId="4">#REF!</definedName>
    <definedName name="Print1" localSheetId="3">#REF!</definedName>
    <definedName name="Print1">#REF!</definedName>
    <definedName name="Print2">#REF!</definedName>
    <definedName name="Print5">#REF!</definedName>
    <definedName name="Prnit_Range">#REF!</definedName>
    <definedName name="ProRev">'[13]Pacific Regulated - Price Out'!$M$49</definedName>
    <definedName name="ProRev_com">'[13]Pacific Regulated - Price Out'!$M$213</definedName>
    <definedName name="ProRev_mfr">'[13]Pacific Regulated - Price Out'!$M$221</definedName>
    <definedName name="ProRev_ro">'[13]Pacific Regulated - Price Out'!$M$281</definedName>
    <definedName name="ProRev_rr">'[13]Pacific Regulated - Price Out'!$M$58</definedName>
    <definedName name="ProRev_yw">'[13]Pacific Regulated - Price Out'!$M$69</definedName>
    <definedName name="pServer" localSheetId="4">#REF!</definedName>
    <definedName name="pServer" localSheetId="3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PYear">'[22]O-9'!#REF!</definedName>
    <definedName name="QtrValue" localSheetId="3">#REF!</definedName>
    <definedName name="QtrValue">#REF!</definedName>
    <definedName name="Quarter_Budget" localSheetId="3">#REF!</definedName>
    <definedName name="Quarter_Budget">#REF!</definedName>
    <definedName name="Quarter_Month" localSheetId="3">#REF!</definedName>
    <definedName name="Quarter_Month">#REF!</definedName>
    <definedName name="RBU" localSheetId="3">'[11]Income Statement (WMofWA)'!#REF!</definedName>
    <definedName name="RBU">'[11]Income Statement (WMofWA)'!#REF!</definedName>
    <definedName name="RCW_81.04.080">#N/A</definedName>
    <definedName name="RECAP" localSheetId="3">#REF!</definedName>
    <definedName name="RECAP">#REF!</definedName>
    <definedName name="RECAP2" localSheetId="3">#REF!</definedName>
    <definedName name="RECAP2">#REF!</definedName>
    <definedName name="ReconMonth">[20]Summary!$J$18</definedName>
    <definedName name="_xlnm.Recorder" localSheetId="3">#REF!</definedName>
    <definedName name="_xlnm.Recorder">#REF!</definedName>
    <definedName name="RecyDisposal">#N/A</definedName>
    <definedName name="Reg_Cust_Billed_Percent" localSheetId="4">'[34]Consolidated IS 2009 2010'!$AK$20</definedName>
    <definedName name="Reg_Cust_Billed_Percent" localSheetId="3">'[34]Consolidated IS 2009 2010'!$AK$20</definedName>
    <definedName name="Reg_Cust_Billed_Percent">'[35]Consolidated IS 2009 2010'!$AK$20</definedName>
    <definedName name="Reg_Cust_Percent" localSheetId="4">'[34]Consolidated IS 2009 2010'!$AC$20</definedName>
    <definedName name="Reg_Cust_Percent" localSheetId="3">'[34]Consolidated IS 2009 2010'!$AC$20</definedName>
    <definedName name="Reg_Cust_Percent">'[35]Consolidated IS 2009 2010'!$AC$20</definedName>
    <definedName name="Reg_Drive_Percent" localSheetId="4">'[34]Consolidated IS 2009 2010'!$AC$40</definedName>
    <definedName name="Reg_Drive_Percent" localSheetId="3">'[34]Consolidated IS 2009 2010'!$AC$40</definedName>
    <definedName name="Reg_Drive_Percent">'[35]Consolidated IS 2009 2010'!$AC$40</definedName>
    <definedName name="Reg_Haul_Rev_Percent" localSheetId="4">'[34]Consolidated IS 2009 2010'!$Z$18</definedName>
    <definedName name="Reg_Haul_Rev_Percent" localSheetId="3">'[34]Consolidated IS 2009 2010'!$Z$18</definedName>
    <definedName name="Reg_Haul_Rev_Percent">'[35]Consolidated IS 2009 2010'!$Z$18</definedName>
    <definedName name="Reg_Lab_Percent" localSheetId="4">'[34]Consolidated IS 2009 2010'!$AC$39</definedName>
    <definedName name="Reg_Lab_Percent" localSheetId="3">'[34]Consolidated IS 2009 2010'!$AC$39</definedName>
    <definedName name="Reg_Lab_Percent">'[35]Consolidated IS 2009 2010'!$AC$39</definedName>
    <definedName name="Reg_Steel_Cont_Percent" localSheetId="4">'[34]Consolidated IS 2009 2010'!$AE$120</definedName>
    <definedName name="Reg_Steel_Cont_Percent" localSheetId="3">'[34]Consolidated IS 2009 2010'!$AE$120</definedName>
    <definedName name="Reg_Steel_Cont_Percent">'[35]Consolidated IS 2009 2010'!$AE$120</definedName>
    <definedName name="RegionSignOffReq">[20]Summary!$M$10</definedName>
    <definedName name="RegionSignOffStatus">[20]Summary!$N$17</definedName>
    <definedName name="RegulatedIS" localSheetId="4">'[34]2009 IS'!$A$12:$Q$655</definedName>
    <definedName name="RegulatedIS" localSheetId="3">'[34]2009 IS'!$A$12:$Q$655</definedName>
    <definedName name="RegulatedIS">'[35]2009 IS'!$A$12:$Q$655</definedName>
    <definedName name="RelatedSalary">#N/A</definedName>
    <definedName name="report_type">[3]Orientation!$C$24</definedName>
    <definedName name="Reporting_Jurisdiction">'[16]Title Inputs'!$C$4</definedName>
    <definedName name="ReportNames">[36]ControlPanel!$S$2:$S$16</definedName>
    <definedName name="ReportVersion">[3]Settings!$D$5</definedName>
    <definedName name="ReslStaffPriceOut" localSheetId="4">'[19]Price Out-Reg EASTSIDE-Resi'!#REF!</definedName>
    <definedName name="ReslStaffPriceOut" localSheetId="3">'[19]Price Out-Reg EASTSIDE-Resi'!#REF!</definedName>
    <definedName name="ReslStaffPriceOut">'[19]Price Out-Reg EASTSIDE-Resi'!#REF!</definedName>
    <definedName name="RetainedEarnings" localSheetId="4">#REF!</definedName>
    <definedName name="RetainedEarnings" localSheetId="3">#REF!</definedName>
    <definedName name="RetainedEarnings">#REF!</definedName>
    <definedName name="RevCust" localSheetId="4">[37]RevenuesCust!#REF!</definedName>
    <definedName name="RevCust" localSheetId="3">[37]RevenuesCust!#REF!</definedName>
    <definedName name="RevCust">[37]RevenuesCust!#REF!</definedName>
    <definedName name="RevCustomer" localSheetId="4">#REF!</definedName>
    <definedName name="RevCustomer" localSheetId="3">#REF!</definedName>
    <definedName name="RevCustomer">#REF!</definedName>
    <definedName name="REVDETAIL">#REF!</definedName>
    <definedName name="Revenue" localSheetId="3">#REF!</definedName>
    <definedName name="Revenue">#REF!</definedName>
    <definedName name="RevenuePF1" localSheetId="4">#REF!</definedName>
    <definedName name="RevenuePF1" localSheetId="3">#REF!</definedName>
    <definedName name="RevenuePF1">#REF!</definedName>
    <definedName name="REVMAT">#REF!</definedName>
    <definedName name="RID">'[11]Income Statement (WMofWA)'!#REF!</definedName>
    <definedName name="rngBodyText">[6]Delivery!$B$15</definedName>
    <definedName name="RngBottomRight">[6]Delivery!$B$23</definedName>
    <definedName name="rngColDelChars">[6]Delivery!$B$26</definedName>
    <definedName name="rngColumnDelete">[6]Delivery!$B$26</definedName>
    <definedName name="rngCreateLog">[3]Delivery!$B$12</definedName>
    <definedName name="rngDeleteColumns">[6]Delivery!$A$29:$A$38</definedName>
    <definedName name="rngDeleteRows">[6]Delivery!$B$29:$B$38</definedName>
    <definedName name="rngEmail">[6]Delivery!$B$9</definedName>
    <definedName name="rngFileDir">[6]Delivery!$B$6</definedName>
    <definedName name="rngFileFormat">[6]Delivery!$B$4</definedName>
    <definedName name="rngFileName">[6]Delivery!$B$5</definedName>
    <definedName name="rngFilePassword">[3]Delivery!$B$6</definedName>
    <definedName name="rngPassword">[6]Delivery!$B$21</definedName>
    <definedName name="rngPasswordProtect">[6]Delivery!$B$20</definedName>
    <definedName name="rngPrint">[6]Delivery!$B$11</definedName>
    <definedName name="rngRetainFormulas">[6]Delivery!$B$19</definedName>
    <definedName name="rngSaveFile">[6]Delivery!$B$10</definedName>
    <definedName name="rngSourceTab">[3]Delivery!$E$8</definedName>
    <definedName name="rngSubjectLine">[6]Delivery!$B$14</definedName>
    <definedName name="rngTabName">[6]Delivery!$B$18</definedName>
    <definedName name="rngTopLeft">[6]Delivery!$B$22</definedName>
    <definedName name="ROCE" localSheetId="3">#REF!,#REF!</definedName>
    <definedName name="ROCE">#REF!,#REF!</definedName>
    <definedName name="ROW_SUPRESS" localSheetId="3">'[11]Income Statement (WMofWA)'!#REF!</definedName>
    <definedName name="ROW_SUPRESS">'[11]Income Statement (WMofWA)'!#REF!</definedName>
    <definedName name="rowgroup">[3]Orientation!$C$17</definedName>
    <definedName name="rowsegment">[3]Orientation!$B$17</definedName>
    <definedName name="RptEmailAddress">[6]Delivery!$D$4:$D$1005</definedName>
    <definedName name="rtr">'[38]Variance Report'!#REF!</definedName>
    <definedName name="RTT">'[11]Income Statement (WMofWA)'!#REF!</definedName>
    <definedName name="sale" localSheetId="3">#REF!</definedName>
    <definedName name="sale">#REF!</definedName>
    <definedName name="SALES_TAX_RETURN" localSheetId="3">#REF!</definedName>
    <definedName name="SALES_TAX_RETURN">#REF!</definedName>
    <definedName name="Sbst" localSheetId="3">#REF!</definedName>
    <definedName name="Sbst">#REF!</definedName>
    <definedName name="SCN" localSheetId="3">'[11]Income Statement (WMofWA)'!#REF!</definedName>
    <definedName name="SCN">'[11]Income Statement (WMofWA)'!#REF!</definedName>
    <definedName name="seffasfasdfsd" localSheetId="4">[8]Hidden!#REF!</definedName>
    <definedName name="seffasfasdfsd" localSheetId="3">[8]Hidden!#REF!</definedName>
    <definedName name="seffasfasdfsd">[8]Hidden!#REF!</definedName>
    <definedName name="SEPARATE" localSheetId="3">#REF!</definedName>
    <definedName name="SEPARATE">#REF!</definedName>
    <definedName name="Separation" localSheetId="3">[39]ProF!#REF!</definedName>
    <definedName name="Separation">[39]ProF!#REF!</definedName>
    <definedName name="Sequential_Group">[3]Settings!$J$6</definedName>
    <definedName name="Sequential_Segment">[3]Settings!$I$6</definedName>
    <definedName name="Sequential_sort">[3]Settings!$I$10:$J$11</definedName>
    <definedName name="Setting_DeprFactor">[12]Settings!$F$5</definedName>
    <definedName name="Setting_LFDeplUnitAcct">[12]Settings!$F$4</definedName>
    <definedName name="Setting_LFUnitCost">[12]Settings!$F$3</definedName>
    <definedName name="Setting_LFUnitCostNY">[12]Settings!$F$7</definedName>
    <definedName name="Setting_LFUnitRow">[12]Settings!$C$3</definedName>
    <definedName name="SFD">[9]WTB!$DE$5</definedName>
    <definedName name="SFD_BU">'[11]Income Statement (WMofWA)'!#REF!</definedName>
    <definedName name="SFD_DEPTID">'[11]Income Statement (WMofWA)'!#REF!</definedName>
    <definedName name="SFD_OP">'[11]Income Statement (WMofWA)'!#REF!</definedName>
    <definedName name="SFD_PROD">'[11]Income Statement (WMofWA)'!#REF!</definedName>
    <definedName name="SFD_PROJ">'[11]Income Statement (WMofWA)'!#REF!</definedName>
    <definedName name="sfdbusunit" localSheetId="3">#REF!</definedName>
    <definedName name="sfdbusunit">#REF!</definedName>
    <definedName name="SFV">[9]WTB!$DE$4</definedName>
    <definedName name="SFV_BU">'[11]Income Statement (WMofWA)'!#REF!</definedName>
    <definedName name="SFV_CUR" localSheetId="3">#REF!</definedName>
    <definedName name="SFV_CUR">#REF!</definedName>
    <definedName name="SFV_CUR1">'[9]2008 West Group IS'!$AM$9</definedName>
    <definedName name="SFV_CUR5">'[9]2008 Group Office IS'!$AM$9</definedName>
    <definedName name="SFV_DEPTID">'[11]Income Statement (WMofWA)'!#REF!</definedName>
    <definedName name="SFV_OP">'[11]Income Statement (WMofWA)'!#REF!</definedName>
    <definedName name="SFV_PROD">'[11]Income Statement (WMofWA)'!#REF!</definedName>
    <definedName name="SFV_PROJ">'[11]Income Statement (WMofWA)'!#REF!</definedName>
    <definedName name="SIC_Table" localSheetId="3">#REF!</definedName>
    <definedName name="SIC_Table">#REF!</definedName>
    <definedName name="slope">'[40]LG Nonpublic 2018 V5.0'!$X$58</definedName>
    <definedName name="sort" localSheetId="3">#REF!</definedName>
    <definedName name="sort">#REF!</definedName>
    <definedName name="Sort1" localSheetId="3">#REF!</definedName>
    <definedName name="Sort1">#REF!</definedName>
    <definedName name="sortcol" localSheetId="4">#REF!</definedName>
    <definedName name="sortcol" localSheetId="3">#REF!</definedName>
    <definedName name="sortcol">#REF!</definedName>
    <definedName name="Source" localSheetId="4">[29]DropDownRanges!$D$4:$D$7</definedName>
    <definedName name="Source" localSheetId="3">[29]DropDownRanges!$D$4:$D$7</definedName>
    <definedName name="Source">[30]DropDownRanges!$D$4:$D$7</definedName>
    <definedName name="SPWS_WBID">"115966228744984"</definedName>
    <definedName name="sSRCDate" localSheetId="4">'[41]Feb''12 FAR Data'!#REF!</definedName>
    <definedName name="sSRCDate" localSheetId="3">'[41]Feb''12 FAR Data'!#REF!</definedName>
    <definedName name="sSRCDate">'[41]Feb''12 FAR Data'!#REF!</definedName>
    <definedName name="start" localSheetId="3">#REF!</definedName>
    <definedName name="start">#REF!</definedName>
    <definedName name="Stop" localSheetId="3">'[22]O-9'!#REF!</definedName>
    <definedName name="Stop">'[22]O-9'!#REF!</definedName>
    <definedName name="SubSystem" localSheetId="4">#REF!</definedName>
    <definedName name="SubSystems" localSheetId="4">#REF!</definedName>
    <definedName name="SubSystems" localSheetId="3">#REF!</definedName>
    <definedName name="SubSystems">#REF!</definedName>
    <definedName name="SubtypeToTruckType">[42]TruckCenterReference!$C$36:$D$86</definedName>
    <definedName name="SUMMARY" localSheetId="3">#REF!</definedName>
    <definedName name="SUMMARY">#REF!</definedName>
    <definedName name="Summary_DistrictName">[43]Summary!$B$7</definedName>
    <definedName name="Summary_DistrictNo">[43]Summary!$B$5</definedName>
    <definedName name="Supplemental_filter">[3]Settings!$C$31</definedName>
    <definedName name="SWDisposal">#N/A</definedName>
    <definedName name="Syst">#REF!</definedName>
    <definedName name="System">[44]BS_Close!$V$8</definedName>
    <definedName name="Systems" localSheetId="4">#REF!</definedName>
    <definedName name="Systems" localSheetId="3">#REF!</definedName>
    <definedName name="Systems">#REF!</definedName>
    <definedName name="Table_SIC">#REF!</definedName>
    <definedName name="TargetMonths">[12]Settings!$I$18</definedName>
    <definedName name="TemplateEnd" localSheetId="3">#REF!</definedName>
    <definedName name="TemplateEnd">#REF!</definedName>
    <definedName name="TemplateStart" localSheetId="3">#REF!</definedName>
    <definedName name="TemplateStart">#REF!</definedName>
    <definedName name="test">'[45]Sch 4 - 12months'!$B$10:$O$86</definedName>
    <definedName name="TheTable" localSheetId="3">#REF!</definedName>
    <definedName name="TheTable">#REF!</definedName>
    <definedName name="TheTableOLD">#REF!</definedName>
    <definedName name="timeseries">[3]Orientation!$B$6:$C$13</definedName>
    <definedName name="Title2">'[22]O-9'!#REF!</definedName>
    <definedName name="ToMonth" localSheetId="4">#REF!</definedName>
    <definedName name="ToMonth" localSheetId="3">#REF!</definedName>
    <definedName name="ToMonth">#REF!</definedName>
    <definedName name="Tons">#REF!</definedName>
    <definedName name="TOP">'[7]10800-10899'!#REF!</definedName>
    <definedName name="Total_Comm">'[15]Tariff Rate Sheet'!$L$214</definedName>
    <definedName name="Total_DB">'[15]Tariff Rate Sheet'!$L$278</definedName>
    <definedName name="Total_Interest">'[46]Amortization Table'!$F$18</definedName>
    <definedName name="Total_Resi">'[15]Tariff Rate Sheet'!$L$107</definedName>
    <definedName name="TotalYards">'[17]Gross Yardage Worksheet'!$N$101</definedName>
    <definedName name="TOTCONT">'[27]Sorted Master'!$K$9</definedName>
    <definedName name="TOTCRECCONT">'[27]Sorted Master'!$Z$9</definedName>
    <definedName name="TOTCRECCUST" localSheetId="3">'[47]Sorted Master-2112-2148'!#REF!</definedName>
    <definedName name="TOTCRECCUST">'[47]Sorted Master-2112-2148'!#REF!</definedName>
    <definedName name="TOTCRECDH" localSheetId="3">'[47]Sorted Master-2112-2148'!#REF!</definedName>
    <definedName name="TOTCRECDH">'[47]Sorted Master-2112-2148'!#REF!</definedName>
    <definedName name="TOTCRECREV" localSheetId="3">'[47]Sorted Master-2112-2148'!#REF!</definedName>
    <definedName name="TOTCRECREV">'[47]Sorted Master-2112-2148'!#REF!</definedName>
    <definedName name="TOTCRECTDEP" localSheetId="3">'[47]Sorted Master-2112-2148'!#REF!</definedName>
    <definedName name="TOTCRECTDEP">'[47]Sorted Master-2112-2148'!#REF!</definedName>
    <definedName name="TOTCRECTH">'[27]Sorted Master'!$Z$8</definedName>
    <definedName name="TOTCRECTV" localSheetId="3">'[47]Sorted Master-2112-2148'!#REF!</definedName>
    <definedName name="TOTCRECTV">'[47]Sorted Master-2112-2148'!#REF!</definedName>
    <definedName name="TOTCUST" localSheetId="3">'[47]Sorted Master-2112-2148'!#REF!</definedName>
    <definedName name="TOTCUST">'[47]Sorted Master-2112-2148'!#REF!</definedName>
    <definedName name="TOTDBCONT" localSheetId="3">'[47]Sorted Master-2112-2148'!#REF!</definedName>
    <definedName name="TOTDBCONT">'[47]Sorted Master-2112-2148'!#REF!</definedName>
    <definedName name="TOTDBCUST" localSheetId="3">'[47]Sorted Master-2112-2148'!#REF!</definedName>
    <definedName name="TOTDBCUST">'[47]Sorted Master-2112-2148'!#REF!</definedName>
    <definedName name="TOTDBDH">'[47]Sorted Master-2112-2148'!#REF!</definedName>
    <definedName name="TOTDBREV">'[47]Sorted Master-2112-2148'!#REF!</definedName>
    <definedName name="TOTDBTDEP">'[47]Sorted Master-2112-2148'!#REF!</definedName>
    <definedName name="TOTDBTH">'[47]Sorted Master-2112-2148'!#REF!</definedName>
    <definedName name="TOTDBTV">'[47]Sorted Master-2112-2148'!#REF!</definedName>
    <definedName name="TOTDEBCONT">'[47]Sorted Master-2112-2148'!#REF!</definedName>
    <definedName name="TOTDEBCUST">'[47]Sorted Master-2112-2148'!#REF!</definedName>
    <definedName name="TOTDEBDH">'[47]Sorted Master-2112-2148'!#REF!</definedName>
    <definedName name="TOTDEBREV">'[47]Sorted Master-2112-2148'!#REF!</definedName>
    <definedName name="TOTDEBTH">'[27]Sorted Master'!$AD$8</definedName>
    <definedName name="TOTDH" localSheetId="3">'[47]Sorted Master-2112-2148'!#REF!</definedName>
    <definedName name="TOTDH">'[47]Sorted Master-2112-2148'!#REF!</definedName>
    <definedName name="TOTFELCONT" localSheetId="3">'[47]Sorted Master-2112-2148'!#REF!</definedName>
    <definedName name="TOTFELCONT">'[47]Sorted Master-2112-2148'!#REF!</definedName>
    <definedName name="TOTFELCUST" localSheetId="3">'[47]Sorted Master-2112-2148'!#REF!</definedName>
    <definedName name="TOTFELCUST">'[47]Sorted Master-2112-2148'!#REF!</definedName>
    <definedName name="TOTFELDH" localSheetId="3">'[47]Sorted Master-2112-2148'!#REF!</definedName>
    <definedName name="TOTFELDH">'[47]Sorted Master-2112-2148'!#REF!</definedName>
    <definedName name="TOTFELREV">'[47]Sorted Master-2112-2148'!#REF!</definedName>
    <definedName name="TOTFELTDEP">'[47]Sorted Master-2112-2148'!#REF!</definedName>
    <definedName name="TOTFELTH">'[47]Sorted Master-2112-2148'!#REF!</definedName>
    <definedName name="TOTFELTV">'[47]Sorted Master-2112-2148'!#REF!</definedName>
    <definedName name="TOTRESCONT">'[47]Sorted Master-2112-2148'!#REF!</definedName>
    <definedName name="TOTRESCUST">'[47]Sorted Master-2112-2148'!#REF!</definedName>
    <definedName name="TOTRESDH">'[47]Sorted Master-2112-2148'!#REF!</definedName>
    <definedName name="TOTRESRCONT">'[47]Sorted Master-2112-2148'!#REF!</definedName>
    <definedName name="TOTRESRCUST">'[47]Sorted Master-2112-2148'!#REF!</definedName>
    <definedName name="TOTRESRDH">'[47]Sorted Master-2112-2148'!#REF!</definedName>
    <definedName name="TOTRESREV">'[47]Sorted Master-2112-2148'!#REF!</definedName>
    <definedName name="TOTRESRREV">'[47]Sorted Master-2112-2148'!#REF!</definedName>
    <definedName name="TOTRESRTDEP">'[47]Sorted Master-2112-2148'!#REF!</definedName>
    <definedName name="TOTRESRTH">'[47]Sorted Master-2112-2148'!#REF!</definedName>
    <definedName name="TOTRESRTV">'[47]Sorted Master-2112-2148'!#REF!</definedName>
    <definedName name="TOTRESTDEP">'[47]Sorted Master-2112-2148'!#REF!</definedName>
    <definedName name="TOTRESTH">'[47]Sorted Master-2112-2148'!#REF!</definedName>
    <definedName name="TOTRESTV">'[47]Sorted Master-2112-2148'!#REF!</definedName>
    <definedName name="TOTREV">'[47]Sorted Master-2112-2148'!#REF!</definedName>
    <definedName name="TOTTDEP">'[47]Sorted Master-2112-2148'!#REF!</definedName>
    <definedName name="TOTTH">'[47]Sorted Master-2112-2148'!#REF!</definedName>
    <definedName name="TOTTV">'[47]Sorted Master-2112-2148'!#REF!</definedName>
    <definedName name="Transactions" localSheetId="4">#REF!</definedName>
    <definedName name="Transactions" localSheetId="3">#REF!</definedName>
    <definedName name="Transactions">#REF!</definedName>
    <definedName name="UnformattedIS">#REF!</definedName>
    <definedName name="UnregulatedIS" localSheetId="4">'[34]2010 IS'!$A$12:$Q$654</definedName>
    <definedName name="UnregulatedIS" localSheetId="3">'[34]2010 IS'!$A$12:$Q$654</definedName>
    <definedName name="UnregulatedIS">'[35]2010 IS'!$A$12:$Q$654</definedName>
    <definedName name="UserTestMode">[20]Summary!$J$9</definedName>
    <definedName name="ValidFormats">[6]Delivery!$AA$4:$AA$10</definedName>
    <definedName name="Variables">'[11]Income Statement (WMofWA)'!#REF!</definedName>
    <definedName name="VarianceStatus">[20]Summary!$L$17</definedName>
    <definedName name="VarianceTolerance">[20]Summary!$U$21</definedName>
    <definedName name="VendorCode" localSheetId="4">#REF!</definedName>
    <definedName name="VendorCode" localSheetId="3">#REF!</definedName>
    <definedName name="VendorCode">#REF!</definedName>
    <definedName name="Version" localSheetId="4">[23]Data!#REF!</definedName>
    <definedName name="Version" localSheetId="3">[23]Data!#REF!</definedName>
    <definedName name="Version">[24]Data!#REF!</definedName>
    <definedName name="Waste_Management__Inc." localSheetId="3">#REF!</definedName>
    <definedName name="Waste_Management__Inc.">#REF!</definedName>
    <definedName name="WksInYr" localSheetId="3">#REF!</definedName>
    <definedName name="WksInYr">#REF!</definedName>
    <definedName name="WM" localSheetId="3">#REF!</definedName>
    <definedName name="WM">#REF!</definedName>
    <definedName name="wrn.PrintReview.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4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4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4" hidden="1">{"Page1",#N/A,TRUE,"SUMM";"Page2",#N/A,TRUE,"Rev";"Page3",#N/A,TRUE,"Dir_Costs"}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4">#REF!</definedName>
    <definedName name="WTable" localSheetId="3">#REF!</definedName>
    <definedName name="WTable">#REF!</definedName>
    <definedName name="WTableOld">#REF!</definedName>
    <definedName name="ww">#REF!</definedName>
    <definedName name="x" localSheetId="4">rank</definedName>
    <definedName name="x" localSheetId="3">rank</definedName>
    <definedName name="x">rank</definedName>
    <definedName name="xperiod">[3]Orientation!$G$15</definedName>
    <definedName name="xtabin" localSheetId="4">[8]Hidden!#REF!</definedName>
    <definedName name="xtabin" localSheetId="3">[8]Hidden!#REF!</definedName>
    <definedName name="xtabin">[8]Hidden!#REF!</definedName>
    <definedName name="xx" localSheetId="4">#REF!</definedName>
    <definedName name="xx" localSheetId="3">#REF!</definedName>
    <definedName name="xx">#REF!</definedName>
    <definedName name="xxx">#REF!</definedName>
    <definedName name="xxxx">#REF!</definedName>
    <definedName name="y_inter1">'[40]LG Nonpublic 2018 V5.0'!$W$55</definedName>
    <definedName name="y_inter2">'[40]LG Nonpublic 2018 V5.0'!$W$56</definedName>
    <definedName name="y_inter3">'[40]LG Nonpublic 2018 V5.0'!$Y$55</definedName>
    <definedName name="y_inter4">'[40]LG Nonpublic 2018 V5.0'!$Y$56</definedName>
    <definedName name="Year">'[48]Aug Av. Fuel Price'!$E$15</definedName>
    <definedName name="Year_of_Review">'[16]Title Inputs'!$C$3</definedName>
    <definedName name="YEAR4" localSheetId="3">#REF!</definedName>
    <definedName name="YEAR4">#REF!</definedName>
    <definedName name="YearMonth" localSheetId="4">'[25]Vashon BS'!#REF!</definedName>
    <definedName name="YearMonth" localSheetId="3">'[25]Vashon BS'!#REF!</definedName>
    <definedName name="YearMonth">'[25]Vashon BS'!#REF!</definedName>
    <definedName name="YearMonthDate">[12]Settings!$I$10</definedName>
    <definedName name="YearMonthDate2">[12]Settings!$I$11</definedName>
    <definedName name="YearMonthDate3">[12]Settings!$I$12</definedName>
    <definedName name="YearMonthDate4">[12]Settings!$I$13</definedName>
    <definedName name="YearMonthDate5">[12]Settings!$I$14</definedName>
    <definedName name="yrCur">'[49]Report Template'!$B$2002</definedName>
    <definedName name="yrNext">'[49]Report Template'!$B$2003</definedName>
    <definedName name="YWMedWasteDisp">#N/A</definedName>
    <definedName name="yy" localSheetId="4">#REF!</definedName>
    <definedName name="yy" localSheetId="3">#REF!</definedName>
    <definedName name="yy">#REF!</definedName>
    <definedName name="Zero_Format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2" i="10" l="1"/>
  <c r="AH93" i="10"/>
  <c r="C59" i="6"/>
  <c r="I74" i="6"/>
  <c r="I73" i="6"/>
  <c r="H72" i="6"/>
  <c r="AH128" i="10"/>
  <c r="G13" i="7"/>
  <c r="G12" i="7"/>
  <c r="R45" i="7"/>
  <c r="M27" i="7" l="1"/>
  <c r="C27" i="8"/>
  <c r="C23" i="8"/>
  <c r="C24" i="8" s="1"/>
  <c r="C25" i="8" s="1"/>
  <c r="C67" i="6" l="1"/>
  <c r="D61" i="7"/>
  <c r="D62" i="7" s="1"/>
  <c r="B9" i="11"/>
  <c r="C9" i="11"/>
  <c r="D9" i="11"/>
  <c r="E9" i="11"/>
  <c r="F9" i="11"/>
  <c r="G9" i="11"/>
  <c r="H9" i="11"/>
  <c r="I9" i="11"/>
  <c r="J9" i="11"/>
  <c r="K9" i="11"/>
  <c r="L9" i="11"/>
  <c r="M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A11" i="11"/>
  <c r="A12" i="11"/>
  <c r="B12" i="11"/>
  <c r="C12" i="11"/>
  <c r="C16" i="11" s="1"/>
  <c r="D12" i="11"/>
  <c r="E12" i="11"/>
  <c r="F12" i="11"/>
  <c r="G12" i="11"/>
  <c r="H12" i="11"/>
  <c r="I12" i="11"/>
  <c r="J12" i="11"/>
  <c r="K12" i="11"/>
  <c r="K16" i="11" s="1"/>
  <c r="L12" i="11"/>
  <c r="M12" i="11"/>
  <c r="N12" i="11"/>
  <c r="A13" i="11"/>
  <c r="A14" i="11"/>
  <c r="B14" i="11"/>
  <c r="C14" i="11"/>
  <c r="D14" i="11"/>
  <c r="D16" i="11" s="1"/>
  <c r="E14" i="11"/>
  <c r="E16" i="11" s="1"/>
  <c r="F14" i="11"/>
  <c r="F16" i="11" s="1"/>
  <c r="G14" i="11"/>
  <c r="G16" i="11" s="1"/>
  <c r="H14" i="11"/>
  <c r="I14" i="11"/>
  <c r="J14" i="11"/>
  <c r="K14" i="11"/>
  <c r="L14" i="11"/>
  <c r="L16" i="11" s="1"/>
  <c r="M14" i="11"/>
  <c r="M16" i="11" s="1"/>
  <c r="B16" i="11"/>
  <c r="H16" i="11"/>
  <c r="I16" i="11"/>
  <c r="J16" i="11"/>
  <c r="N17" i="11"/>
  <c r="C23" i="11"/>
  <c r="B24" i="11"/>
  <c r="B25" i="11" s="1"/>
  <c r="B27" i="11" s="1"/>
  <c r="B26" i="11"/>
  <c r="C26" i="11"/>
  <c r="N16" i="11" l="1"/>
  <c r="N18" i="11" s="1"/>
  <c r="C25" i="11"/>
  <c r="C27" i="11" s="1"/>
  <c r="N14" i="11"/>
  <c r="C24" i="11" s="1"/>
  <c r="M23" i="7" l="1"/>
  <c r="G23" i="7"/>
  <c r="G27" i="7"/>
  <c r="AC156" i="10"/>
  <c r="AB156" i="10"/>
  <c r="AA156" i="10"/>
  <c r="Z156" i="10"/>
  <c r="Y156" i="10"/>
  <c r="X156" i="10"/>
  <c r="W156" i="10"/>
  <c r="V156" i="10"/>
  <c r="U156" i="10"/>
  <c r="S153" i="10"/>
  <c r="AU153" i="10" s="1"/>
  <c r="R153" i="10"/>
  <c r="R156" i="10" s="1"/>
  <c r="AF156" i="10" s="1"/>
  <c r="Q153" i="10"/>
  <c r="Q156" i="10" s="1"/>
  <c r="AE156" i="10" s="1"/>
  <c r="P153" i="10"/>
  <c r="P156" i="10" s="1"/>
  <c r="AD156" i="10" s="1"/>
  <c r="O153" i="10"/>
  <c r="O156" i="10" s="1"/>
  <c r="N153" i="10"/>
  <c r="N156" i="10" s="1"/>
  <c r="M153" i="10"/>
  <c r="M156" i="10" s="1"/>
  <c r="L153" i="10"/>
  <c r="L156" i="10" s="1"/>
  <c r="K153" i="10"/>
  <c r="K156" i="10" s="1"/>
  <c r="J153" i="10"/>
  <c r="J156" i="10" s="1"/>
  <c r="I153" i="10"/>
  <c r="I156" i="10" s="1"/>
  <c r="H153" i="10"/>
  <c r="H156" i="10" s="1"/>
  <c r="G153" i="10"/>
  <c r="G156" i="10" s="1"/>
  <c r="D151" i="10"/>
  <c r="V151" i="10" s="1"/>
  <c r="A151" i="10"/>
  <c r="E151" i="10" s="1"/>
  <c r="D150" i="10"/>
  <c r="W150" i="10" s="1"/>
  <c r="A150" i="10"/>
  <c r="E150" i="10" s="1"/>
  <c r="D149" i="10"/>
  <c r="X149" i="10" s="1"/>
  <c r="A149" i="10"/>
  <c r="E149" i="10" s="1"/>
  <c r="D148" i="10"/>
  <c r="Y148" i="10" s="1"/>
  <c r="A148" i="10"/>
  <c r="E148" i="10" s="1"/>
  <c r="AC148" i="10" s="1"/>
  <c r="AH141" i="10"/>
  <c r="AF141" i="10"/>
  <c r="AF144" i="10" s="1"/>
  <c r="AE141" i="10"/>
  <c r="AE144" i="10" s="1"/>
  <c r="AD141" i="10"/>
  <c r="AD144" i="10" s="1"/>
  <c r="AC141" i="10"/>
  <c r="AC144" i="10" s="1"/>
  <c r="AB141" i="10"/>
  <c r="AB144" i="10" s="1"/>
  <c r="AA141" i="10"/>
  <c r="AA144" i="10" s="1"/>
  <c r="Z141" i="10"/>
  <c r="Z144" i="10" s="1"/>
  <c r="Y141" i="10"/>
  <c r="Y144" i="10" s="1"/>
  <c r="X141" i="10"/>
  <c r="X144" i="10" s="1"/>
  <c r="W141" i="10"/>
  <c r="W144" i="10" s="1"/>
  <c r="V141" i="10"/>
  <c r="V144" i="10" s="1"/>
  <c r="U141" i="10"/>
  <c r="U144" i="10" s="1"/>
  <c r="S141" i="10"/>
  <c r="AU141" i="10" s="1"/>
  <c r="R141" i="10"/>
  <c r="R144" i="10" s="1"/>
  <c r="Q141" i="10"/>
  <c r="Q144" i="10" s="1"/>
  <c r="P141" i="10"/>
  <c r="P144" i="10" s="1"/>
  <c r="O141" i="10"/>
  <c r="O144" i="10" s="1"/>
  <c r="N141" i="10"/>
  <c r="N144" i="10" s="1"/>
  <c r="M141" i="10"/>
  <c r="M144" i="10" s="1"/>
  <c r="L141" i="10"/>
  <c r="L144" i="10" s="1"/>
  <c r="K141" i="10"/>
  <c r="K144" i="10" s="1"/>
  <c r="J141" i="10"/>
  <c r="J144" i="10" s="1"/>
  <c r="I141" i="10"/>
  <c r="I144" i="10" s="1"/>
  <c r="H141" i="10"/>
  <c r="H144" i="10" s="1"/>
  <c r="G141" i="10"/>
  <c r="G144" i="10" s="1"/>
  <c r="S133" i="10"/>
  <c r="AU133" i="10" s="1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D131" i="10"/>
  <c r="Y131" i="10" s="1"/>
  <c r="A131" i="10"/>
  <c r="E131" i="10" s="1"/>
  <c r="AK128" i="10"/>
  <c r="AJ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AN127" i="10"/>
  <c r="AA126" i="10"/>
  <c r="Z126" i="10"/>
  <c r="Y126" i="10"/>
  <c r="X126" i="10"/>
  <c r="W126" i="10"/>
  <c r="V126" i="10"/>
  <c r="U126" i="10"/>
  <c r="E126" i="10"/>
  <c r="A126" i="10"/>
  <c r="AA125" i="10"/>
  <c r="Z125" i="10"/>
  <c r="Y125" i="10"/>
  <c r="X125" i="10"/>
  <c r="W125" i="10"/>
  <c r="V125" i="10"/>
  <c r="U125" i="10"/>
  <c r="A125" i="10"/>
  <c r="E125" i="10" s="1"/>
  <c r="D124" i="10"/>
  <c r="AA124" i="10" s="1"/>
  <c r="A124" i="10"/>
  <c r="E124" i="10" s="1"/>
  <c r="X123" i="10"/>
  <c r="D123" i="10"/>
  <c r="U123" i="10" s="1"/>
  <c r="A123" i="10"/>
  <c r="E123" i="10" s="1"/>
  <c r="AD123" i="10" s="1"/>
  <c r="AF122" i="10"/>
  <c r="AE122" i="10"/>
  <c r="AD122" i="10"/>
  <c r="AC122" i="10"/>
  <c r="AB122" i="10"/>
  <c r="AA122" i="10"/>
  <c r="Z122" i="10"/>
  <c r="Y122" i="10"/>
  <c r="X122" i="10"/>
  <c r="W122" i="10"/>
  <c r="V122" i="10"/>
  <c r="U122" i="10"/>
  <c r="A122" i="10"/>
  <c r="D121" i="10"/>
  <c r="AA121" i="10" s="1"/>
  <c r="A121" i="10"/>
  <c r="E121" i="10" s="1"/>
  <c r="AE121" i="10" s="1"/>
  <c r="W120" i="10"/>
  <c r="V120" i="10"/>
  <c r="D120" i="10"/>
  <c r="AA120" i="10" s="1"/>
  <c r="A120" i="10"/>
  <c r="E120" i="10" s="1"/>
  <c r="D119" i="10"/>
  <c r="W119" i="10" s="1"/>
  <c r="A119" i="10"/>
  <c r="E119" i="10" s="1"/>
  <c r="D118" i="10"/>
  <c r="Z118" i="10" s="1"/>
  <c r="A118" i="10"/>
  <c r="E118" i="10" s="1"/>
  <c r="D117" i="10"/>
  <c r="X117" i="10" s="1"/>
  <c r="A117" i="10"/>
  <c r="E117" i="10" s="1"/>
  <c r="D116" i="10"/>
  <c r="U116" i="10" s="1"/>
  <c r="A116" i="10"/>
  <c r="E116" i="10" s="1"/>
  <c r="AC116" i="10" s="1"/>
  <c r="D115" i="10"/>
  <c r="Z115" i="10" s="1"/>
  <c r="A115" i="10"/>
  <c r="E115" i="10" s="1"/>
  <c r="D114" i="10"/>
  <c r="A114" i="10"/>
  <c r="E114" i="10" s="1"/>
  <c r="D113" i="10"/>
  <c r="A113" i="10"/>
  <c r="E113" i="10" s="1"/>
  <c r="D112" i="10"/>
  <c r="Z112" i="10" s="1"/>
  <c r="A112" i="10"/>
  <c r="E112" i="10" s="1"/>
  <c r="D111" i="10"/>
  <c r="U111" i="10" s="1"/>
  <c r="A111" i="10"/>
  <c r="E111" i="10" s="1"/>
  <c r="AE111" i="10" s="1"/>
  <c r="E110" i="10"/>
  <c r="D110" i="10"/>
  <c r="A110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S101" i="10"/>
  <c r="AU101" i="10" s="1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AH97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U97" i="10"/>
  <c r="S97" i="10"/>
  <c r="AU97" i="10" s="1"/>
  <c r="R97" i="10"/>
  <c r="Q97" i="10"/>
  <c r="P97" i="10"/>
  <c r="O97" i="10"/>
  <c r="N97" i="10"/>
  <c r="M97" i="10"/>
  <c r="L97" i="10"/>
  <c r="K97" i="10"/>
  <c r="J97" i="10"/>
  <c r="I97" i="10"/>
  <c r="H97" i="10"/>
  <c r="G97" i="10"/>
  <c r="AK92" i="10"/>
  <c r="AJ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G104" i="10" s="1"/>
  <c r="AN91" i="10"/>
  <c r="A90" i="10"/>
  <c r="E89" i="10"/>
  <c r="AD89" i="10" s="1"/>
  <c r="D89" i="10"/>
  <c r="A89" i="10"/>
  <c r="E88" i="10"/>
  <c r="A88" i="10"/>
  <c r="D88" i="10" s="1"/>
  <c r="E87" i="10"/>
  <c r="A87" i="10"/>
  <c r="D87" i="10" s="1"/>
  <c r="V87" i="10" s="1"/>
  <c r="A86" i="10"/>
  <c r="E86" i="10" s="1"/>
  <c r="A85" i="10"/>
  <c r="E85" i="10" s="1"/>
  <c r="AQ84" i="10"/>
  <c r="X84" i="10"/>
  <c r="E84" i="10"/>
  <c r="AF84" i="10" s="1"/>
  <c r="D84" i="10"/>
  <c r="Y84" i="10" s="1"/>
  <c r="A84" i="10"/>
  <c r="AQ83" i="10"/>
  <c r="E83" i="10"/>
  <c r="AB83" i="10" s="1"/>
  <c r="D83" i="10"/>
  <c r="X83" i="10" s="1"/>
  <c r="A83" i="10"/>
  <c r="A82" i="10"/>
  <c r="E82" i="10" s="1"/>
  <c r="A81" i="10"/>
  <c r="D81" i="10" s="1"/>
  <c r="Y81" i="10" s="1"/>
  <c r="AQ80" i="10"/>
  <c r="Y80" i="10"/>
  <c r="E80" i="10"/>
  <c r="AC80" i="10" s="1"/>
  <c r="D80" i="10"/>
  <c r="AA80" i="10" s="1"/>
  <c r="A80" i="10"/>
  <c r="A79" i="10"/>
  <c r="E79" i="10" s="1"/>
  <c r="AC79" i="10" s="1"/>
  <c r="A78" i="10"/>
  <c r="E77" i="10"/>
  <c r="AC77" i="10" s="1"/>
  <c r="A77" i="10"/>
  <c r="D77" i="10" s="1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A76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A75" i="10"/>
  <c r="AQ74" i="10"/>
  <c r="X74" i="10"/>
  <c r="U74" i="10"/>
  <c r="E74" i="10"/>
  <c r="D74" i="10"/>
  <c r="AA74" i="10" s="1"/>
  <c r="A74" i="10"/>
  <c r="AQ73" i="10"/>
  <c r="E73" i="10"/>
  <c r="AB73" i="10" s="1"/>
  <c r="D73" i="10"/>
  <c r="U73" i="10" s="1"/>
  <c r="A73" i="10"/>
  <c r="AQ72" i="10"/>
  <c r="E72" i="10"/>
  <c r="AE72" i="10" s="1"/>
  <c r="D72" i="10"/>
  <c r="V72" i="10" s="1"/>
  <c r="A72" i="10"/>
  <c r="AQ71" i="10"/>
  <c r="E71" i="10"/>
  <c r="D71" i="10"/>
  <c r="Z71" i="10" s="1"/>
  <c r="A71" i="10"/>
  <c r="AQ70" i="10"/>
  <c r="E70" i="10"/>
  <c r="AE70" i="10" s="1"/>
  <c r="D70" i="10"/>
  <c r="AA70" i="10" s="1"/>
  <c r="A70" i="10"/>
  <c r="AF69" i="10"/>
  <c r="AE69" i="10"/>
  <c r="AD69" i="10"/>
  <c r="AC69" i="10"/>
  <c r="AB69" i="10"/>
  <c r="AA69" i="10"/>
  <c r="Z69" i="10"/>
  <c r="Y69" i="10"/>
  <c r="X69" i="10"/>
  <c r="W69" i="10"/>
  <c r="V69" i="10"/>
  <c r="U69" i="10"/>
  <c r="A69" i="10"/>
  <c r="AQ68" i="10"/>
  <c r="Z68" i="10"/>
  <c r="W68" i="10"/>
  <c r="V68" i="10"/>
  <c r="E68" i="10"/>
  <c r="D68" i="10"/>
  <c r="AA68" i="10" s="1"/>
  <c r="A68" i="10"/>
  <c r="AQ67" i="10"/>
  <c r="AA67" i="10"/>
  <c r="E67" i="10"/>
  <c r="AF67" i="10" s="1"/>
  <c r="D67" i="10"/>
  <c r="U67" i="10" s="1"/>
  <c r="A67" i="10"/>
  <c r="AQ66" i="10"/>
  <c r="AC66" i="10"/>
  <c r="E66" i="10"/>
  <c r="D66" i="10"/>
  <c r="Z66" i="10" s="1"/>
  <c r="A66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A65" i="10"/>
  <c r="AQ64" i="10"/>
  <c r="E64" i="10"/>
  <c r="AF64" i="10" s="1"/>
  <c r="D64" i="10"/>
  <c r="A64" i="10"/>
  <c r="AQ63" i="10"/>
  <c r="AA63" i="10"/>
  <c r="E63" i="10"/>
  <c r="AF63" i="10" s="1"/>
  <c r="D63" i="10"/>
  <c r="V63" i="10" s="1"/>
  <c r="A63" i="10"/>
  <c r="AQ62" i="10"/>
  <c r="E62" i="10"/>
  <c r="AB62" i="10" s="1"/>
  <c r="D62" i="10"/>
  <c r="X62" i="10" s="1"/>
  <c r="A62" i="10"/>
  <c r="AQ61" i="10"/>
  <c r="E61" i="10"/>
  <c r="AD61" i="10" s="1"/>
  <c r="D61" i="10"/>
  <c r="Y61" i="10" s="1"/>
  <c r="A61" i="10"/>
  <c r="AQ60" i="10"/>
  <c r="E60" i="10"/>
  <c r="AE60" i="10" s="1"/>
  <c r="D60" i="10"/>
  <c r="AA60" i="10" s="1"/>
  <c r="A60" i="10"/>
  <c r="AQ59" i="10"/>
  <c r="AA59" i="10"/>
  <c r="E59" i="10"/>
  <c r="AC59" i="10" s="1"/>
  <c r="D59" i="10"/>
  <c r="X59" i="10" s="1"/>
  <c r="A59" i="10"/>
  <c r="A58" i="10"/>
  <c r="E58" i="10" s="1"/>
  <c r="A57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AL44" i="10"/>
  <c r="AK44" i="10"/>
  <c r="S44" i="10"/>
  <c r="S51" i="10" s="1"/>
  <c r="R44" i="10"/>
  <c r="Q44" i="10"/>
  <c r="P44" i="10"/>
  <c r="O44" i="10"/>
  <c r="N44" i="10"/>
  <c r="M44" i="10"/>
  <c r="L44" i="10"/>
  <c r="K44" i="10"/>
  <c r="J44" i="10"/>
  <c r="I44" i="10"/>
  <c r="H44" i="10"/>
  <c r="G44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A42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A41" i="10"/>
  <c r="A40" i="10"/>
  <c r="A39" i="10"/>
  <c r="E39" i="10" s="1"/>
  <c r="AL36" i="10"/>
  <c r="AK36" i="10"/>
  <c r="AJ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AN35" i="10"/>
  <c r="D34" i="10"/>
  <c r="W34" i="10" s="1"/>
  <c r="A34" i="10"/>
  <c r="E34" i="10" s="1"/>
  <c r="A33" i="10"/>
  <c r="D33" i="10" s="1"/>
  <c r="AF32" i="10"/>
  <c r="AE32" i="10"/>
  <c r="AD32" i="10"/>
  <c r="AC32" i="10"/>
  <c r="AB32" i="10"/>
  <c r="A32" i="10"/>
  <c r="D32" i="10" s="1"/>
  <c r="Z32" i="10" s="1"/>
  <c r="A31" i="10"/>
  <c r="E31" i="10" s="1"/>
  <c r="AC31" i="10" s="1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A30" i="10"/>
  <c r="AF29" i="10"/>
  <c r="AE29" i="10"/>
  <c r="AD29" i="10"/>
  <c r="AC29" i="10"/>
  <c r="AB29" i="10"/>
  <c r="A29" i="10"/>
  <c r="D29" i="10" s="1"/>
  <c r="AA29" i="10" s="1"/>
  <c r="AF28" i="10"/>
  <c r="AE28" i="10"/>
  <c r="AD28" i="10"/>
  <c r="AC28" i="10"/>
  <c r="AB28" i="10"/>
  <c r="A28" i="10"/>
  <c r="D28" i="10" s="1"/>
  <c r="AF27" i="10"/>
  <c r="AE27" i="10"/>
  <c r="AD27" i="10"/>
  <c r="AC27" i="10"/>
  <c r="AB27" i="10"/>
  <c r="A27" i="10"/>
  <c r="D27" i="10" s="1"/>
  <c r="X27" i="10" s="1"/>
  <c r="A26" i="10"/>
  <c r="A25" i="10"/>
  <c r="E25" i="10" s="1"/>
  <c r="AE25" i="10" s="1"/>
  <c r="A24" i="10"/>
  <c r="D24" i="10" s="1"/>
  <c r="X24" i="10" s="1"/>
  <c r="A23" i="10"/>
  <c r="A22" i="10"/>
  <c r="D22" i="10" s="1"/>
  <c r="A21" i="10"/>
  <c r="E21" i="10" s="1"/>
  <c r="AD21" i="10" s="1"/>
  <c r="A20" i="10"/>
  <c r="A19" i="10"/>
  <c r="A18" i="10"/>
  <c r="D18" i="10" s="1"/>
  <c r="A17" i="10"/>
  <c r="A16" i="10"/>
  <c r="D16" i="10" s="1"/>
  <c r="AF15" i="10"/>
  <c r="AE15" i="10"/>
  <c r="AD15" i="10"/>
  <c r="AC15" i="10"/>
  <c r="AB15" i="10"/>
  <c r="V15" i="10"/>
  <c r="A15" i="10"/>
  <c r="D15" i="10" s="1"/>
  <c r="Z15" i="10" s="1"/>
  <c r="A14" i="10"/>
  <c r="E14" i="10" s="1"/>
  <c r="AE14" i="10" s="1"/>
  <c r="A13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A12" i="10"/>
  <c r="A11" i="10"/>
  <c r="R6" i="10"/>
  <c r="AF6" i="10" s="1"/>
  <c r="Q6" i="10"/>
  <c r="AE6" i="10" s="1"/>
  <c r="P6" i="10"/>
  <c r="AD6" i="10" s="1"/>
  <c r="O6" i="10"/>
  <c r="AC6" i="10" s="1"/>
  <c r="N6" i="10"/>
  <c r="AB6" i="10" s="1"/>
  <c r="M6" i="10"/>
  <c r="AA6" i="10" s="1"/>
  <c r="L6" i="10"/>
  <c r="Z6" i="10" s="1"/>
  <c r="K6" i="10"/>
  <c r="Y6" i="10" s="1"/>
  <c r="J6" i="10"/>
  <c r="X6" i="10" s="1"/>
  <c r="I6" i="10"/>
  <c r="W6" i="10" s="1"/>
  <c r="H6" i="10"/>
  <c r="V6" i="10" s="1"/>
  <c r="G6" i="10"/>
  <c r="U6" i="10" s="1"/>
  <c r="R3" i="10"/>
  <c r="Q3" i="10"/>
  <c r="P3" i="10"/>
  <c r="O3" i="10"/>
  <c r="N3" i="10"/>
  <c r="M3" i="10"/>
  <c r="L3" i="10"/>
  <c r="K3" i="10"/>
  <c r="J3" i="10"/>
  <c r="I3" i="10"/>
  <c r="H3" i="10"/>
  <c r="G3" i="10"/>
  <c r="B3" i="10"/>
  <c r="AB2" i="10"/>
  <c r="AE73" i="10" l="1"/>
  <c r="AA84" i="10"/>
  <c r="V29" i="10"/>
  <c r="L51" i="10"/>
  <c r="AB61" i="10"/>
  <c r="AF73" i="10"/>
  <c r="Y74" i="10"/>
  <c r="AE84" i="10"/>
  <c r="V115" i="10"/>
  <c r="W15" i="10"/>
  <c r="Y63" i="10"/>
  <c r="D82" i="10"/>
  <c r="L104" i="10"/>
  <c r="I51" i="10"/>
  <c r="AA72" i="10"/>
  <c r="K51" i="10"/>
  <c r="V80" i="10"/>
  <c r="V84" i="10"/>
  <c r="W80" i="10"/>
  <c r="W84" i="10"/>
  <c r="G136" i="10"/>
  <c r="O136" i="10"/>
  <c r="Z59" i="10"/>
  <c r="Y67" i="10"/>
  <c r="Y68" i="10"/>
  <c r="Y73" i="10"/>
  <c r="W74" i="10"/>
  <c r="Z80" i="10"/>
  <c r="W123" i="10"/>
  <c r="H136" i="10"/>
  <c r="P136" i="10"/>
  <c r="J51" i="10"/>
  <c r="R51" i="10"/>
  <c r="N51" i="10"/>
  <c r="AB59" i="10"/>
  <c r="AG76" i="10"/>
  <c r="H104" i="10"/>
  <c r="P104" i="10"/>
  <c r="AA115" i="10"/>
  <c r="Y118" i="10"/>
  <c r="W67" i="10"/>
  <c r="U68" i="10"/>
  <c r="V70" i="10"/>
  <c r="X71" i="10"/>
  <c r="U80" i="10"/>
  <c r="W111" i="10"/>
  <c r="I136" i="10"/>
  <c r="Q136" i="10"/>
  <c r="U70" i="10"/>
  <c r="W71" i="10"/>
  <c r="AA118" i="10"/>
  <c r="X61" i="10"/>
  <c r="U62" i="10"/>
  <c r="V66" i="10"/>
  <c r="W70" i="10"/>
  <c r="X111" i="10"/>
  <c r="Z148" i="10"/>
  <c r="X60" i="10"/>
  <c r="AA62" i="10"/>
  <c r="AE63" i="10"/>
  <c r="X68" i="10"/>
  <c r="AC73" i="10"/>
  <c r="X80" i="10"/>
  <c r="Z111" i="10"/>
  <c r="Z61" i="10"/>
  <c r="AA66" i="10"/>
  <c r="Y70" i="10"/>
  <c r="M104" i="10"/>
  <c r="Y111" i="10"/>
  <c r="AF60" i="10"/>
  <c r="N136" i="10"/>
  <c r="U149" i="10"/>
  <c r="AF113" i="10"/>
  <c r="AB113" i="10"/>
  <c r="AE113" i="10"/>
  <c r="Z33" i="10"/>
  <c r="Y33" i="10"/>
  <c r="X33" i="10"/>
  <c r="W33" i="10"/>
  <c r="V33" i="10"/>
  <c r="U33" i="10"/>
  <c r="AA33" i="10"/>
  <c r="AF86" i="10"/>
  <c r="AD86" i="10"/>
  <c r="AE150" i="10"/>
  <c r="AF150" i="10"/>
  <c r="AB68" i="10"/>
  <c r="AE68" i="10"/>
  <c r="AE71" i="10"/>
  <c r="AF71" i="10"/>
  <c r="AB74" i="10"/>
  <c r="AC74" i="10"/>
  <c r="E16" i="10"/>
  <c r="AD16" i="10" s="1"/>
  <c r="E24" i="10"/>
  <c r="AE24" i="10" s="1"/>
  <c r="D31" i="10"/>
  <c r="X31" i="10" s="1"/>
  <c r="AB34" i="10"/>
  <c r="AD34" i="10"/>
  <c r="X67" i="10"/>
  <c r="Z73" i="10"/>
  <c r="D79" i="10"/>
  <c r="D20" i="10"/>
  <c r="U20" i="10" s="1"/>
  <c r="E20" i="10"/>
  <c r="AE119" i="10"/>
  <c r="AD119" i="10"/>
  <c r="D57" i="10"/>
  <c r="E57" i="10"/>
  <c r="E81" i="10"/>
  <c r="AA113" i="10"/>
  <c r="X113" i="10"/>
  <c r="W113" i="10"/>
  <c r="Z113" i="10"/>
  <c r="AC149" i="10"/>
  <c r="AB149" i="10"/>
  <c r="AA116" i="10"/>
  <c r="W116" i="10"/>
  <c r="V116" i="10"/>
  <c r="X116" i="10"/>
  <c r="E17" i="10"/>
  <c r="AD17" i="10" s="1"/>
  <c r="D17" i="10"/>
  <c r="V17" i="10" s="1"/>
  <c r="Y28" i="10"/>
  <c r="X28" i="10"/>
  <c r="W28" i="10"/>
  <c r="AB31" i="10"/>
  <c r="AA83" i="10"/>
  <c r="W83" i="10"/>
  <c r="V83" i="10"/>
  <c r="U83" i="10"/>
  <c r="AA89" i="10"/>
  <c r="Z89" i="10"/>
  <c r="V89" i="10"/>
  <c r="Z28" i="10"/>
  <c r="E33" i="10"/>
  <c r="AF33" i="10" s="1"/>
  <c r="AC62" i="10"/>
  <c r="AE89" i="10"/>
  <c r="X22" i="10"/>
  <c r="U22" i="10"/>
  <c r="AA28" i="10"/>
  <c r="AD60" i="10"/>
  <c r="AC60" i="10"/>
  <c r="AB60" i="10"/>
  <c r="AA61" i="10"/>
  <c r="V61" i="10"/>
  <c r="U61" i="10"/>
  <c r="AD62" i="10"/>
  <c r="Y66" i="10"/>
  <c r="X66" i="10"/>
  <c r="W66" i="10"/>
  <c r="AD74" i="10"/>
  <c r="AB77" i="10"/>
  <c r="AD79" i="10"/>
  <c r="Z81" i="10"/>
  <c r="Y83" i="10"/>
  <c r="N104" i="10"/>
  <c r="N159" i="10" s="1"/>
  <c r="S104" i="10"/>
  <c r="U113" i="10"/>
  <c r="E11" i="10"/>
  <c r="D11" i="10"/>
  <c r="Y11" i="10" s="1"/>
  <c r="AB14" i="10"/>
  <c r="E22" i="10"/>
  <c r="AC22" i="10" s="1"/>
  <c r="V60" i="10"/>
  <c r="AC61" i="10"/>
  <c r="AF61" i="10"/>
  <c r="AE61" i="10"/>
  <c r="AE62" i="10"/>
  <c r="AD72" i="10"/>
  <c r="AB72" i="10"/>
  <c r="AE74" i="10"/>
  <c r="AD77" i="10"/>
  <c r="AE79" i="10"/>
  <c r="Z83" i="10"/>
  <c r="D86" i="10"/>
  <c r="V113" i="10"/>
  <c r="AD131" i="10"/>
  <c r="AB131" i="10"/>
  <c r="AA34" i="10"/>
  <c r="Z34" i="10"/>
  <c r="AG75" i="10"/>
  <c r="D33" i="7" s="1"/>
  <c r="AI75" i="10" s="1"/>
  <c r="Y116" i="10"/>
  <c r="V28" i="10"/>
  <c r="U34" i="10"/>
  <c r="D14" i="10"/>
  <c r="Z14" i="10" s="1"/>
  <c r="E18" i="10"/>
  <c r="AE18" i="10" s="1"/>
  <c r="V34" i="10"/>
  <c r="AE59" i="10"/>
  <c r="AD59" i="10"/>
  <c r="AA73" i="10"/>
  <c r="W73" i="10"/>
  <c r="V73" i="10"/>
  <c r="AC118" i="10"/>
  <c r="AB118" i="10"/>
  <c r="W60" i="10"/>
  <c r="W61" i="10"/>
  <c r="W62" i="10"/>
  <c r="Z62" i="10"/>
  <c r="Y62" i="10"/>
  <c r="AF62" i="10"/>
  <c r="AD63" i="10"/>
  <c r="U66" i="10"/>
  <c r="AF68" i="10"/>
  <c r="X73" i="10"/>
  <c r="AF74" i="10"/>
  <c r="AF79" i="10"/>
  <c r="O104" i="10"/>
  <c r="Y149" i="10"/>
  <c r="P51" i="10"/>
  <c r="P159" i="10" s="1"/>
  <c r="R104" i="10"/>
  <c r="M51" i="10"/>
  <c r="AG41" i="10"/>
  <c r="Q51" i="10"/>
  <c r="K104" i="10"/>
  <c r="V111" i="10"/>
  <c r="U115" i="10"/>
  <c r="U118" i="10"/>
  <c r="Z120" i="10"/>
  <c r="U131" i="10"/>
  <c r="V148" i="10"/>
  <c r="V131" i="10"/>
  <c r="K136" i="10"/>
  <c r="S136" i="10"/>
  <c r="Z131" i="10"/>
  <c r="U120" i="10"/>
  <c r="W121" i="10"/>
  <c r="V123" i="10"/>
  <c r="L136" i="10"/>
  <c r="X150" i="10"/>
  <c r="M136" i="10"/>
  <c r="AG156" i="10"/>
  <c r="X120" i="10"/>
  <c r="Y123" i="10"/>
  <c r="H51" i="10"/>
  <c r="H159" i="10" s="1"/>
  <c r="J104" i="10"/>
  <c r="Y120" i="10"/>
  <c r="Z123" i="10"/>
  <c r="U148" i="10"/>
  <c r="W151" i="10"/>
  <c r="U77" i="10"/>
  <c r="AA77" i="10"/>
  <c r="V77" i="10"/>
  <c r="Y77" i="10"/>
  <c r="Z77" i="10"/>
  <c r="X77" i="10"/>
  <c r="W77" i="10"/>
  <c r="AG12" i="10"/>
  <c r="D25" i="10"/>
  <c r="U27" i="10"/>
  <c r="AE58" i="10"/>
  <c r="AF58" i="10"/>
  <c r="AD58" i="10"/>
  <c r="AC58" i="10"/>
  <c r="AB58" i="10"/>
  <c r="AH30" i="10"/>
  <c r="W16" i="10"/>
  <c r="V16" i="10"/>
  <c r="U16" i="10"/>
  <c r="AA16" i="10"/>
  <c r="Z16" i="10"/>
  <c r="AD39" i="10"/>
  <c r="AC39" i="10"/>
  <c r="AB39" i="10"/>
  <c r="AF39" i="10"/>
  <c r="W24" i="10"/>
  <c r="V24" i="10"/>
  <c r="U24" i="10"/>
  <c r="AA24" i="10"/>
  <c r="Z24" i="10"/>
  <c r="AE16" i="10"/>
  <c r="AC16" i="10"/>
  <c r="E19" i="10"/>
  <c r="D19" i="10"/>
  <c r="Y27" i="10"/>
  <c r="AA27" i="10"/>
  <c r="Z27" i="10"/>
  <c r="W27" i="10"/>
  <c r="V27" i="10"/>
  <c r="Y17" i="10"/>
  <c r="X17" i="10"/>
  <c r="W17" i="10"/>
  <c r="U17" i="10"/>
  <c r="Y24" i="10"/>
  <c r="U14" i="10"/>
  <c r="X16" i="10"/>
  <c r="AF21" i="10"/>
  <c r="AE21" i="10"/>
  <c r="AC21" i="10"/>
  <c r="AB21" i="10"/>
  <c r="X32" i="10"/>
  <c r="AA32" i="10"/>
  <c r="Y32" i="10"/>
  <c r="W32" i="10"/>
  <c r="V32" i="10"/>
  <c r="AE39" i="10"/>
  <c r="AB25" i="10"/>
  <c r="AF25" i="10"/>
  <c r="AD25" i="10"/>
  <c r="AC25" i="10"/>
  <c r="E26" i="10"/>
  <c r="D26" i="10"/>
  <c r="AA18" i="10"/>
  <c r="Z18" i="10"/>
  <c r="Y18" i="10"/>
  <c r="W18" i="10"/>
  <c r="V18" i="10"/>
  <c r="AF14" i="10"/>
  <c r="AD14" i="10"/>
  <c r="AC14" i="10"/>
  <c r="Y16" i="10"/>
  <c r="Z17" i="10"/>
  <c r="U18" i="10"/>
  <c r="W20" i="10"/>
  <c r="V20" i="10"/>
  <c r="AA20" i="10"/>
  <c r="Z20" i="10"/>
  <c r="U15" i="10"/>
  <c r="AA15" i="10"/>
  <c r="Y15" i="10"/>
  <c r="X15" i="10"/>
  <c r="AA17" i="10"/>
  <c r="X18" i="10"/>
  <c r="D21" i="10"/>
  <c r="AA22" i="10"/>
  <c r="Z22" i="10"/>
  <c r="Y22" i="10"/>
  <c r="W22" i="10"/>
  <c r="V22" i="10"/>
  <c r="U32" i="10"/>
  <c r="E40" i="10"/>
  <c r="D40" i="10"/>
  <c r="Q159" i="10"/>
  <c r="E13" i="10"/>
  <c r="D13" i="10"/>
  <c r="AF16" i="10"/>
  <c r="E23" i="10"/>
  <c r="D23" i="10"/>
  <c r="W29" i="10"/>
  <c r="U29" i="10"/>
  <c r="Z29" i="10"/>
  <c r="Y29" i="10"/>
  <c r="X29" i="10"/>
  <c r="U31" i="10"/>
  <c r="W31" i="10"/>
  <c r="V31" i="10"/>
  <c r="AA31" i="10"/>
  <c r="Z31" i="10"/>
  <c r="Y31" i="10"/>
  <c r="AE34" i="10"/>
  <c r="V64" i="10"/>
  <c r="U64" i="10"/>
  <c r="Z64" i="10"/>
  <c r="W64" i="10"/>
  <c r="AB66" i="10"/>
  <c r="AF66" i="10"/>
  <c r="AE66" i="10"/>
  <c r="AD66" i="10"/>
  <c r="AE67" i="10"/>
  <c r="AC67" i="10"/>
  <c r="AD67" i="10"/>
  <c r="AF70" i="10"/>
  <c r="AC70" i="10"/>
  <c r="AB70" i="10"/>
  <c r="E78" i="10"/>
  <c r="D78" i="10"/>
  <c r="AE83" i="10"/>
  <c r="AF83" i="10"/>
  <c r="AD83" i="10"/>
  <c r="AC83" i="10"/>
  <c r="AF34" i="10"/>
  <c r="AH41" i="10"/>
  <c r="Y57" i="10"/>
  <c r="AD64" i="10"/>
  <c r="AE64" i="10"/>
  <c r="X82" i="10"/>
  <c r="Z82" i="10"/>
  <c r="W82" i="10"/>
  <c r="V82" i="10"/>
  <c r="U82" i="10"/>
  <c r="AD88" i="10"/>
  <c r="AE88" i="10"/>
  <c r="AB88" i="10"/>
  <c r="AF88" i="10"/>
  <c r="AC88" i="10"/>
  <c r="AH12" i="10"/>
  <c r="U28" i="10"/>
  <c r="X34" i="10"/>
  <c r="AH42" i="10"/>
  <c r="G51" i="10"/>
  <c r="G159" i="10" s="1"/>
  <c r="O51" i="10"/>
  <c r="U63" i="10"/>
  <c r="Z63" i="10"/>
  <c r="X63" i="10"/>
  <c r="X64" i="10"/>
  <c r="AH69" i="10"/>
  <c r="AB71" i="10"/>
  <c r="Z72" i="10"/>
  <c r="X72" i="10"/>
  <c r="W72" i="10"/>
  <c r="U72" i="10"/>
  <c r="Y34" i="10"/>
  <c r="AC63" i="10"/>
  <c r="AB63" i="10"/>
  <c r="Y64" i="10"/>
  <c r="AF72" i="10"/>
  <c r="AC72" i="10"/>
  <c r="Y82" i="10"/>
  <c r="AD31" i="10"/>
  <c r="W57" i="10"/>
  <c r="AA57" i="10"/>
  <c r="Y59" i="10"/>
  <c r="V59" i="10"/>
  <c r="W59" i="10"/>
  <c r="Z60" i="10"/>
  <c r="Y60" i="10"/>
  <c r="AA64" i="10"/>
  <c r="AA82" i="10"/>
  <c r="D39" i="10"/>
  <c r="AD57" i="10"/>
  <c r="D58" i="10"/>
  <c r="AF59" i="10"/>
  <c r="W63" i="10"/>
  <c r="AB64" i="10"/>
  <c r="AC68" i="10"/>
  <c r="Y71" i="10"/>
  <c r="U71" i="10"/>
  <c r="AA71" i="10"/>
  <c r="V71" i="10"/>
  <c r="Y72" i="10"/>
  <c r="AD80" i="10"/>
  <c r="AE80" i="10"/>
  <c r="AB80" i="10"/>
  <c r="AF80" i="10"/>
  <c r="AG30" i="10"/>
  <c r="AE31" i="10"/>
  <c r="AH122" i="10"/>
  <c r="AH156" i="10"/>
  <c r="AH75" i="10"/>
  <c r="AH76" i="10"/>
  <c r="AH65" i="10"/>
  <c r="AF31" i="10"/>
  <c r="AC34" i="10"/>
  <c r="AG42" i="10"/>
  <c r="U57" i="10"/>
  <c r="U59" i="10"/>
  <c r="U60" i="10"/>
  <c r="AC64" i="10"/>
  <c r="AG65" i="10"/>
  <c r="D32" i="7" s="1"/>
  <c r="AI65" i="10" s="1"/>
  <c r="AB67" i="10"/>
  <c r="AD68" i="10"/>
  <c r="AH68" i="10" s="1"/>
  <c r="AG69" i="10"/>
  <c r="D27" i="7" s="1"/>
  <c r="AI69" i="10" s="1"/>
  <c r="AD70" i="10"/>
  <c r="AD71" i="10"/>
  <c r="AC71" i="10"/>
  <c r="AC87" i="10"/>
  <c r="AB87" i="10"/>
  <c r="AD87" i="10"/>
  <c r="AF87" i="10"/>
  <c r="AE87" i="10"/>
  <c r="AB110" i="10"/>
  <c r="AC110" i="10"/>
  <c r="AD110" i="10"/>
  <c r="AF110" i="10"/>
  <c r="AE110" i="10"/>
  <c r="AF112" i="10"/>
  <c r="AE112" i="10"/>
  <c r="AD112" i="10"/>
  <c r="AC112" i="10"/>
  <c r="AB112" i="10"/>
  <c r="AE85" i="10"/>
  <c r="AF85" i="10"/>
  <c r="AD85" i="10"/>
  <c r="AF82" i="10"/>
  <c r="AB82" i="10"/>
  <c r="D85" i="10"/>
  <c r="U87" i="10"/>
  <c r="Y87" i="10"/>
  <c r="X87" i="10"/>
  <c r="W87" i="10"/>
  <c r="J136" i="10"/>
  <c r="R136" i="10"/>
  <c r="V88" i="10"/>
  <c r="Z88" i="10"/>
  <c r="X88" i="10"/>
  <c r="AA88" i="10"/>
  <c r="Y88" i="10"/>
  <c r="Z110" i="10"/>
  <c r="Y110" i="10"/>
  <c r="V110" i="10"/>
  <c r="U110" i="10"/>
  <c r="AA110" i="10"/>
  <c r="AD114" i="10"/>
  <c r="AC114" i="10"/>
  <c r="AB114" i="10"/>
  <c r="AF114" i="10"/>
  <c r="V62" i="10"/>
  <c r="V74" i="10"/>
  <c r="Z74" i="10"/>
  <c r="U81" i="10"/>
  <c r="X81" i="10"/>
  <c r="W81" i="10"/>
  <c r="AA81" i="10"/>
  <c r="AC82" i="10"/>
  <c r="AC84" i="10"/>
  <c r="AD84" i="10"/>
  <c r="AB84" i="10"/>
  <c r="AB85" i="10"/>
  <c r="AB86" i="10"/>
  <c r="AC86" i="10"/>
  <c r="AE86" i="10"/>
  <c r="Z87" i="10"/>
  <c r="U88" i="10"/>
  <c r="Y89" i="10"/>
  <c r="W89" i="10"/>
  <c r="X89" i="10"/>
  <c r="U89" i="10"/>
  <c r="W110" i="10"/>
  <c r="AC81" i="10"/>
  <c r="AB81" i="10"/>
  <c r="AD82" i="10"/>
  <c r="AC85" i="10"/>
  <c r="AA87" i="10"/>
  <c r="W88" i="10"/>
  <c r="AF89" i="10"/>
  <c r="AC89" i="10"/>
  <c r="AB89" i="10"/>
  <c r="X110" i="10"/>
  <c r="AE114" i="10"/>
  <c r="V81" i="10"/>
  <c r="AE82" i="10"/>
  <c r="AC111" i="10"/>
  <c r="AB111" i="10"/>
  <c r="AD111" i="10"/>
  <c r="AF111" i="10"/>
  <c r="Z67" i="10"/>
  <c r="V67" i="10"/>
  <c r="X70" i="10"/>
  <c r="Z70" i="10"/>
  <c r="AD73" i="10"/>
  <c r="W79" i="10"/>
  <c r="AD117" i="10"/>
  <c r="AC117" i="10"/>
  <c r="AB117" i="10"/>
  <c r="AE117" i="10"/>
  <c r="V117" i="10"/>
  <c r="U117" i="10"/>
  <c r="W117" i="10"/>
  <c r="Z117" i="10"/>
  <c r="Y117" i="10"/>
  <c r="AB120" i="10"/>
  <c r="AF120" i="10"/>
  <c r="AE120" i="10"/>
  <c r="AD120" i="10"/>
  <c r="AC120" i="10"/>
  <c r="AF118" i="10"/>
  <c r="AE118" i="10"/>
  <c r="AD118" i="10"/>
  <c r="Z119" i="10"/>
  <c r="Y119" i="10"/>
  <c r="X119" i="10"/>
  <c r="U119" i="10"/>
  <c r="AA119" i="10"/>
  <c r="AG122" i="10"/>
  <c r="X112" i="10"/>
  <c r="W112" i="10"/>
  <c r="V112" i="10"/>
  <c r="AA112" i="10"/>
  <c r="V114" i="10"/>
  <c r="U114" i="10"/>
  <c r="Y114" i="10"/>
  <c r="X114" i="10"/>
  <c r="W114" i="10"/>
  <c r="Y115" i="10"/>
  <c r="X115" i="10"/>
  <c r="W115" i="10"/>
  <c r="AA117" i="10"/>
  <c r="AF124" i="10"/>
  <c r="AE124" i="10"/>
  <c r="AD124" i="10"/>
  <c r="AC124" i="10"/>
  <c r="AE77" i="10"/>
  <c r="AB79" i="10"/>
  <c r="U112" i="10"/>
  <c r="Z114" i="10"/>
  <c r="AF117" i="10"/>
  <c r="V119" i="10"/>
  <c r="AB124" i="10"/>
  <c r="AF77" i="10"/>
  <c r="U84" i="10"/>
  <c r="Z84" i="10"/>
  <c r="D90" i="10"/>
  <c r="E90" i="10"/>
  <c r="Y112" i="10"/>
  <c r="AA114" i="10"/>
  <c r="AB116" i="10"/>
  <c r="AE116" i="10"/>
  <c r="AF116" i="10"/>
  <c r="AD116" i="10"/>
  <c r="V121" i="10"/>
  <c r="U121" i="10"/>
  <c r="X121" i="10"/>
  <c r="Z121" i="10"/>
  <c r="Y121" i="10"/>
  <c r="AF115" i="10"/>
  <c r="AE115" i="10"/>
  <c r="AC115" i="10"/>
  <c r="AB148" i="10"/>
  <c r="AE126" i="10"/>
  <c r="AD126" i="10"/>
  <c r="AC126" i="10"/>
  <c r="AF126" i="10"/>
  <c r="AB126" i="10"/>
  <c r="AF119" i="10"/>
  <c r="AB119" i="10"/>
  <c r="AF148" i="10"/>
  <c r="AE148" i="10"/>
  <c r="AD148" i="10"/>
  <c r="AB125" i="10"/>
  <c r="AE125" i="10"/>
  <c r="AC125" i="10"/>
  <c r="AC113" i="10"/>
  <c r="AB115" i="10"/>
  <c r="AD125" i="10"/>
  <c r="AD151" i="10"/>
  <c r="AC151" i="10"/>
  <c r="AB151" i="10"/>
  <c r="AF151" i="10"/>
  <c r="AE151" i="10"/>
  <c r="AD113" i="10"/>
  <c r="AD115" i="10"/>
  <c r="AC119" i="10"/>
  <c r="X124" i="10"/>
  <c r="W124" i="10"/>
  <c r="V124" i="10"/>
  <c r="Z124" i="10"/>
  <c r="Y124" i="10"/>
  <c r="U124" i="10"/>
  <c r="AF125" i="10"/>
  <c r="S144" i="10"/>
  <c r="AG141" i="10"/>
  <c r="AG144" i="10" s="1"/>
  <c r="AC123" i="10"/>
  <c r="AB123" i="10"/>
  <c r="AE123" i="10"/>
  <c r="AC131" i="10"/>
  <c r="S156" i="10"/>
  <c r="I104" i="10"/>
  <c r="I159" i="10" s="1"/>
  <c r="Q104" i="10"/>
  <c r="AF123" i="10"/>
  <c r="AD121" i="10"/>
  <c r="AC121" i="10"/>
  <c r="AB121" i="10"/>
  <c r="AF121" i="10"/>
  <c r="AF131" i="10"/>
  <c r="AE131" i="10"/>
  <c r="AF149" i="10"/>
  <c r="AE149" i="10"/>
  <c r="AD149" i="10"/>
  <c r="X118" i="10"/>
  <c r="W118" i="10"/>
  <c r="V118" i="10"/>
  <c r="AA131" i="10"/>
  <c r="AA148" i="10"/>
  <c r="Z149" i="10"/>
  <c r="Y150" i="10"/>
  <c r="X151" i="10"/>
  <c r="AA149" i="10"/>
  <c r="Z150" i="10"/>
  <c r="Y151" i="10"/>
  <c r="AA150" i="10"/>
  <c r="Z151" i="10"/>
  <c r="AB150" i="10"/>
  <c r="AA151" i="10"/>
  <c r="AA111" i="10"/>
  <c r="Y113" i="10"/>
  <c r="Z116" i="10"/>
  <c r="AA123" i="10"/>
  <c r="W131" i="10"/>
  <c r="W148" i="10"/>
  <c r="V149" i="10"/>
  <c r="U150" i="10"/>
  <c r="AC150" i="10"/>
  <c r="X131" i="10"/>
  <c r="X148" i="10"/>
  <c r="W149" i="10"/>
  <c r="V150" i="10"/>
  <c r="AD150" i="10"/>
  <c r="U151" i="10"/>
  <c r="O159" i="10" l="1"/>
  <c r="AD18" i="10"/>
  <c r="AF17" i="10"/>
  <c r="L159" i="10"/>
  <c r="AH61" i="10"/>
  <c r="AH89" i="10"/>
  <c r="AB17" i="10"/>
  <c r="J159" i="10"/>
  <c r="AC17" i="10"/>
  <c r="AG17" i="10" s="1"/>
  <c r="D8" i="7" s="1"/>
  <c r="AI17" i="10" s="1"/>
  <c r="AE17" i="10"/>
  <c r="AH17" i="10" s="1"/>
  <c r="R159" i="10"/>
  <c r="AH80" i="10"/>
  <c r="AC128" i="10"/>
  <c r="AC136" i="10" s="1"/>
  <c r="AG123" i="10"/>
  <c r="Z11" i="10"/>
  <c r="AB24" i="10"/>
  <c r="AG24" i="10" s="1"/>
  <c r="AH77" i="10"/>
  <c r="AN77" i="10" s="1"/>
  <c r="AA128" i="10"/>
  <c r="AA136" i="10" s="1"/>
  <c r="AH67" i="10"/>
  <c r="W14" i="10"/>
  <c r="V14" i="10"/>
  <c r="AC24" i="10"/>
  <c r="U11" i="10"/>
  <c r="Y14" i="10"/>
  <c r="K159" i="10"/>
  <c r="V11" i="10"/>
  <c r="S159" i="10"/>
  <c r="AG124" i="10"/>
  <c r="Y128" i="10"/>
  <c r="Y136" i="10" s="1"/>
  <c r="AG111" i="10"/>
  <c r="AE22" i="10"/>
  <c r="AB16" i="10"/>
  <c r="AH16" i="10" s="1"/>
  <c r="AN16" i="10" s="1"/>
  <c r="AH82" i="10"/>
  <c r="AH150" i="10"/>
  <c r="AG148" i="10"/>
  <c r="AH59" i="10"/>
  <c r="AF20" i="10"/>
  <c r="AB20" i="10"/>
  <c r="Z86" i="10"/>
  <c r="X86" i="10"/>
  <c r="W86" i="10"/>
  <c r="V86" i="10"/>
  <c r="AA86" i="10"/>
  <c r="U86" i="10"/>
  <c r="Y86" i="10"/>
  <c r="AD81" i="10"/>
  <c r="AF81" i="10"/>
  <c r="AE81" i="10"/>
  <c r="AH81" i="10" s="1"/>
  <c r="X20" i="10"/>
  <c r="Y20" i="10"/>
  <c r="AC33" i="10"/>
  <c r="AH149" i="10"/>
  <c r="AH151" i="10"/>
  <c r="AH118" i="10"/>
  <c r="AN118" i="10" s="1"/>
  <c r="AH126" i="10"/>
  <c r="AG126" i="10"/>
  <c r="AG62" i="10"/>
  <c r="D23" i="7" s="1"/>
  <c r="AH72" i="10"/>
  <c r="AN72" i="10" s="1"/>
  <c r="AH63" i="10"/>
  <c r="AH66" i="10"/>
  <c r="AN66" i="10" s="1"/>
  <c r="AH148" i="10"/>
  <c r="Z128" i="10"/>
  <c r="Z136" i="10" s="1"/>
  <c r="W128" i="10"/>
  <c r="W136" i="10" s="1"/>
  <c r="AH83" i="10"/>
  <c r="AE57" i="10"/>
  <c r="AE92" i="10" s="1"/>
  <c r="AE104" i="10" s="1"/>
  <c r="AC57" i="10"/>
  <c r="AC92" i="10" s="1"/>
  <c r="AC104" i="10" s="1"/>
  <c r="AB57" i="10"/>
  <c r="AB92" i="10" s="1"/>
  <c r="AB104" i="10" s="1"/>
  <c r="AF57" i="10"/>
  <c r="Y79" i="10"/>
  <c r="V79" i="10"/>
  <c r="U79" i="10"/>
  <c r="X79" i="10"/>
  <c r="AA79" i="10"/>
  <c r="Z79" i="10"/>
  <c r="AC20" i="10"/>
  <c r="AD24" i="10"/>
  <c r="Z57" i="10"/>
  <c r="X57" i="10"/>
  <c r="V57" i="10"/>
  <c r="AB33" i="10"/>
  <c r="AG131" i="10"/>
  <c r="AH84" i="10"/>
  <c r="AG120" i="10"/>
  <c r="AH74" i="10"/>
  <c r="F27" i="7"/>
  <c r="P27" i="7" s="1"/>
  <c r="AG113" i="10"/>
  <c r="X128" i="10"/>
  <c r="X136" i="10" s="1"/>
  <c r="AH111" i="10"/>
  <c r="AH117" i="10"/>
  <c r="AN117" i="10" s="1"/>
  <c r="AG73" i="10"/>
  <c r="D31" i="7" s="1"/>
  <c r="AI73" i="10" s="1"/>
  <c r="AG68" i="10"/>
  <c r="D38" i="7" s="1"/>
  <c r="AI68" i="10" s="1"/>
  <c r="AD22" i="10"/>
  <c r="AD20" i="10"/>
  <c r="AF24" i="10"/>
  <c r="AI12" i="10"/>
  <c r="AH119" i="10"/>
  <c r="AN119" i="10" s="1"/>
  <c r="V128" i="10"/>
  <c r="V136" i="10" s="1"/>
  <c r="AG70" i="10"/>
  <c r="D28" i="7" s="1"/>
  <c r="AI70" i="10" s="1"/>
  <c r="AH87" i="10"/>
  <c r="AH71" i="10"/>
  <c r="AN71" i="10" s="1"/>
  <c r="AG60" i="10"/>
  <c r="D21" i="7" s="1"/>
  <c r="AI60" i="10" s="1"/>
  <c r="AE20" i="10"/>
  <c r="M159" i="10"/>
  <c r="AG61" i="10"/>
  <c r="D22" i="7" s="1"/>
  <c r="AI61" i="10" s="1"/>
  <c r="AH115" i="10"/>
  <c r="AF92" i="10"/>
  <c r="AF104" i="10" s="1"/>
  <c r="AE33" i="10"/>
  <c r="AF11" i="10"/>
  <c r="AB11" i="10"/>
  <c r="AE11" i="10"/>
  <c r="AH121" i="10"/>
  <c r="AN121" i="10" s="1"/>
  <c r="AG112" i="10"/>
  <c r="AG80" i="10"/>
  <c r="AH62" i="10"/>
  <c r="AN62" i="10" s="1"/>
  <c r="AD33" i="10"/>
  <c r="AG34" i="10"/>
  <c r="AC11" i="10"/>
  <c r="AF22" i="10"/>
  <c r="AF18" i="10"/>
  <c r="AC18" i="10"/>
  <c r="AB18" i="10"/>
  <c r="AG18" i="10" s="1"/>
  <c r="D9" i="7" s="1"/>
  <c r="AI18" i="10" s="1"/>
  <c r="AH29" i="10"/>
  <c r="AN29" i="10" s="1"/>
  <c r="AD11" i="10"/>
  <c r="AB22" i="10"/>
  <c r="X14" i="10"/>
  <c r="AA14" i="10"/>
  <c r="W11" i="10"/>
  <c r="X11" i="10"/>
  <c r="AA11" i="10"/>
  <c r="AN89" i="10"/>
  <c r="AN74" i="10"/>
  <c r="AN126" i="10"/>
  <c r="AN63" i="10"/>
  <c r="AA90" i="10"/>
  <c r="W90" i="10"/>
  <c r="X90" i="10"/>
  <c r="Z90" i="10"/>
  <c r="Y90" i="10"/>
  <c r="V90" i="10"/>
  <c r="U90" i="10"/>
  <c r="X40" i="10"/>
  <c r="Z40" i="10"/>
  <c r="Y40" i="10"/>
  <c r="W40" i="10"/>
  <c r="V40" i="10"/>
  <c r="U40" i="10"/>
  <c r="AA40" i="10"/>
  <c r="Y21" i="10"/>
  <c r="X21" i="10"/>
  <c r="W21" i="10"/>
  <c r="U21" i="10"/>
  <c r="V21" i="10"/>
  <c r="Z21" i="10"/>
  <c r="AA21" i="10"/>
  <c r="AG20" i="10"/>
  <c r="AG74" i="10"/>
  <c r="D39" i="7" s="1"/>
  <c r="AI74" i="10" s="1"/>
  <c r="AN30" i="10"/>
  <c r="AF40" i="10"/>
  <c r="AF44" i="10" s="1"/>
  <c r="AE40" i="10"/>
  <c r="AD40" i="10"/>
  <c r="AC40" i="10"/>
  <c r="AB40" i="10"/>
  <c r="AB44" i="10" s="1"/>
  <c r="W85" i="10"/>
  <c r="V85" i="10"/>
  <c r="AA85" i="10"/>
  <c r="Z85" i="10"/>
  <c r="U85" i="10"/>
  <c r="Y85" i="10"/>
  <c r="X85" i="10"/>
  <c r="AH60" i="10"/>
  <c r="AG88" i="10"/>
  <c r="AG59" i="10"/>
  <c r="D20" i="7" s="1"/>
  <c r="AI59" i="10" s="1"/>
  <c r="AH120" i="10"/>
  <c r="AG71" i="10"/>
  <c r="D29" i="7" s="1"/>
  <c r="AI71" i="10" s="1"/>
  <c r="AG83" i="10"/>
  <c r="AN12" i="10"/>
  <c r="X13" i="10"/>
  <c r="W13" i="10"/>
  <c r="AA13" i="10"/>
  <c r="Y13" i="10"/>
  <c r="Z13" i="10"/>
  <c r="V13" i="10"/>
  <c r="U13" i="10"/>
  <c r="AG32" i="10"/>
  <c r="AH32" i="10"/>
  <c r="AG15" i="10"/>
  <c r="D11" i="7" s="1"/>
  <c r="AI15" i="10" s="1"/>
  <c r="AH15" i="10"/>
  <c r="AC90" i="10"/>
  <c r="AE90" i="10"/>
  <c r="AD90" i="10"/>
  <c r="AF90" i="10"/>
  <c r="AB90" i="10"/>
  <c r="AG114" i="10"/>
  <c r="AN59" i="10"/>
  <c r="AH123" i="10"/>
  <c r="AN67" i="10"/>
  <c r="AD128" i="10"/>
  <c r="AD136" i="10" s="1"/>
  <c r="AG116" i="10"/>
  <c r="AN65" i="10"/>
  <c r="W58" i="10"/>
  <c r="W92" i="10" s="1"/>
  <c r="W104" i="10" s="1"/>
  <c r="Z58" i="10"/>
  <c r="Z92" i="10" s="1"/>
  <c r="Z104" i="10" s="1"/>
  <c r="X58" i="10"/>
  <c r="X92" i="10" s="1"/>
  <c r="X104" i="10" s="1"/>
  <c r="AA58" i="10"/>
  <c r="AA92" i="10" s="1"/>
  <c r="AA104" i="10" s="1"/>
  <c r="Y58" i="10"/>
  <c r="Y92" i="10" s="1"/>
  <c r="Y104" i="10" s="1"/>
  <c r="V58" i="10"/>
  <c r="V92" i="10" s="1"/>
  <c r="V104" i="10" s="1"/>
  <c r="U58" i="10"/>
  <c r="U92" i="10" s="1"/>
  <c r="U104" i="10" s="1"/>
  <c r="AG29" i="10"/>
  <c r="AG125" i="10"/>
  <c r="AH116" i="10"/>
  <c r="AN61" i="10"/>
  <c r="AB128" i="10"/>
  <c r="AB136" i="10" s="1"/>
  <c r="AC23" i="10"/>
  <c r="AB23" i="10"/>
  <c r="AF23" i="10"/>
  <c r="AD23" i="10"/>
  <c r="AE23" i="10"/>
  <c r="AF13" i="10"/>
  <c r="AE13" i="10"/>
  <c r="AB13" i="10"/>
  <c r="AD13" i="10"/>
  <c r="AC13" i="10"/>
  <c r="AG27" i="10"/>
  <c r="D12" i="7" s="1"/>
  <c r="AI27" i="10" s="1"/>
  <c r="AH27" i="10"/>
  <c r="AD26" i="10"/>
  <c r="AE26" i="10"/>
  <c r="AC26" i="10"/>
  <c r="AB26" i="10"/>
  <c r="AF26" i="10"/>
  <c r="AG84" i="10"/>
  <c r="AG66" i="10"/>
  <c r="D25" i="7" s="1"/>
  <c r="AI66" i="10" s="1"/>
  <c r="AH112" i="10"/>
  <c r="AD92" i="10"/>
  <c r="AD104" i="10" s="1"/>
  <c r="AG28" i="10"/>
  <c r="AH28" i="10"/>
  <c r="AG150" i="10"/>
  <c r="AN75" i="10"/>
  <c r="U23" i="10"/>
  <c r="AA23" i="10"/>
  <c r="Y23" i="10"/>
  <c r="X23" i="10"/>
  <c r="V23" i="10"/>
  <c r="Z23" i="10"/>
  <c r="W23" i="10"/>
  <c r="AG151" i="10"/>
  <c r="AG149" i="10"/>
  <c r="AG115" i="10"/>
  <c r="AH70" i="10"/>
  <c r="AH125" i="10"/>
  <c r="V39" i="10"/>
  <c r="V44" i="10" s="1"/>
  <c r="AA39" i="10"/>
  <c r="Z39" i="10"/>
  <c r="Y39" i="10"/>
  <c r="X39" i="10"/>
  <c r="W39" i="10"/>
  <c r="U39" i="10"/>
  <c r="AG64" i="10"/>
  <c r="D37" i="7" s="1"/>
  <c r="AI64" i="10" s="1"/>
  <c r="AH64" i="10"/>
  <c r="AG67" i="10"/>
  <c r="D26" i="7" s="1"/>
  <c r="AI67" i="10" s="1"/>
  <c r="AN76" i="10"/>
  <c r="AH88" i="10"/>
  <c r="AH131" i="10"/>
  <c r="AH113" i="10"/>
  <c r="AH34" i="10"/>
  <c r="AN69" i="10"/>
  <c r="AG82" i="10"/>
  <c r="D17" i="7" s="1"/>
  <c r="AI82" i="10" s="1"/>
  <c r="AH31" i="10"/>
  <c r="AG31" i="10"/>
  <c r="AE44" i="10"/>
  <c r="U19" i="10"/>
  <c r="AA19" i="10"/>
  <c r="Y19" i="10"/>
  <c r="X19" i="10"/>
  <c r="Z19" i="10"/>
  <c r="Z36" i="10" s="1"/>
  <c r="W19" i="10"/>
  <c r="V19" i="10"/>
  <c r="AC44" i="10"/>
  <c r="Y25" i="10"/>
  <c r="X25" i="10"/>
  <c r="W25" i="10"/>
  <c r="U25" i="10"/>
  <c r="Z25" i="10"/>
  <c r="AA25" i="10"/>
  <c r="V25" i="10"/>
  <c r="AG118" i="10"/>
  <c r="AG119" i="10"/>
  <c r="AG87" i="10"/>
  <c r="AH124" i="10"/>
  <c r="AG72" i="10"/>
  <c r="D30" i="7" s="1"/>
  <c r="AI72" i="10" s="1"/>
  <c r="AG14" i="10"/>
  <c r="AF128" i="10"/>
  <c r="AF136" i="10" s="1"/>
  <c r="AG63" i="10"/>
  <c r="D24" i="7" s="1"/>
  <c r="AI63" i="10" s="1"/>
  <c r="AE128" i="10"/>
  <c r="AE136" i="10" s="1"/>
  <c r="AG110" i="10"/>
  <c r="AN68" i="10"/>
  <c r="AG121" i="10"/>
  <c r="U128" i="10"/>
  <c r="U136" i="10" s="1"/>
  <c r="AG117" i="10"/>
  <c r="AG89" i="10"/>
  <c r="AH114" i="10"/>
  <c r="AH110" i="10"/>
  <c r="AH73" i="10"/>
  <c r="W78" i="10"/>
  <c r="X78" i="10"/>
  <c r="Y78" i="10"/>
  <c r="Z78" i="10"/>
  <c r="U78" i="10"/>
  <c r="AA78" i="10"/>
  <c r="V78" i="10"/>
  <c r="AC19" i="10"/>
  <c r="AB19" i="10"/>
  <c r="AF19" i="10"/>
  <c r="AD19" i="10"/>
  <c r="AE19" i="10"/>
  <c r="AD44" i="10"/>
  <c r="AG77" i="10"/>
  <c r="AE78" i="10"/>
  <c r="AD78" i="10"/>
  <c r="AC78" i="10"/>
  <c r="AF78" i="10"/>
  <c r="AB78" i="10"/>
  <c r="V26" i="10"/>
  <c r="U26" i="10"/>
  <c r="Z26" i="10"/>
  <c r="Y26" i="10"/>
  <c r="AA26" i="10"/>
  <c r="X26" i="10"/>
  <c r="W26" i="10"/>
  <c r="H27" i="7" l="1"/>
  <c r="AH14" i="10"/>
  <c r="Y36" i="10"/>
  <c r="AG16" i="10"/>
  <c r="D7" i="7" s="1"/>
  <c r="AI16" i="10" s="1"/>
  <c r="AH57" i="10"/>
  <c r="AG79" i="10"/>
  <c r="D36" i="7" s="1"/>
  <c r="AI79" i="10" s="1"/>
  <c r="AG81" i="10"/>
  <c r="D16" i="7" s="1"/>
  <c r="AI81" i="10" s="1"/>
  <c r="AA36" i="10"/>
  <c r="AG33" i="10"/>
  <c r="AH18" i="10"/>
  <c r="AN18" i="10" s="1"/>
  <c r="AH20" i="10"/>
  <c r="AN20" i="10" s="1"/>
  <c r="AG11" i="10"/>
  <c r="D4" i="7" s="1"/>
  <c r="AI11" i="10" s="1"/>
  <c r="AG22" i="10"/>
  <c r="AH24" i="10"/>
  <c r="AN24" i="10" s="1"/>
  <c r="AA44" i="10"/>
  <c r="AA51" i="10" s="1"/>
  <c r="AA159" i="10" s="1"/>
  <c r="AH33" i="10"/>
  <c r="AN33" i="10" s="1"/>
  <c r="D13" i="7"/>
  <c r="AI29" i="10" s="1"/>
  <c r="AI28" i="10"/>
  <c r="V36" i="10"/>
  <c r="V51" i="10" s="1"/>
  <c r="V159" i="10" s="1"/>
  <c r="W36" i="10"/>
  <c r="AH79" i="10"/>
  <c r="AN79" i="10" s="1"/>
  <c r="AH86" i="10"/>
  <c r="AG86" i="10"/>
  <c r="D5" i="7"/>
  <c r="AI14" i="10" s="1"/>
  <c r="AI77" i="10"/>
  <c r="D34" i="7"/>
  <c r="AI76" i="10" s="1"/>
  <c r="AC36" i="10"/>
  <c r="AC51" i="10" s="1"/>
  <c r="AC159" i="10" s="1"/>
  <c r="X36" i="10"/>
  <c r="AI62" i="10"/>
  <c r="AD36" i="10"/>
  <c r="AD51" i="10" s="1"/>
  <c r="AD159" i="10" s="1"/>
  <c r="D3" i="7"/>
  <c r="AI32" i="10" s="1"/>
  <c r="AH11" i="10"/>
  <c r="AH22" i="10"/>
  <c r="AN22" i="10" s="1"/>
  <c r="AG57" i="10"/>
  <c r="AG19" i="10"/>
  <c r="D10" i="7" s="1"/>
  <c r="AI19" i="10" s="1"/>
  <c r="AH19" i="10"/>
  <c r="AN64" i="10"/>
  <c r="AN125" i="10"/>
  <c r="AN32" i="10"/>
  <c r="U36" i="10"/>
  <c r="AG39" i="10"/>
  <c r="U44" i="10"/>
  <c r="AH39" i="10"/>
  <c r="AG58" i="10"/>
  <c r="D19" i="7" s="1"/>
  <c r="AI58" i="10" s="1"/>
  <c r="AH58" i="10"/>
  <c r="AG26" i="10"/>
  <c r="AH26" i="10"/>
  <c r="AN73" i="10"/>
  <c r="W44" i="10"/>
  <c r="W51" i="10" s="1"/>
  <c r="W159" i="10" s="1"/>
  <c r="AN57" i="10"/>
  <c r="AN28" i="10"/>
  <c r="AN27" i="10"/>
  <c r="AB36" i="10"/>
  <c r="AB51" i="10" s="1"/>
  <c r="AB159" i="10" s="1"/>
  <c r="AG13" i="10"/>
  <c r="AH13" i="10"/>
  <c r="AN116" i="10"/>
  <c r="AG25" i="10"/>
  <c r="AH25" i="10"/>
  <c r="AG23" i="10"/>
  <c r="AH23" i="10"/>
  <c r="AN14" i="10"/>
  <c r="AN34" i="10"/>
  <c r="AN60" i="10"/>
  <c r="AN31" i="10"/>
  <c r="X44" i="10"/>
  <c r="X51" i="10" s="1"/>
  <c r="X159" i="10" s="1"/>
  <c r="AN17" i="10"/>
  <c r="AE36" i="10"/>
  <c r="AE51" i="10" s="1"/>
  <c r="AE159" i="10" s="1"/>
  <c r="AG85" i="10"/>
  <c r="AH85" i="10"/>
  <c r="AG40" i="10"/>
  <c r="AH40" i="10"/>
  <c r="Y44" i="10"/>
  <c r="AN70" i="10"/>
  <c r="AF36" i="10"/>
  <c r="AF51" i="10" s="1"/>
  <c r="AF159" i="10" s="1"/>
  <c r="AG90" i="10"/>
  <c r="AH90" i="10"/>
  <c r="AN15" i="10"/>
  <c r="AG21" i="10"/>
  <c r="AH21" i="10"/>
  <c r="AG78" i="10"/>
  <c r="D35" i="7" s="1"/>
  <c r="AI78" i="10" s="1"/>
  <c r="AH78" i="10"/>
  <c r="Z44" i="10"/>
  <c r="Z51" i="10" s="1"/>
  <c r="Z159" i="10" s="1"/>
  <c r="AG128" i="10"/>
  <c r="AG136" i="10" s="1"/>
  <c r="AN120" i="10"/>
  <c r="Y51" i="10" l="1"/>
  <c r="Y159" i="10" s="1"/>
  <c r="AH104" i="10"/>
  <c r="P61" i="7"/>
  <c r="AG36" i="10"/>
  <c r="D6" i="7"/>
  <c r="AI13" i="10" s="1"/>
  <c r="AH37" i="10"/>
  <c r="AN11" i="10"/>
  <c r="AG92" i="10"/>
  <c r="AG104" i="10" s="1"/>
  <c r="AH136" i="10"/>
  <c r="P62" i="7"/>
  <c r="D18" i="7"/>
  <c r="AI57" i="10" s="1"/>
  <c r="AG93" i="10"/>
  <c r="AG37" i="10"/>
  <c r="AN39" i="10"/>
  <c r="AH44" i="10"/>
  <c r="AN40" i="10"/>
  <c r="AN90" i="10"/>
  <c r="AN23" i="10"/>
  <c r="AN128" i="10"/>
  <c r="AL128" i="10"/>
  <c r="AN26" i="10"/>
  <c r="AG44" i="10"/>
  <c r="AN78" i="10"/>
  <c r="AN25" i="10"/>
  <c r="U51" i="10"/>
  <c r="U159" i="10" s="1"/>
  <c r="AN13" i="10"/>
  <c r="AH36" i="10"/>
  <c r="AN58" i="10"/>
  <c r="AN19" i="10"/>
  <c r="AN21" i="10"/>
  <c r="P63" i="7" l="1"/>
  <c r="AG51" i="10"/>
  <c r="AG159" i="10"/>
  <c r="AH51" i="10"/>
  <c r="AH159" i="10" s="1"/>
  <c r="P60" i="7"/>
  <c r="AN92" i="10"/>
  <c r="AL92" i="10"/>
  <c r="AN36" i="10"/>
  <c r="AP36" i="10" s="1"/>
  <c r="AP128" i="10"/>
  <c r="AN44" i="10"/>
  <c r="AJ44" i="10"/>
  <c r="AP92" i="10" l="1"/>
  <c r="AP44" i="10"/>
  <c r="H58" i="6" l="1"/>
  <c r="M51" i="7" l="1"/>
  <c r="E51" i="7"/>
  <c r="G51" i="7"/>
  <c r="H51" i="7" s="1"/>
  <c r="M49" i="7"/>
  <c r="G49" i="7"/>
  <c r="H49" i="7" s="1"/>
  <c r="M48" i="7"/>
  <c r="G48" i="7"/>
  <c r="H48" i="7" s="1"/>
  <c r="M47" i="7"/>
  <c r="G47" i="7"/>
  <c r="H47" i="7" s="1"/>
  <c r="M39" i="7"/>
  <c r="M38" i="7"/>
  <c r="M37" i="7"/>
  <c r="M28" i="7"/>
  <c r="M29" i="7"/>
  <c r="M25" i="7"/>
  <c r="M26" i="7"/>
  <c r="M24" i="7"/>
  <c r="M21" i="7"/>
  <c r="M20" i="7"/>
  <c r="M19" i="7"/>
  <c r="M18" i="7"/>
  <c r="M22" i="7"/>
  <c r="M16" i="7"/>
  <c r="M13" i="7" l="1"/>
  <c r="M12" i="7"/>
  <c r="M11" i="7"/>
  <c r="G18" i="7"/>
  <c r="G50" i="7"/>
  <c r="M50" i="7"/>
  <c r="H50" i="7" l="1"/>
  <c r="E13" i="7"/>
  <c r="E12" i="7"/>
  <c r="G11" i="7"/>
  <c r="E11" i="7"/>
  <c r="M53" i="7" l="1"/>
  <c r="E53" i="7"/>
  <c r="M52" i="7"/>
  <c r="E52" i="7"/>
  <c r="M46" i="7"/>
  <c r="G46" i="7"/>
  <c r="H46" i="7" s="1"/>
  <c r="G39" i="7"/>
  <c r="G38" i="7"/>
  <c r="G37" i="7"/>
  <c r="M36" i="7"/>
  <c r="G36" i="7"/>
  <c r="E36" i="7"/>
  <c r="M35" i="7"/>
  <c r="G35" i="7"/>
  <c r="E35" i="7"/>
  <c r="M34" i="7"/>
  <c r="G34" i="7"/>
  <c r="E34" i="7"/>
  <c r="M33" i="7"/>
  <c r="G33" i="7"/>
  <c r="M32" i="7"/>
  <c r="G32" i="7"/>
  <c r="M31" i="7"/>
  <c r="G31" i="7"/>
  <c r="M30" i="7"/>
  <c r="G30" i="7"/>
  <c r="G29" i="7"/>
  <c r="G28" i="7"/>
  <c r="G26" i="7"/>
  <c r="G25" i="7"/>
  <c r="G24" i="7"/>
  <c r="G22" i="7"/>
  <c r="G21" i="7"/>
  <c r="G20" i="7"/>
  <c r="G19" i="7"/>
  <c r="M17" i="7"/>
  <c r="G17" i="7"/>
  <c r="E17" i="7"/>
  <c r="G16" i="7"/>
  <c r="E16" i="7"/>
  <c r="M10" i="7"/>
  <c r="G10" i="7"/>
  <c r="M9" i="7"/>
  <c r="G9" i="7"/>
  <c r="M8" i="7"/>
  <c r="G8" i="7"/>
  <c r="M7" i="7"/>
  <c r="G7" i="7"/>
  <c r="M6" i="7"/>
  <c r="G6" i="7"/>
  <c r="M5" i="7"/>
  <c r="G5" i="7"/>
  <c r="M4" i="7"/>
  <c r="G4" i="7"/>
  <c r="M3" i="7"/>
  <c r="G3" i="7"/>
  <c r="E3" i="7"/>
  <c r="H61" i="6"/>
  <c r="H65" i="6" s="1"/>
  <c r="C60" i="6"/>
  <c r="D59" i="6"/>
  <c r="D60" i="6" s="1"/>
  <c r="D58" i="6"/>
  <c r="C53" i="6"/>
  <c r="C52" i="6"/>
  <c r="C51" i="6"/>
  <c r="G53" i="7" s="1"/>
  <c r="H53" i="7" s="1"/>
  <c r="C49" i="6"/>
  <c r="C48" i="6"/>
  <c r="C47" i="6"/>
  <c r="C45" i="6"/>
  <c r="C44" i="6"/>
  <c r="C43" i="6"/>
  <c r="C42" i="6"/>
  <c r="G52" i="7" s="1"/>
  <c r="H52" i="7" s="1"/>
  <c r="C40" i="6"/>
  <c r="C39" i="6"/>
  <c r="C38" i="6"/>
  <c r="C9" i="6"/>
  <c r="E9" i="6" s="1"/>
  <c r="C8" i="6"/>
  <c r="C7" i="6"/>
  <c r="C6" i="6"/>
  <c r="C5" i="6"/>
  <c r="F5" i="6" s="1"/>
  <c r="C4" i="6"/>
  <c r="C3" i="6"/>
  <c r="E5" i="6" l="1"/>
  <c r="H9" i="6"/>
  <c r="F9" i="6"/>
  <c r="I9" i="6"/>
  <c r="G5" i="6"/>
  <c r="H5" i="6"/>
  <c r="I5" i="6"/>
  <c r="I3" i="6"/>
  <c r="E23" i="7"/>
  <c r="F23" i="7" s="1"/>
  <c r="H6" i="6"/>
  <c r="E21" i="7"/>
  <c r="E18" i="7"/>
  <c r="D5" i="6"/>
  <c r="E22" i="7"/>
  <c r="E50" i="7"/>
  <c r="R46" i="7"/>
  <c r="R47" i="7" s="1"/>
  <c r="Q55" i="7"/>
  <c r="C65" i="6"/>
  <c r="C66" i="6" s="1"/>
  <c r="C68" i="6" s="1"/>
  <c r="F3" i="6"/>
  <c r="G4" i="6"/>
  <c r="E5" i="7"/>
  <c r="E31" i="7"/>
  <c r="D4" i="6"/>
  <c r="D3" i="6"/>
  <c r="G9" i="6"/>
  <c r="E30" i="7"/>
  <c r="G3" i="6"/>
  <c r="H4" i="6"/>
  <c r="H3" i="6"/>
  <c r="E4" i="6"/>
  <c r="I4" i="6"/>
  <c r="E3" i="6"/>
  <c r="F4" i="6"/>
  <c r="I6" i="6"/>
  <c r="D9" i="6"/>
  <c r="E20" i="7"/>
  <c r="E60" i="6"/>
  <c r="R55" i="7" s="1"/>
  <c r="D33" i="8"/>
  <c r="E33" i="8" s="1"/>
  <c r="E7" i="7"/>
  <c r="I7" i="6"/>
  <c r="E8" i="7"/>
  <c r="H7" i="6"/>
  <c r="E24" i="7"/>
  <c r="E9" i="7"/>
  <c r="G7" i="6"/>
  <c r="E4" i="7"/>
  <c r="E25" i="7"/>
  <c r="E10" i="7"/>
  <c r="F7" i="6"/>
  <c r="E7" i="6"/>
  <c r="D7" i="6"/>
  <c r="E28" i="7"/>
  <c r="E19" i="7"/>
  <c r="E39" i="7"/>
  <c r="I8" i="6"/>
  <c r="H8" i="6"/>
  <c r="G8" i="6"/>
  <c r="F8" i="6"/>
  <c r="E8" i="6"/>
  <c r="E37" i="7"/>
  <c r="D8" i="6"/>
  <c r="E6" i="7"/>
  <c r="E38" i="7"/>
  <c r="E29" i="7"/>
  <c r="D6" i="6"/>
  <c r="E26" i="7"/>
  <c r="E6" i="6"/>
  <c r="F6" i="6"/>
  <c r="G6" i="6"/>
  <c r="H23" i="7" l="1"/>
  <c r="P23" i="7"/>
  <c r="F17" i="7"/>
  <c r="F35" i="7"/>
  <c r="F34" i="7"/>
  <c r="F33" i="7"/>
  <c r="F30" i="7"/>
  <c r="F19" i="7"/>
  <c r="F36" i="7"/>
  <c r="F22" i="7"/>
  <c r="F32" i="7"/>
  <c r="F26" i="7"/>
  <c r="F21" i="7"/>
  <c r="F20" i="7"/>
  <c r="F31" i="7"/>
  <c r="F29" i="7"/>
  <c r="P20" i="7" l="1"/>
  <c r="P33" i="7"/>
  <c r="P21" i="7"/>
  <c r="P26" i="7"/>
  <c r="P29" i="7"/>
  <c r="P31" i="7"/>
  <c r="P22" i="7"/>
  <c r="P34" i="7"/>
  <c r="P36" i="7"/>
  <c r="P19" i="7"/>
  <c r="P35" i="7"/>
  <c r="P32" i="7"/>
  <c r="P30" i="7"/>
  <c r="P17" i="7"/>
  <c r="P9" i="7"/>
  <c r="F9" i="7"/>
  <c r="H9" i="7" s="1"/>
  <c r="H20" i="7"/>
  <c r="H33" i="7"/>
  <c r="P4" i="7"/>
  <c r="F4" i="7"/>
  <c r="H4" i="7" s="1"/>
  <c r="F16" i="7"/>
  <c r="P8" i="7"/>
  <c r="F8" i="7"/>
  <c r="H8" i="7" s="1"/>
  <c r="F11" i="7"/>
  <c r="H11" i="7" s="1"/>
  <c r="P11" i="7"/>
  <c r="F25" i="7"/>
  <c r="P12" i="7"/>
  <c r="F12" i="7"/>
  <c r="H12" i="7" s="1"/>
  <c r="P5" i="7"/>
  <c r="F5" i="7"/>
  <c r="H5" i="7" s="1"/>
  <c r="P13" i="7"/>
  <c r="F13" i="7"/>
  <c r="H13" i="7" s="1"/>
  <c r="H34" i="7"/>
  <c r="P6" i="7"/>
  <c r="F6" i="7"/>
  <c r="H6" i="7" s="1"/>
  <c r="D14" i="7"/>
  <c r="P3" i="7"/>
  <c r="F3" i="7"/>
  <c r="F39" i="7"/>
  <c r="P10" i="7"/>
  <c r="F10" i="7"/>
  <c r="H10" i="7" s="1"/>
  <c r="H35" i="7"/>
  <c r="P7" i="7"/>
  <c r="F7" i="7"/>
  <c r="H7" i="7" s="1"/>
  <c r="F24" i="7"/>
  <c r="H21" i="7"/>
  <c r="H26" i="7"/>
  <c r="H29" i="7"/>
  <c r="H32" i="7"/>
  <c r="H31" i="7"/>
  <c r="H22" i="7"/>
  <c r="H36" i="7"/>
  <c r="H19" i="7"/>
  <c r="F38" i="7"/>
  <c r="H30" i="7"/>
  <c r="F28" i="7"/>
  <c r="F37" i="7"/>
  <c r="H17" i="7"/>
  <c r="F18" i="7"/>
  <c r="AG38" i="10" l="1"/>
  <c r="D15" i="7"/>
  <c r="H25" i="7"/>
  <c r="P25" i="7"/>
  <c r="H37" i="7"/>
  <c r="P37" i="7"/>
  <c r="H39" i="7"/>
  <c r="P39" i="7"/>
  <c r="H24" i="7"/>
  <c r="P24" i="7"/>
  <c r="H38" i="7"/>
  <c r="P38" i="7"/>
  <c r="H28" i="7"/>
  <c r="P28" i="7"/>
  <c r="P18" i="7"/>
  <c r="P14" i="7"/>
  <c r="D40" i="7"/>
  <c r="D41" i="7" s="1"/>
  <c r="F14" i="7"/>
  <c r="H3" i="7"/>
  <c r="H14" i="7" s="1"/>
  <c r="H18" i="7"/>
  <c r="H16" i="7"/>
  <c r="P16" i="7"/>
  <c r="F40" i="7"/>
  <c r="D42" i="7" l="1"/>
  <c r="AG94" i="10"/>
  <c r="H40" i="7"/>
  <c r="H42" i="7" s="1"/>
  <c r="D64" i="7" s="1"/>
  <c r="I23" i="7" s="1"/>
  <c r="J23" i="7" s="1"/>
  <c r="K23" i="7" s="1"/>
  <c r="L23" i="7" s="1"/>
  <c r="N23" i="7" s="1"/>
  <c r="F42" i="7"/>
  <c r="D63" i="7" s="1"/>
  <c r="P40" i="7"/>
  <c r="P42" i="7" s="1"/>
  <c r="Q23" i="7" l="1"/>
  <c r="R23" i="7" s="1"/>
  <c r="I19" i="7"/>
  <c r="J19" i="7" s="1"/>
  <c r="K19" i="7" s="1"/>
  <c r="L19" i="7" s="1"/>
  <c r="I27" i="7"/>
  <c r="J27" i="7" s="1"/>
  <c r="K27" i="7" s="1"/>
  <c r="L27" i="7" s="1"/>
  <c r="I38" i="7"/>
  <c r="J38" i="7" s="1"/>
  <c r="K38" i="7" s="1"/>
  <c r="L38" i="7" s="1"/>
  <c r="N38" i="7" s="1"/>
  <c r="I51" i="7"/>
  <c r="J51" i="7" s="1"/>
  <c r="K51" i="7" s="1"/>
  <c r="L51" i="7" s="1"/>
  <c r="I10" i="7"/>
  <c r="J10" i="7" s="1"/>
  <c r="K10" i="7" s="1"/>
  <c r="L10" i="7" s="1"/>
  <c r="I8" i="7"/>
  <c r="J8" i="7" s="1"/>
  <c r="K8" i="7" s="1"/>
  <c r="L8" i="7" s="1"/>
  <c r="I22" i="7"/>
  <c r="J22" i="7" s="1"/>
  <c r="K22" i="7" s="1"/>
  <c r="L22" i="7" s="1"/>
  <c r="N22" i="7" s="1"/>
  <c r="I48" i="7"/>
  <c r="J48" i="7" s="1"/>
  <c r="K48" i="7" s="1"/>
  <c r="L48" i="7" s="1"/>
  <c r="I26" i="7"/>
  <c r="J26" i="7" s="1"/>
  <c r="K26" i="7" s="1"/>
  <c r="L26" i="7" s="1"/>
  <c r="N26" i="7" s="1"/>
  <c r="I39" i="7"/>
  <c r="J39" i="7" s="1"/>
  <c r="K39" i="7" s="1"/>
  <c r="L39" i="7" s="1"/>
  <c r="N39" i="7" s="1"/>
  <c r="I49" i="7"/>
  <c r="J49" i="7" s="1"/>
  <c r="K49" i="7" s="1"/>
  <c r="L49" i="7" s="1"/>
  <c r="I21" i="7"/>
  <c r="J21" i="7" s="1"/>
  <c r="K21" i="7" s="1"/>
  <c r="L21" i="7" s="1"/>
  <c r="N21" i="7" s="1"/>
  <c r="I5" i="7"/>
  <c r="J5" i="7" s="1"/>
  <c r="K5" i="7" s="1"/>
  <c r="L5" i="7" s="1"/>
  <c r="I9" i="7"/>
  <c r="J9" i="7" s="1"/>
  <c r="K9" i="7" s="1"/>
  <c r="L9" i="7" s="1"/>
  <c r="I47" i="7"/>
  <c r="J47" i="7" s="1"/>
  <c r="K47" i="7" s="1"/>
  <c r="L47" i="7" s="1"/>
  <c r="I12" i="7"/>
  <c r="J12" i="7" s="1"/>
  <c r="K12" i="7" s="1"/>
  <c r="L12" i="7" s="1"/>
  <c r="I24" i="7"/>
  <c r="J24" i="7" s="1"/>
  <c r="K24" i="7" s="1"/>
  <c r="L24" i="7" s="1"/>
  <c r="N24" i="7" s="1"/>
  <c r="I6" i="7"/>
  <c r="J6" i="7" s="1"/>
  <c r="K6" i="7" s="1"/>
  <c r="L6" i="7" s="1"/>
  <c r="I37" i="7"/>
  <c r="J37" i="7" s="1"/>
  <c r="K37" i="7" s="1"/>
  <c r="L37" i="7" s="1"/>
  <c r="N37" i="7" s="1"/>
  <c r="I31" i="7"/>
  <c r="J31" i="7" s="1"/>
  <c r="K31" i="7" s="1"/>
  <c r="L31" i="7" s="1"/>
  <c r="N31" i="7" s="1"/>
  <c r="I25" i="7"/>
  <c r="J25" i="7" s="1"/>
  <c r="K25" i="7" s="1"/>
  <c r="L25" i="7" s="1"/>
  <c r="N25" i="7" s="1"/>
  <c r="I20" i="7"/>
  <c r="J20" i="7" s="1"/>
  <c r="K20" i="7" s="1"/>
  <c r="L20" i="7" s="1"/>
  <c r="N20" i="7" s="1"/>
  <c r="I4" i="7"/>
  <c r="J4" i="7" s="1"/>
  <c r="K4" i="7" s="1"/>
  <c r="L4" i="7" s="1"/>
  <c r="I50" i="7"/>
  <c r="J50" i="7" s="1"/>
  <c r="K50" i="7" s="1"/>
  <c r="L50" i="7" s="1"/>
  <c r="I7" i="7"/>
  <c r="J7" i="7" s="1"/>
  <c r="K7" i="7" s="1"/>
  <c r="L7" i="7" s="1"/>
  <c r="I52" i="7"/>
  <c r="J52" i="7" s="1"/>
  <c r="K52" i="7" s="1"/>
  <c r="L52" i="7" s="1"/>
  <c r="I36" i="7"/>
  <c r="J36" i="7" s="1"/>
  <c r="K36" i="7" s="1"/>
  <c r="L36" i="7" s="1"/>
  <c r="I53" i="7"/>
  <c r="J53" i="7" s="1"/>
  <c r="K53" i="7" s="1"/>
  <c r="L53" i="7" s="1"/>
  <c r="I17" i="7"/>
  <c r="J17" i="7" s="1"/>
  <c r="K17" i="7" s="1"/>
  <c r="L17" i="7" s="1"/>
  <c r="I28" i="7"/>
  <c r="J28" i="7" s="1"/>
  <c r="K28" i="7" s="1"/>
  <c r="L28" i="7" s="1"/>
  <c r="N28" i="7" s="1"/>
  <c r="I46" i="7"/>
  <c r="J46" i="7" s="1"/>
  <c r="K46" i="7" s="1"/>
  <c r="L46" i="7" s="1"/>
  <c r="I13" i="7"/>
  <c r="J13" i="7" s="1"/>
  <c r="K13" i="7" s="1"/>
  <c r="L13" i="7" s="1"/>
  <c r="N13" i="7" s="1"/>
  <c r="I18" i="7"/>
  <c r="J18" i="7" s="1"/>
  <c r="K18" i="7" s="1"/>
  <c r="L18" i="7" s="1"/>
  <c r="N18" i="7" s="1"/>
  <c r="I16" i="7"/>
  <c r="J16" i="7" s="1"/>
  <c r="I11" i="7"/>
  <c r="J11" i="7" s="1"/>
  <c r="K11" i="7" s="1"/>
  <c r="L11" i="7" s="1"/>
  <c r="I32" i="7"/>
  <c r="J32" i="7" s="1"/>
  <c r="K32" i="7" s="1"/>
  <c r="L32" i="7" s="1"/>
  <c r="I34" i="7"/>
  <c r="J34" i="7" s="1"/>
  <c r="K34" i="7" s="1"/>
  <c r="L34" i="7" s="1"/>
  <c r="I29" i="7"/>
  <c r="J29" i="7" s="1"/>
  <c r="K29" i="7" s="1"/>
  <c r="L29" i="7" s="1"/>
  <c r="N29" i="7" s="1"/>
  <c r="I3" i="7"/>
  <c r="I35" i="7"/>
  <c r="J35" i="7" s="1"/>
  <c r="K35" i="7" s="1"/>
  <c r="L35" i="7" s="1"/>
  <c r="I30" i="7"/>
  <c r="J30" i="7" s="1"/>
  <c r="K30" i="7" s="1"/>
  <c r="L30" i="7" s="1"/>
  <c r="N30" i="7" s="1"/>
  <c r="I33" i="7"/>
  <c r="J33" i="7" s="1"/>
  <c r="K33" i="7" s="1"/>
  <c r="L33" i="7" s="1"/>
  <c r="Q18" i="7" l="1"/>
  <c r="R18" i="7" s="1"/>
  <c r="Q26" i="7"/>
  <c r="R26" i="7" s="1"/>
  <c r="Q13" i="7"/>
  <c r="R13" i="7" s="1"/>
  <c r="Q22" i="7"/>
  <c r="R22" i="7" s="1"/>
  <c r="Q29" i="7"/>
  <c r="R29" i="7" s="1"/>
  <c r="Q28" i="7"/>
  <c r="R28" i="7" s="1"/>
  <c r="Q20" i="7"/>
  <c r="R20" i="7" s="1"/>
  <c r="Q25" i="7"/>
  <c r="R25" i="7" s="1"/>
  <c r="Q31" i="7"/>
  <c r="R31" i="7" s="1"/>
  <c r="Q21" i="7"/>
  <c r="R21" i="7" s="1"/>
  <c r="Q37" i="7"/>
  <c r="R37" i="7" s="1"/>
  <c r="Q38" i="7"/>
  <c r="R38" i="7" s="1"/>
  <c r="Q39" i="7"/>
  <c r="R39" i="7" s="1"/>
  <c r="Q24" i="7"/>
  <c r="R24" i="7" s="1"/>
  <c r="D19" i="8"/>
  <c r="E19" i="8" s="1"/>
  <c r="N36" i="7"/>
  <c r="N52" i="7"/>
  <c r="D12" i="8"/>
  <c r="E12" i="8" s="1"/>
  <c r="D47" i="8"/>
  <c r="E47" i="8" s="1"/>
  <c r="N49" i="7"/>
  <c r="N35" i="7"/>
  <c r="N50" i="7"/>
  <c r="D6" i="8"/>
  <c r="E6" i="8" s="1"/>
  <c r="N48" i="7"/>
  <c r="N46" i="7"/>
  <c r="N4" i="7"/>
  <c r="N47" i="7"/>
  <c r="N6" i="7"/>
  <c r="N9" i="7"/>
  <c r="D13" i="8"/>
  <c r="E13" i="8" s="1"/>
  <c r="N34" i="7"/>
  <c r="N17" i="7"/>
  <c r="N5" i="7"/>
  <c r="N10" i="7"/>
  <c r="N53" i="7"/>
  <c r="N51" i="7"/>
  <c r="D48" i="8"/>
  <c r="E48" i="8" s="1"/>
  <c r="N19" i="7"/>
  <c r="D15" i="8"/>
  <c r="E15" i="8" s="1"/>
  <c r="N27" i="7"/>
  <c r="D43" i="8"/>
  <c r="E43" i="8" s="1"/>
  <c r="N33" i="7"/>
  <c r="N32" i="7"/>
  <c r="D42" i="8"/>
  <c r="E42" i="8" s="1"/>
  <c r="D56" i="8"/>
  <c r="E56" i="8" s="1"/>
  <c r="D39" i="8"/>
  <c r="E39" i="8" s="1"/>
  <c r="N11" i="7"/>
  <c r="D30" i="8"/>
  <c r="E30" i="8" s="1"/>
  <c r="D23" i="8"/>
  <c r="E23" i="8" s="1"/>
  <c r="D25" i="8"/>
  <c r="E25" i="8" s="1"/>
  <c r="D24" i="8"/>
  <c r="E24" i="8" s="1"/>
  <c r="D9" i="8"/>
  <c r="E9" i="8" s="1"/>
  <c r="D14" i="8"/>
  <c r="E14" i="8" s="1"/>
  <c r="N8" i="7"/>
  <c r="D49" i="8"/>
  <c r="E49" i="8" s="1"/>
  <c r="D11" i="8"/>
  <c r="E11" i="8" s="1"/>
  <c r="N12" i="7"/>
  <c r="D37" i="8"/>
  <c r="E37" i="8" s="1"/>
  <c r="N7" i="7"/>
  <c r="I14" i="7"/>
  <c r="D10" i="8"/>
  <c r="E10" i="8" s="1"/>
  <c r="D22" i="8"/>
  <c r="E22" i="8" s="1"/>
  <c r="D53" i="8"/>
  <c r="E53" i="8" s="1"/>
  <c r="D27" i="8"/>
  <c r="E27" i="8" s="1"/>
  <c r="D26" i="8"/>
  <c r="E26" i="8" s="1"/>
  <c r="D44" i="8"/>
  <c r="E44" i="8" s="1"/>
  <c r="I40" i="7"/>
  <c r="D38" i="8"/>
  <c r="E38" i="8" s="1"/>
  <c r="J3" i="7"/>
  <c r="K3" i="7" s="1"/>
  <c r="Q30" i="7"/>
  <c r="R30" i="7" s="1"/>
  <c r="J40" i="7"/>
  <c r="K16" i="7"/>
  <c r="Q12" i="7" l="1"/>
  <c r="R12" i="7" s="1"/>
  <c r="Q34" i="7"/>
  <c r="R34" i="7" s="1"/>
  <c r="Q17" i="7"/>
  <c r="R17" i="7" s="1"/>
  <c r="Q8" i="7"/>
  <c r="R8" i="7" s="1"/>
  <c r="Q9" i="7"/>
  <c r="R9" i="7" s="1"/>
  <c r="Q35" i="7"/>
  <c r="R35" i="7" s="1"/>
  <c r="Q27" i="7"/>
  <c r="R27" i="7" s="1"/>
  <c r="Q7" i="7"/>
  <c r="R7" i="7" s="1"/>
  <c r="Q32" i="7"/>
  <c r="R32" i="7" s="1"/>
  <c r="Q5" i="7"/>
  <c r="R5" i="7" s="1"/>
  <c r="Q36" i="7"/>
  <c r="R36" i="7" s="1"/>
  <c r="Q11" i="7"/>
  <c r="R11" i="7" s="1"/>
  <c r="Q19" i="7"/>
  <c r="R19" i="7" s="1"/>
  <c r="Q6" i="7"/>
  <c r="R6" i="7" s="1"/>
  <c r="Q33" i="7"/>
  <c r="R33" i="7" s="1"/>
  <c r="Q10" i="7"/>
  <c r="R10" i="7" s="1"/>
  <c r="Q4" i="7"/>
  <c r="R4" i="7" s="1"/>
  <c r="O8" i="7"/>
  <c r="O23" i="7"/>
  <c r="U23" i="7" s="1"/>
  <c r="W23" i="7" s="1"/>
  <c r="O11" i="7"/>
  <c r="O7" i="7"/>
  <c r="U7" i="7" s="1"/>
  <c r="W7" i="7" s="1"/>
  <c r="O12" i="7"/>
  <c r="U12" i="7" s="1"/>
  <c r="W12" i="7" s="1"/>
  <c r="O19" i="7"/>
  <c r="U19" i="7" s="1"/>
  <c r="W19" i="7" s="1"/>
  <c r="O13" i="7"/>
  <c r="O22" i="7"/>
  <c r="U22" i="7" s="1"/>
  <c r="W22" i="7" s="1"/>
  <c r="O20" i="7"/>
  <c r="U20" i="7" s="1"/>
  <c r="W20" i="7" s="1"/>
  <c r="O18" i="7"/>
  <c r="U18" i="7" s="1"/>
  <c r="W18" i="7" s="1"/>
  <c r="O21" i="7"/>
  <c r="U21" i="7" s="1"/>
  <c r="W21" i="7" s="1"/>
  <c r="O9" i="7"/>
  <c r="U9" i="7" s="1"/>
  <c r="W9" i="7" s="1"/>
  <c r="O53" i="7"/>
  <c r="O51" i="7"/>
  <c r="O5" i="7"/>
  <c r="O32" i="7"/>
  <c r="U32" i="7" s="1"/>
  <c r="W32" i="7" s="1"/>
  <c r="O6" i="7"/>
  <c r="O48" i="7"/>
  <c r="O33" i="7"/>
  <c r="U33" i="7" s="1"/>
  <c r="W33" i="7" s="1"/>
  <c r="O24" i="7"/>
  <c r="U24" i="7" s="1"/>
  <c r="W24" i="7" s="1"/>
  <c r="O27" i="7"/>
  <c r="U27" i="7" s="1"/>
  <c r="W27" i="7" s="1"/>
  <c r="O17" i="7"/>
  <c r="U17" i="7" s="1"/>
  <c r="W17" i="7" s="1"/>
  <c r="O4" i="7"/>
  <c r="U4" i="7" s="1"/>
  <c r="W4" i="7" s="1"/>
  <c r="O49" i="7"/>
  <c r="O52" i="7"/>
  <c r="O10" i="7"/>
  <c r="U10" i="7" s="1"/>
  <c r="W10" i="7" s="1"/>
  <c r="O50" i="7"/>
  <c r="O46" i="7"/>
  <c r="O31" i="7"/>
  <c r="U31" i="7" s="1"/>
  <c r="W31" i="7" s="1"/>
  <c r="O26" i="7"/>
  <c r="U26" i="7" s="1"/>
  <c r="W26" i="7" s="1"/>
  <c r="O30" i="7"/>
  <c r="U30" i="7" s="1"/>
  <c r="W30" i="7" s="1"/>
  <c r="O39" i="7"/>
  <c r="U39" i="7" s="1"/>
  <c r="W39" i="7" s="1"/>
  <c r="O29" i="7"/>
  <c r="U29" i="7" s="1"/>
  <c r="W29" i="7" s="1"/>
  <c r="O28" i="7"/>
  <c r="U28" i="7" s="1"/>
  <c r="W28" i="7" s="1"/>
  <c r="O36" i="7"/>
  <c r="U36" i="7" s="1"/>
  <c r="W36" i="7" s="1"/>
  <c r="O34" i="7"/>
  <c r="U34" i="7" s="1"/>
  <c r="W34" i="7" s="1"/>
  <c r="I42" i="7"/>
  <c r="O37" i="7"/>
  <c r="U37" i="7" s="1"/>
  <c r="W37" i="7" s="1"/>
  <c r="O47" i="7"/>
  <c r="O38" i="7"/>
  <c r="U38" i="7" s="1"/>
  <c r="W38" i="7" s="1"/>
  <c r="O35" i="7"/>
  <c r="U35" i="7" s="1"/>
  <c r="W35" i="7" s="1"/>
  <c r="O25" i="7"/>
  <c r="U25" i="7" s="1"/>
  <c r="W25" i="7" s="1"/>
  <c r="J14" i="7"/>
  <c r="J42" i="7" s="1"/>
  <c r="L16" i="7"/>
  <c r="K40" i="7"/>
  <c r="K14" i="7"/>
  <c r="L3" i="7"/>
  <c r="U6" i="7" l="1"/>
  <c r="W6" i="7" s="1"/>
  <c r="U8" i="7"/>
  <c r="W8" i="7" s="1"/>
  <c r="U5" i="7"/>
  <c r="W5" i="7" s="1"/>
  <c r="U11" i="7"/>
  <c r="W11" i="7" s="1"/>
  <c r="N3" i="7"/>
  <c r="K42" i="7"/>
  <c r="D18" i="8"/>
  <c r="E18" i="8" s="1"/>
  <c r="N16" i="7"/>
  <c r="D50" i="8"/>
  <c r="E50" i="8" s="1"/>
  <c r="Q16" i="7" l="1"/>
  <c r="Q40" i="7" s="1"/>
  <c r="Q3" i="7"/>
  <c r="Q14" i="7" s="1"/>
  <c r="O16" i="7"/>
  <c r="U16" i="7" s="1"/>
  <c r="W16" i="7" s="1"/>
  <c r="O3" i="7"/>
  <c r="U3" i="7" s="1"/>
  <c r="W3" i="7" s="1"/>
  <c r="R3" i="7" l="1"/>
  <c r="R14" i="7" s="1"/>
  <c r="T14" i="7" s="1"/>
  <c r="R16" i="7"/>
  <c r="R40" i="7" s="1"/>
  <c r="T40" i="7" s="1"/>
  <c r="Q42" i="7"/>
  <c r="Q51" i="7" l="1"/>
  <c r="R42" i="7"/>
  <c r="C73" i="6" s="1"/>
  <c r="C74" i="6" s="1"/>
  <c r="C76" i="6" s="1"/>
  <c r="Q52" i="7"/>
  <c r="Q53" i="7" l="1"/>
  <c r="R52" i="7" s="1"/>
  <c r="AR2" i="10"/>
  <c r="AT2" i="10" s="1"/>
  <c r="AV2" i="10"/>
  <c r="AR3" i="10"/>
  <c r="AT3" i="10" s="1"/>
  <c r="AV3" i="10"/>
  <c r="AV159" i="10"/>
  <c r="AV160" i="10"/>
  <c r="R51" i="7" l="1"/>
  <c r="Q57" i="7"/>
  <c r="AR40" i="10"/>
  <c r="AR39" i="10"/>
  <c r="AR41" i="10"/>
  <c r="AR42" i="10"/>
  <c r="AR12" i="10"/>
  <c r="AR14" i="10"/>
  <c r="AR16" i="10"/>
  <c r="AR18" i="10"/>
  <c r="AR20" i="10"/>
  <c r="AR22" i="10"/>
  <c r="AR24" i="10"/>
  <c r="AR26" i="10"/>
  <c r="AR28" i="10"/>
  <c r="AR30" i="10"/>
  <c r="AR32" i="10"/>
  <c r="AR34" i="10"/>
  <c r="AR78" i="10"/>
  <c r="AR110" i="10"/>
  <c r="AR112" i="10"/>
  <c r="AR114" i="10"/>
  <c r="AR116" i="10"/>
  <c r="AR118" i="10"/>
  <c r="AR120" i="10"/>
  <c r="AR122" i="10"/>
  <c r="AR124" i="10"/>
  <c r="AR126" i="10"/>
  <c r="AR60" i="10"/>
  <c r="AR68" i="10"/>
  <c r="AR76" i="10"/>
  <c r="AR86" i="10"/>
  <c r="AR57" i="10"/>
  <c r="AR59" i="10"/>
  <c r="AR61" i="10"/>
  <c r="AR63" i="10"/>
  <c r="AR65" i="10"/>
  <c r="AR67" i="10"/>
  <c r="AR69" i="10"/>
  <c r="AR71" i="10"/>
  <c r="AR73" i="10"/>
  <c r="AR75" i="10"/>
  <c r="AR77" i="10"/>
  <c r="AR79" i="10"/>
  <c r="AR81" i="10"/>
  <c r="AR83" i="10"/>
  <c r="AR85" i="10"/>
  <c r="AR87" i="10"/>
  <c r="AR89" i="10"/>
  <c r="AR91" i="10"/>
  <c r="AR58" i="10"/>
  <c r="AR74" i="10"/>
  <c r="AR88" i="10"/>
  <c r="AR43" i="10"/>
  <c r="AR62" i="10"/>
  <c r="AR72" i="10"/>
  <c r="AR84" i="10"/>
  <c r="AR11" i="10"/>
  <c r="AR13" i="10"/>
  <c r="AR15" i="10"/>
  <c r="AR17" i="10"/>
  <c r="AR19" i="10"/>
  <c r="AR21" i="10"/>
  <c r="AR23" i="10"/>
  <c r="AR25" i="10"/>
  <c r="AR27" i="10"/>
  <c r="AR29" i="10"/>
  <c r="AR31" i="10"/>
  <c r="AR33" i="10"/>
  <c r="AR35" i="10"/>
  <c r="AR66" i="10"/>
  <c r="AR80" i="10"/>
  <c r="AR111" i="10"/>
  <c r="AR113" i="10"/>
  <c r="AR115" i="10"/>
  <c r="AR117" i="10"/>
  <c r="AR119" i="10"/>
  <c r="AR121" i="10"/>
  <c r="AR123" i="10"/>
  <c r="AR125" i="10"/>
  <c r="AR127" i="10"/>
  <c r="AR64" i="10"/>
  <c r="AR70" i="10"/>
  <c r="AR82" i="10"/>
  <c r="AR90" i="10"/>
  <c r="AT27" i="10" l="1"/>
  <c r="AS27" i="10"/>
  <c r="AU27" i="10" s="1"/>
  <c r="AS59" i="10"/>
  <c r="AU59" i="10" s="1"/>
  <c r="AT59" i="10"/>
  <c r="AS122" i="10"/>
  <c r="AU122" i="10" s="1"/>
  <c r="AT122" i="10"/>
  <c r="AS34" i="10"/>
  <c r="AU34" i="10" s="1"/>
  <c r="AT34" i="10"/>
  <c r="AS18" i="10"/>
  <c r="AU18" i="10" s="1"/>
  <c r="AT18" i="10"/>
  <c r="AT64" i="10"/>
  <c r="AS64" i="10"/>
  <c r="AU64" i="10" s="1"/>
  <c r="AS73" i="10"/>
  <c r="AU73" i="10" s="1"/>
  <c r="AT73" i="10"/>
  <c r="AS120" i="10"/>
  <c r="AU120" i="10" s="1"/>
  <c r="AT120" i="10"/>
  <c r="AS32" i="10"/>
  <c r="AU32" i="10" s="1"/>
  <c r="AT32" i="10"/>
  <c r="AS16" i="10"/>
  <c r="AU16" i="10" s="1"/>
  <c r="AT16" i="10"/>
  <c r="AT127" i="10"/>
  <c r="AS127" i="10"/>
  <c r="AU127" i="10" s="1"/>
  <c r="AT80" i="10"/>
  <c r="AS80" i="10"/>
  <c r="AU80" i="10" s="1"/>
  <c r="AS71" i="10"/>
  <c r="AU71" i="10" s="1"/>
  <c r="AT71" i="10"/>
  <c r="AT86" i="10"/>
  <c r="AS86" i="10"/>
  <c r="AU86" i="10" s="1"/>
  <c r="AS118" i="10"/>
  <c r="AU118" i="10" s="1"/>
  <c r="AT118" i="10"/>
  <c r="AS30" i="10"/>
  <c r="AU30" i="10" s="1"/>
  <c r="AT30" i="10"/>
  <c r="AS14" i="10"/>
  <c r="AU14" i="10" s="1"/>
  <c r="AT14" i="10"/>
  <c r="AS75" i="10"/>
  <c r="AU75" i="10" s="1"/>
  <c r="AT75" i="10"/>
  <c r="AT84" i="10"/>
  <c r="AS84" i="10"/>
  <c r="AU84" i="10" s="1"/>
  <c r="AS125" i="10"/>
  <c r="AU125" i="10" s="1"/>
  <c r="AT125" i="10"/>
  <c r="AS85" i="10"/>
  <c r="AU85" i="10" s="1"/>
  <c r="AT85" i="10"/>
  <c r="AS116" i="10"/>
  <c r="AU116" i="10" s="1"/>
  <c r="AT116" i="10"/>
  <c r="AS28" i="10"/>
  <c r="AU28" i="10" s="1"/>
  <c r="AT28" i="10"/>
  <c r="AS12" i="10"/>
  <c r="AU12" i="10" s="1"/>
  <c r="AT12" i="10"/>
  <c r="AS11" i="10"/>
  <c r="AT11" i="10"/>
  <c r="AS89" i="10"/>
  <c r="AU89" i="10" s="1"/>
  <c r="AT89" i="10"/>
  <c r="AS87" i="10"/>
  <c r="AU87" i="10" s="1"/>
  <c r="AT87" i="10"/>
  <c r="AT66" i="10"/>
  <c r="AS66" i="10"/>
  <c r="AU66" i="10" s="1"/>
  <c r="AT62" i="10"/>
  <c r="AS62" i="10"/>
  <c r="AU62" i="10" s="1"/>
  <c r="AT35" i="10"/>
  <c r="AS35" i="10"/>
  <c r="AU35" i="10" s="1"/>
  <c r="AS43" i="10"/>
  <c r="AU43" i="10" s="1"/>
  <c r="AT43" i="10"/>
  <c r="AS83" i="10"/>
  <c r="AU83" i="10" s="1"/>
  <c r="AT83" i="10"/>
  <c r="AS67" i="10"/>
  <c r="AU67" i="10" s="1"/>
  <c r="AT67" i="10"/>
  <c r="AT68" i="10"/>
  <c r="AS68" i="10"/>
  <c r="AU68" i="10" s="1"/>
  <c r="AS114" i="10"/>
  <c r="AU114" i="10" s="1"/>
  <c r="AT114" i="10"/>
  <c r="AS26" i="10"/>
  <c r="AU26" i="10" s="1"/>
  <c r="AT26" i="10"/>
  <c r="AS42" i="10"/>
  <c r="AU42" i="10" s="1"/>
  <c r="AT42" i="10"/>
  <c r="AS113" i="10"/>
  <c r="AU113" i="10" s="1"/>
  <c r="AT113" i="10"/>
  <c r="AT25" i="10"/>
  <c r="AS25" i="10"/>
  <c r="AU25" i="10" s="1"/>
  <c r="AT72" i="10"/>
  <c r="AS72" i="10"/>
  <c r="AU72" i="10" s="1"/>
  <c r="AS21" i="10"/>
  <c r="AU21" i="10" s="1"/>
  <c r="AT21" i="10"/>
  <c r="AT76" i="10"/>
  <c r="AS76" i="10"/>
  <c r="AU76" i="10" s="1"/>
  <c r="AT19" i="10"/>
  <c r="AS19" i="10"/>
  <c r="AU19" i="10" s="1"/>
  <c r="AT90" i="10"/>
  <c r="AS90" i="10"/>
  <c r="AU90" i="10" s="1"/>
  <c r="AS119" i="10"/>
  <c r="AU119" i="10" s="1"/>
  <c r="AT119" i="10"/>
  <c r="AS33" i="10"/>
  <c r="AU33" i="10" s="1"/>
  <c r="AT33" i="10"/>
  <c r="AT17" i="10"/>
  <c r="AS17" i="10"/>
  <c r="AU17" i="10" s="1"/>
  <c r="AT88" i="10"/>
  <c r="AS88" i="10"/>
  <c r="AU88" i="10" s="1"/>
  <c r="AS81" i="10"/>
  <c r="AU81" i="10" s="1"/>
  <c r="AT81" i="10"/>
  <c r="AS65" i="10"/>
  <c r="AU65" i="10" s="1"/>
  <c r="AT65" i="10"/>
  <c r="AT60" i="10"/>
  <c r="AS60" i="10"/>
  <c r="AU60" i="10" s="1"/>
  <c r="AS112" i="10"/>
  <c r="AU112" i="10" s="1"/>
  <c r="AT112" i="10"/>
  <c r="AS24" i="10"/>
  <c r="AU24" i="10" s="1"/>
  <c r="AT24" i="10"/>
  <c r="AS41" i="10"/>
  <c r="AU41" i="10" s="1"/>
  <c r="AT41" i="10"/>
  <c r="AT111" i="10"/>
  <c r="AS111" i="10"/>
  <c r="AU111" i="10" s="1"/>
  <c r="AS57" i="10"/>
  <c r="AT57" i="10"/>
  <c r="AT23" i="10"/>
  <c r="AS23" i="10"/>
  <c r="AU23" i="10" s="1"/>
  <c r="AT123" i="10"/>
  <c r="AS123" i="10"/>
  <c r="AU123" i="10" s="1"/>
  <c r="AS69" i="10"/>
  <c r="AU69" i="10" s="1"/>
  <c r="AT69" i="10"/>
  <c r="AS121" i="10"/>
  <c r="AU121" i="10" s="1"/>
  <c r="AT121" i="10"/>
  <c r="AT82" i="10"/>
  <c r="AS82" i="10"/>
  <c r="AU82" i="10" s="1"/>
  <c r="AT117" i="10"/>
  <c r="AS117" i="10"/>
  <c r="AU117" i="10" s="1"/>
  <c r="AT31" i="10"/>
  <c r="AS31" i="10"/>
  <c r="AU31" i="10" s="1"/>
  <c r="AT15" i="10"/>
  <c r="AS15" i="10"/>
  <c r="AU15" i="10" s="1"/>
  <c r="AT74" i="10"/>
  <c r="AS74" i="10"/>
  <c r="AU74" i="10" s="1"/>
  <c r="AS79" i="10"/>
  <c r="AU79" i="10" s="1"/>
  <c r="AT79" i="10"/>
  <c r="AS63" i="10"/>
  <c r="AU63" i="10" s="1"/>
  <c r="AT63" i="10"/>
  <c r="AS126" i="10"/>
  <c r="AU126" i="10" s="1"/>
  <c r="AT126" i="10"/>
  <c r="AS110" i="10"/>
  <c r="AT110" i="10"/>
  <c r="AS22" i="10"/>
  <c r="AU22" i="10" s="1"/>
  <c r="AT22" i="10"/>
  <c r="AS39" i="10"/>
  <c r="AT39" i="10"/>
  <c r="AS91" i="10"/>
  <c r="AU91" i="10" s="1"/>
  <c r="AT91" i="10"/>
  <c r="AT70" i="10"/>
  <c r="AS70" i="10"/>
  <c r="AU70" i="10" s="1"/>
  <c r="AS115" i="10"/>
  <c r="AU115" i="10" s="1"/>
  <c r="AT115" i="10"/>
  <c r="AS29" i="10"/>
  <c r="AU29" i="10" s="1"/>
  <c r="AT29" i="10"/>
  <c r="AT13" i="10"/>
  <c r="AS13" i="10"/>
  <c r="AU13" i="10" s="1"/>
  <c r="AT58" i="10"/>
  <c r="AS58" i="10"/>
  <c r="AU58" i="10" s="1"/>
  <c r="AS77" i="10"/>
  <c r="AU77" i="10" s="1"/>
  <c r="AT77" i="10"/>
  <c r="AS61" i="10"/>
  <c r="AU61" i="10" s="1"/>
  <c r="AT61" i="10"/>
  <c r="AS124" i="10"/>
  <c r="AU124" i="10" s="1"/>
  <c r="AT124" i="10"/>
  <c r="AT78" i="10"/>
  <c r="AS78" i="10"/>
  <c r="AU78" i="10" s="1"/>
  <c r="AS20" i="10"/>
  <c r="AU20" i="10" s="1"/>
  <c r="AT20" i="10"/>
  <c r="AS40" i="10"/>
  <c r="AU40" i="10" s="1"/>
  <c r="AT40" i="10"/>
  <c r="AS92" i="10" l="1"/>
  <c r="AV92" i="10" s="1"/>
  <c r="AU57" i="10"/>
  <c r="AU92" i="10" s="1"/>
  <c r="AU39" i="10"/>
  <c r="AU44" i="10" s="1"/>
  <c r="AU160" i="10" s="1"/>
  <c r="AW160" i="10" s="1"/>
  <c r="AS44" i="10"/>
  <c r="AS128" i="10"/>
  <c r="AU110" i="10"/>
  <c r="AU128" i="10" s="1"/>
  <c r="AS36" i="10"/>
  <c r="AV36" i="10" s="1"/>
  <c r="AU11" i="10"/>
  <c r="AU36" i="10" s="1"/>
  <c r="AU159" i="10" l="1"/>
  <c r="AW159" i="10" s="1"/>
  <c r="AV128" i="10"/>
  <c r="AS159" i="10"/>
  <c r="AU2" i="10" s="1"/>
  <c r="AW2" i="10" s="1"/>
  <c r="AS160" i="10"/>
  <c r="AU3" i="10" s="1"/>
  <c r="AW3" i="10" s="1"/>
  <c r="AV4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Waldram</author>
  </authors>
  <commentList>
    <comment ref="AU159" authorId="0" shapeId="0" xr:uid="{7A48302D-D920-474E-BBF1-2842065F513C}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Had to include the DF proforma adjustment manually here.  Making sure we will meet the revenue requirement</t>
        </r>
      </text>
    </comment>
  </commentList>
</comments>
</file>

<file path=xl/sharedStrings.xml><?xml version="1.0" encoding="utf-8"?>
<sst xmlns="http://schemas.openxmlformats.org/spreadsheetml/2006/main" count="546" uniqueCount="417">
  <si>
    <t>Total</t>
  </si>
  <si>
    <t>Increase</t>
  </si>
  <si>
    <t>Gross Up</t>
  </si>
  <si>
    <t>Plug to Balance</t>
  </si>
  <si>
    <t>Vashon</t>
  </si>
  <si>
    <t>Difference</t>
  </si>
  <si>
    <t>Garbage</t>
  </si>
  <si>
    <t>Revenue Price Out by Service Level and Line of Business</t>
  </si>
  <si>
    <t>Number of Months</t>
  </si>
  <si>
    <t>Recycling</t>
  </si>
  <si>
    <t>Revenue</t>
  </si>
  <si>
    <t>Customer Count</t>
  </si>
  <si>
    <t>Service Code</t>
  </si>
  <si>
    <t>Service Code Description</t>
  </si>
  <si>
    <t>Tariff Increase</t>
  </si>
  <si>
    <t>Annual Increase</t>
  </si>
  <si>
    <t>RESIDENTIAL SERVICES</t>
  </si>
  <si>
    <t>RESIDENTIAL GARBAGE</t>
  </si>
  <si>
    <t>20RW1</t>
  </si>
  <si>
    <t>1-20 GAL CAN WEEKLY</t>
  </si>
  <si>
    <t>20RW1R</t>
  </si>
  <si>
    <t>1-20 GL CART WKLY W/ RECY</t>
  </si>
  <si>
    <t>32RE1</t>
  </si>
  <si>
    <t>1-32 GAL CAN EOW</t>
  </si>
  <si>
    <t>32RM1</t>
  </si>
  <si>
    <t>1-32 GAL CAN MONTHLY</t>
  </si>
  <si>
    <t>32ROCPU</t>
  </si>
  <si>
    <t>1-32 GAL CAN-ON CALL</t>
  </si>
  <si>
    <t>32RW1</t>
  </si>
  <si>
    <t>1-32 GAL CAN WEEKLY</t>
  </si>
  <si>
    <t>32RW2</t>
  </si>
  <si>
    <t>2-32 GAL CANS WEEKLY</t>
  </si>
  <si>
    <t>32RW3</t>
  </si>
  <si>
    <t>3-32 GAL CANS WEEKLY</t>
  </si>
  <si>
    <t>32RW4</t>
  </si>
  <si>
    <t>4-32 GAL CANS WEEKLY</t>
  </si>
  <si>
    <t>CARRY-RES</t>
  </si>
  <si>
    <t>CARRY OUT -RES</t>
  </si>
  <si>
    <t>DRIVEPRVT-RES</t>
  </si>
  <si>
    <t>DRIVE IN PRIVATE RD - RES</t>
  </si>
  <si>
    <t>DRVNRE1</t>
  </si>
  <si>
    <t>DRIVE IN UP TO 125'-EOW</t>
  </si>
  <si>
    <t>DRVNRW1</t>
  </si>
  <si>
    <t>DRIVE IN UP TO 125'-WKLY</t>
  </si>
  <si>
    <t>DRVNRW2</t>
  </si>
  <si>
    <t>DRIVE IN OVER 125'-WKLY</t>
  </si>
  <si>
    <t>GWCR</t>
  </si>
  <si>
    <t>GOOD WILL CREDIT - RESI</t>
  </si>
  <si>
    <t>OBSR</t>
  </si>
  <si>
    <t>OBSTRUCTION</t>
  </si>
  <si>
    <t>OS</t>
  </si>
  <si>
    <t>OVERSIZE UNIT</t>
  </si>
  <si>
    <t>OSOW</t>
  </si>
  <si>
    <t>OVERSIZE/OVERWEIGHT</t>
  </si>
  <si>
    <t>OW</t>
  </si>
  <si>
    <t>OVERWEIGHT UNIT</t>
  </si>
  <si>
    <t>PACKR</t>
  </si>
  <si>
    <t>CARRY-OUT RESIDENTIAL</t>
  </si>
  <si>
    <t>RESTART FEE</t>
  </si>
  <si>
    <t>REXTRA</t>
  </si>
  <si>
    <t>EXTRA UNITS</t>
  </si>
  <si>
    <t>TRIPRCANS</t>
  </si>
  <si>
    <t>RETURN TRIP CHARGE - CANS</t>
  </si>
  <si>
    <t>TOTAL RESIDENTIAL GARBAGE</t>
  </si>
  <si>
    <t>COMMERCIAL SERVICES</t>
  </si>
  <si>
    <t>COMMERCIAL GARBAGE</t>
  </si>
  <si>
    <t>32CE1</t>
  </si>
  <si>
    <t>32 GAL CAN COMM EOW</t>
  </si>
  <si>
    <t>32CW1</t>
  </si>
  <si>
    <t>32CW2</t>
  </si>
  <si>
    <t>2-32 GAL CANS WKLY</t>
  </si>
  <si>
    <t>32CW3</t>
  </si>
  <si>
    <t>3-32 GAL CANS WKLY</t>
  </si>
  <si>
    <t>32CW4</t>
  </si>
  <si>
    <t>4-32 GAL CANS WKLY</t>
  </si>
  <si>
    <t>PACKC</t>
  </si>
  <si>
    <t>CARRY-OUT COMMERCIAL</t>
  </si>
  <si>
    <t>R1.5YD1W</t>
  </si>
  <si>
    <t>1.5YD CONT 1xWEEKLY</t>
  </si>
  <si>
    <t>R1.5YD2W</t>
  </si>
  <si>
    <t>1.5YD CONT 2xWEEKLY</t>
  </si>
  <si>
    <t>R1.5YDEOW</t>
  </si>
  <si>
    <t>1.5YD CONT EOW</t>
  </si>
  <si>
    <t>R1.5YDEX</t>
  </si>
  <si>
    <t>1.5YD CONTAINER EXTRA</t>
  </si>
  <si>
    <t>R1.5YDTPU</t>
  </si>
  <si>
    <t>1.5YD TEMP CONTAINER</t>
  </si>
  <si>
    <t>R1YD1W</t>
  </si>
  <si>
    <t>1YD CONT 1xWEEKLY</t>
  </si>
  <si>
    <t>R1YDEOW</t>
  </si>
  <si>
    <t>1YD CONT EOW</t>
  </si>
  <si>
    <t>R1YDEX</t>
  </si>
  <si>
    <t>1YD CONTAINER EXTRA</t>
  </si>
  <si>
    <t>R1YDTPU</t>
  </si>
  <si>
    <t>1YD TEMP CONT</t>
  </si>
  <si>
    <t>R2YD1W</t>
  </si>
  <si>
    <t>2YD CONT 1xWEEKLY</t>
  </si>
  <si>
    <t>R2YD2W</t>
  </si>
  <si>
    <t>2YD CONT 2xWEEKLY</t>
  </si>
  <si>
    <t>R2YD3W</t>
  </si>
  <si>
    <t>2YD CONT 3xWEEKLY</t>
  </si>
  <si>
    <t>R2YD4W</t>
  </si>
  <si>
    <t>2YD CONT 4xWEEKLY</t>
  </si>
  <si>
    <t>R2YDEOW</t>
  </si>
  <si>
    <t>2YD CONT EOW</t>
  </si>
  <si>
    <t>R2YDEX</t>
  </si>
  <si>
    <t>2YD CONTAINER EXTRA</t>
  </si>
  <si>
    <t>R2YDTPU</t>
  </si>
  <si>
    <t>2YD TEMP CONTAINER</t>
  </si>
  <si>
    <t>CEX</t>
  </si>
  <si>
    <t>EXTRA CANS</t>
  </si>
  <si>
    <t>CEXYD</t>
  </si>
  <si>
    <t>CMML EXTRA YARDAGE</t>
  </si>
  <si>
    <t>CLOCK</t>
  </si>
  <si>
    <t>LOCK CHARGE-CONTAINER</t>
  </si>
  <si>
    <t>CROLL</t>
  </si>
  <si>
    <t>ROLLOUT CHARGE - CMML</t>
  </si>
  <si>
    <t>CTDEL</t>
  </si>
  <si>
    <t>TEMP CONTAINER DELIVERY</t>
  </si>
  <si>
    <t>CTRIP</t>
  </si>
  <si>
    <t>RETURN TRIP CHARGE - CONT</t>
  </si>
  <si>
    <t>DRIVEDWAY-COMM</t>
  </si>
  <si>
    <t>DRIVE IN DRIVEWAY - COMM</t>
  </si>
  <si>
    <t>DRIVEPVT-COMM</t>
  </si>
  <si>
    <t>DRIVE IN PRIVATE RD - COMM</t>
  </si>
  <si>
    <t>TOTAL COMMERCIAL GARBAGE</t>
  </si>
  <si>
    <t>SUBTOTAL COMMERCIAL</t>
  </si>
  <si>
    <t>DROP BOX SERVICES</t>
  </si>
  <si>
    <t>DROP BOX HAULS/RENTAL</t>
  </si>
  <si>
    <t>ROHAUL20</t>
  </si>
  <si>
    <t>20YD ROLL OFF-HAUL</t>
  </si>
  <si>
    <t>ROHAUL20T</t>
  </si>
  <si>
    <t>20YD ROLL OFF TEMP HAUL</t>
  </si>
  <si>
    <t>ROHAUL25</t>
  </si>
  <si>
    <t>25YD ROLL OFF - HAUL</t>
  </si>
  <si>
    <t>ROHAUL25T</t>
  </si>
  <si>
    <t>25YD ROLL OFF TEMP HAUL</t>
  </si>
  <si>
    <t>ROHAUL30</t>
  </si>
  <si>
    <t>30YD ROLL OFF-HAUL</t>
  </si>
  <si>
    <t>ROHAUL30T</t>
  </si>
  <si>
    <t>30YD ROLL OFF TEMP HAUL</t>
  </si>
  <si>
    <t>RORENT20T</t>
  </si>
  <si>
    <t>20YD ROLL OFF-TEMP RENT</t>
  </si>
  <si>
    <t>RORENT25T</t>
  </si>
  <si>
    <t>25YD ROLL OFF-TEMP RENT</t>
  </si>
  <si>
    <t>RORENT30T</t>
  </si>
  <si>
    <t>30YD ROLL OFF-TEMP RENT</t>
  </si>
  <si>
    <t>ROTA</t>
  </si>
  <si>
    <t>TANDEM AXLE</t>
  </si>
  <si>
    <t>RODEL</t>
  </si>
  <si>
    <t>ROLL OFF-DELIVERY</t>
  </si>
  <si>
    <t>TOTAL DROP BOX HAULS/RENTAL</t>
  </si>
  <si>
    <t>PASSTHROUGH DISPOSAL</t>
  </si>
  <si>
    <t>DISP</t>
  </si>
  <si>
    <t>DISPOSAL FEE PER TON</t>
  </si>
  <si>
    <t>TOTAL PASSTHROUGH DISPOSAL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</si>
  <si>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</si>
  <si>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</si>
  <si>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</si>
  <si>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</si>
  <si>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</si>
  <si>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</si>
  <si>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</si>
  <si>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</si>
  <si>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</si>
  <si>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</si>
  <si>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</si>
  <si>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</si>
  <si>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</si>
  <si>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</si>
  <si>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</si>
  <si>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</si>
  <si>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</si>
  <si>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Note: Temporary container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</si>
  <si>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</si>
  <si>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</si>
  <si>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</si>
  <si>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</si>
  <si>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</si>
  <si>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</si>
  <si>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</si>
  <si>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</si>
  <si>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</si>
  <si>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</si>
  <si>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</si>
  <si>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</si>
  <si>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</si>
  <si>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Annual</t>
  </si>
  <si>
    <t>40 gallon Can</t>
  </si>
  <si>
    <t>*</t>
  </si>
  <si>
    <t>Supercan 60</t>
  </si>
  <si>
    <t>Supercan 90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</si>
  <si>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</si>
  <si>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</si>
  <si>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</si>
  <si>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</si>
  <si>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</si>
  <si>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</si>
  <si>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</si>
  <si>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</si>
  <si>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</si>
  <si>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</si>
  <si>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</si>
  <si>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</si>
  <si>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</si>
  <si>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</si>
  <si>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</si>
  <si>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</si>
  <si>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</si>
  <si>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</si>
  <si>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</si>
  <si>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</si>
  <si>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* not on meeks - calculated</t>
  </si>
  <si>
    <t xml:space="preserve">   weight times compaction ratio</t>
  </si>
  <si>
    <t>Pierce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</si>
  <si>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</si>
  <si>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</si>
  <si>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</si>
  <si>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</si>
  <si>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</si>
  <si>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</si>
  <si>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</si>
  <si>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</si>
  <si>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</si>
  <si>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</si>
  <si>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</si>
  <si>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</si>
  <si>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</si>
  <si>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</si>
  <si>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</si>
  <si>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</si>
  <si>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</si>
  <si>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</si>
  <si>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</si>
  <si>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</si>
  <si>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Annual Customers</t>
  </si>
  <si>
    <t>Monthly Frequency</t>
  </si>
  <si>
    <t>Annual PU's</t>
  </si>
  <si>
    <t>Calculated Annual Pounds</t>
  </si>
  <si>
    <t>Adjusted Annual Pounds</t>
  </si>
  <si>
    <t>Tariff Rate Increase</t>
  </si>
  <si>
    <t>Company Current Tariff</t>
  </si>
  <si>
    <t xml:space="preserve"> Calculated Rate</t>
  </si>
  <si>
    <t>Company Proposed Tariff</t>
  </si>
  <si>
    <t>Company Current Revenue</t>
  </si>
  <si>
    <t>Proposed Revenue</t>
  </si>
  <si>
    <t>Revised Revenue Increase</t>
  </si>
  <si>
    <t>Residential</t>
  </si>
  <si>
    <t>Total Residential</t>
  </si>
  <si>
    <t>Commercial</t>
  </si>
  <si>
    <t>1-32 GAL CAN WEEKLY  MINIMUM</t>
  </si>
  <si>
    <t>Total Commercial</t>
  </si>
  <si>
    <t>Total Company</t>
  </si>
  <si>
    <t>No Current Customers</t>
  </si>
  <si>
    <t>Bulky</t>
  </si>
  <si>
    <t>2YD COMP 1X WEEK 3:1</t>
  </si>
  <si>
    <t>Roll-off</t>
  </si>
  <si>
    <t>2YD COMP 1X WEEK 5:1</t>
  </si>
  <si>
    <t>Adjustment Factor Calculation</t>
  </si>
  <si>
    <t>Total Tonnage</t>
  </si>
  <si>
    <t>Total Pounds</t>
  </si>
  <si>
    <t>Total Pick Ups</t>
  </si>
  <si>
    <t>Adjustment factor</t>
  </si>
  <si>
    <t>American Disposal Co., Inc. G-87</t>
  </si>
  <si>
    <t>dba Vashon Disposal</t>
  </si>
  <si>
    <t>Current Tariff Rate</t>
  </si>
  <si>
    <t>Proposed Increase</t>
  </si>
  <si>
    <t>Item 55, Pg 16</t>
  </si>
  <si>
    <t>Over size</t>
  </si>
  <si>
    <t>WG-R</t>
  </si>
  <si>
    <t>Item 100, pg 21</t>
  </si>
  <si>
    <t>One can</t>
  </si>
  <si>
    <t>MG</t>
  </si>
  <si>
    <t>EOWG</t>
  </si>
  <si>
    <t xml:space="preserve">Mini can </t>
  </si>
  <si>
    <t>Two cans</t>
  </si>
  <si>
    <t>Three cans</t>
  </si>
  <si>
    <t>Four cans</t>
  </si>
  <si>
    <t>Item 100, pg 22</t>
  </si>
  <si>
    <t>Each</t>
  </si>
  <si>
    <t>On Call</t>
  </si>
  <si>
    <t>no revenue</t>
  </si>
  <si>
    <t>Item 150, pg 28</t>
  </si>
  <si>
    <t>Loose material</t>
  </si>
  <si>
    <t>Additional</t>
  </si>
  <si>
    <t>Minimum</t>
  </si>
  <si>
    <t>Item 207, pg 32</t>
  </si>
  <si>
    <t>Overfilled</t>
  </si>
  <si>
    <t>Item 230, pg 34</t>
  </si>
  <si>
    <t>Ton</t>
  </si>
  <si>
    <t>Item 240, pg 35</t>
  </si>
  <si>
    <t>First/Additional</t>
  </si>
  <si>
    <t>1 yard</t>
  </si>
  <si>
    <t>1.5 yard</t>
  </si>
  <si>
    <t>2 yard</t>
  </si>
  <si>
    <t>M</t>
  </si>
  <si>
    <t>Temporary Service</t>
  </si>
  <si>
    <t>Item 245, pg 36</t>
  </si>
  <si>
    <t>1 32 gal can (grouped)</t>
  </si>
  <si>
    <t>Special pickups, p/can</t>
  </si>
  <si>
    <t>Monthly minimum</t>
  </si>
  <si>
    <t>Occasional extra</t>
  </si>
  <si>
    <t>Item 255, pg 38  3:1 compaction</t>
  </si>
  <si>
    <t>Item 255, pg 38  5:1 compaction</t>
  </si>
  <si>
    <t>Bulky/Loose Minimum</t>
  </si>
  <si>
    <t>Bulky/Loose Additional</t>
  </si>
  <si>
    <t>Excess Weight</t>
  </si>
  <si>
    <t>32 GAL SPECIAL PICKUP</t>
  </si>
  <si>
    <t>Commerical</t>
  </si>
  <si>
    <t>Resi</t>
  </si>
  <si>
    <t>Comm</t>
  </si>
  <si>
    <t>RO</t>
  </si>
  <si>
    <t>Increase per Ton</t>
  </si>
  <si>
    <t>RO Increase for TL</t>
  </si>
  <si>
    <t>Increase Per LG</t>
  </si>
  <si>
    <t>Total % Change</t>
  </si>
  <si>
    <t>Price Out Increase</t>
  </si>
  <si>
    <t>LG Increase</t>
  </si>
  <si>
    <t>See below for total revenue requirement calc</t>
  </si>
  <si>
    <t>Container Counts</t>
  </si>
  <si>
    <t>Rates as of 09/01/2020</t>
  </si>
  <si>
    <t>Rates as of 01/01/2022</t>
  </si>
  <si>
    <t>Total Customer Count</t>
  </si>
  <si>
    <t>Average</t>
  </si>
  <si>
    <t>Cart Size</t>
  </si>
  <si>
    <t>Can Size</t>
  </si>
  <si>
    <t>Container Size</t>
  </si>
  <si>
    <t>Quantity</t>
  </si>
  <si>
    <t>Count</t>
  </si>
  <si>
    <t>New Tariff Rate</t>
  </si>
  <si>
    <t>Proposed Annual Revenue</t>
  </si>
  <si>
    <t>TRIPRCARTS</t>
  </si>
  <si>
    <t>RESI TRIP CHARGE - CARTS</t>
  </si>
  <si>
    <t>Check</t>
  </si>
  <si>
    <t>RESIDENTIAL RECYCLING</t>
  </si>
  <si>
    <t>recyonly</t>
  </si>
  <si>
    <t>RECYCLE SERVICE ONLY</t>
  </si>
  <si>
    <t>RECYR</t>
  </si>
  <si>
    <t>RECYCLE PROGRAM</t>
  </si>
  <si>
    <t>DRVNR-RECYCLE</t>
  </si>
  <si>
    <t>DRIVE IN RECYCLE</t>
  </si>
  <si>
    <t>PACKR-RECYCLE</t>
  </si>
  <si>
    <t>RECY ROLLOUT RESI &lt;25'</t>
  </si>
  <si>
    <t>TOTAL RESIDENTIAL RECYCLING</t>
  </si>
  <si>
    <t>RESIDENTIAL YARD WASTE</t>
  </si>
  <si>
    <t>TOTAL RESIDENTIAL YARD WASTE</t>
  </si>
  <si>
    <t>SUBTOTAL RESIDENTIAL</t>
  </si>
  <si>
    <t>32CW5</t>
  </si>
  <si>
    <t>5-32 GAL CANS WKLY</t>
  </si>
  <si>
    <t>F1YDEX</t>
  </si>
  <si>
    <t>1YD CONT EXTRA</t>
  </si>
  <si>
    <t>DRVNC</t>
  </si>
  <si>
    <t>DRIVE IN - CMML</t>
  </si>
  <si>
    <t>TIMEC</t>
  </si>
  <si>
    <t>CMML TIME CHARGE</t>
  </si>
  <si>
    <t>Container</t>
  </si>
  <si>
    <t>Multi-Family</t>
  </si>
  <si>
    <t>MULTI-FAMILY GARBAGE</t>
  </si>
  <si>
    <t>TOTAL MULTI-FAMILY GARBAGE</t>
  </si>
  <si>
    <t>MULTI-FAMILY RECYCLING</t>
  </si>
  <si>
    <t>TOTAL MULTI-FAMILY RECYCLING</t>
  </si>
  <si>
    <t>Roll off</t>
  </si>
  <si>
    <t>RORENT20P</t>
  </si>
  <si>
    <t>20YD ROLL OFF-PERM RENT</t>
  </si>
  <si>
    <t>RORENT25P</t>
  </si>
  <si>
    <t>25YD ROLL OFF-PERM RENT</t>
  </si>
  <si>
    <t>RORENT30P</t>
  </si>
  <si>
    <t>30YD ROLL OFF-PERM RENT</t>
  </si>
  <si>
    <t>ROMILE</t>
  </si>
  <si>
    <t>MILEAGE</t>
  </si>
  <si>
    <t>OT-RO</t>
  </si>
  <si>
    <t>OVERTIME PERIOD - RO</t>
  </si>
  <si>
    <t>TIME-RO</t>
  </si>
  <si>
    <t>ROLL OFF TIME CHARGE</t>
  </si>
  <si>
    <t>Recycle</t>
  </si>
  <si>
    <t>SUBTOTAL DROP BOX</t>
  </si>
  <si>
    <t>Medical Waste</t>
  </si>
  <si>
    <t>MEDICAL WASTE</t>
  </si>
  <si>
    <t>TOTAL MEDICAL WASTE</t>
  </si>
  <si>
    <t>SUBTOTAL MEDICAL WASTE</t>
  </si>
  <si>
    <t>Accounting</t>
  </si>
  <si>
    <t>SERVICE CHARGES</t>
  </si>
  <si>
    <t>ADJ-SB</t>
  </si>
  <si>
    <t>SERVICE ADJ-SMALL BALANCE</t>
  </si>
  <si>
    <t>ADJTAX</t>
  </si>
  <si>
    <t>TAX ADJUSTMENT</t>
  </si>
  <si>
    <t>FINCHG</t>
  </si>
  <si>
    <t>LATE FEE</t>
  </si>
  <si>
    <t>NSF FEES</t>
  </si>
  <si>
    <t>RETURNED CHECK FEE</t>
  </si>
  <si>
    <t>TOTAL SERVICE CHARGES</t>
  </si>
  <si>
    <t>SUBTOTAL SERVICE CHARGES</t>
  </si>
  <si>
    <t>Revenue Requirement per LG</t>
  </si>
  <si>
    <t>Grand Total District Operations</t>
  </si>
  <si>
    <t>Disposal Increase Adjustment</t>
  </si>
  <si>
    <t>Test Period Disposal Expense</t>
  </si>
  <si>
    <t>2023 Disposal Expense</t>
  </si>
  <si>
    <t>Test Period Tons</t>
  </si>
  <si>
    <t>Effective Month 1/1/2023</t>
  </si>
  <si>
    <t>Packer</t>
  </si>
  <si>
    <t>Per GL</t>
  </si>
  <si>
    <t>Disposal Expense</t>
  </si>
  <si>
    <t>Adjustment to true-up the test period disposal expense to recognize the new disposal rate of $168.68/ton effective 1/1/2023.  This needs to be done in order to have an accurate 12 month expense base.</t>
  </si>
  <si>
    <t>Disposal Schedule</t>
  </si>
  <si>
    <t>June 1, 2021- May 31, 2022</t>
  </si>
  <si>
    <t>2023 Customer counts:</t>
  </si>
  <si>
    <t>DF Effective 1/1/2024</t>
  </si>
  <si>
    <t>New 1/1/2024 Rate</t>
  </si>
  <si>
    <t>Note: Customer count and disposal/weight related figures were audited and presented as part of TG-220857 and are used in this filing per WUTC request.</t>
  </si>
  <si>
    <t>From TG-220857</t>
  </si>
  <si>
    <t>Fee Calculation</t>
  </si>
  <si>
    <t>2024 Tip Fee</t>
  </si>
  <si>
    <t>Fixed Annual Cost</t>
  </si>
  <si>
    <t>DF Tons</t>
  </si>
  <si>
    <t>FAC FEE Per Ton</t>
  </si>
  <si>
    <t>2024 Rate</t>
  </si>
  <si>
    <t>Total Revenue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</si>
</sst>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_);_(&quot;$&quot;* \(#,##0\);_(&quot;$&quot;* &quot;-&quot;??_);_(@_)"/>
    <numFmt numFmtId="171" formatCode="#,##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  <scheme val="minor"/>
    </font>
    <font>
      <b/>
      <sz val="11"/>
      <color indexed="50"/>
      <name val="Calibri"/>
      <family val="2"/>
      <scheme val="minor"/>
    </font>
    <font>
      <sz val="11"/>
      <color indexed="8"/>
      <name val="Arial"/>
      <family val="2"/>
    </font>
    <font>
      <sz val="11"/>
      <color theme="3" tint="0.399975585192419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7030A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8" fillId="0" borderId="0" xfId="5" applyFont="1"/>
    <xf numFmtId="0" fontId="9" fillId="0" borderId="0" xfId="5" applyFont="1"/>
    <xf numFmtId="0" fontId="9" fillId="0" borderId="0" xfId="5" applyFont="1" applyAlignment="1">
      <alignment horizontal="right"/>
    </xf>
    <xf numFmtId="10" fontId="8" fillId="0" borderId="0" xfId="2" applyNumberFormat="1" applyFont="1"/>
    <xf numFmtId="164" fontId="8" fillId="0" borderId="0" xfId="5" applyNumberFormat="1" applyFont="1"/>
    <xf numFmtId="41" fontId="8" fillId="0" borderId="0" xfId="5" applyNumberFormat="1" applyFont="1"/>
    <xf numFmtId="44" fontId="8" fillId="0" borderId="0" xfId="5" applyNumberFormat="1" applyFont="1"/>
    <xf numFmtId="0" fontId="2" fillId="0" borderId="0" xfId="5" applyFont="1" applyAlignment="1">
      <alignment horizontal="right"/>
    </xf>
    <xf numFmtId="0" fontId="9" fillId="0" borderId="0" xfId="5" applyFont="1" applyAlignment="1">
      <alignment horizontal="center" wrapText="1"/>
    </xf>
    <xf numFmtId="0" fontId="9" fillId="0" borderId="0" xfId="5" applyFont="1" applyAlignment="1">
      <alignment horizontal="center"/>
    </xf>
    <xf numFmtId="17" fontId="9" fillId="0" borderId="0" xfId="5" applyNumberFormat="1" applyFont="1" applyAlignment="1">
      <alignment horizontal="center" wrapText="1"/>
    </xf>
    <xf numFmtId="0" fontId="11" fillId="0" borderId="0" xfId="5" applyFont="1" applyAlignment="1">
      <alignment horizontal="left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43" fontId="8" fillId="0" borderId="0" xfId="6" applyFont="1" applyFill="1"/>
    <xf numFmtId="164" fontId="8" fillId="0" borderId="0" xfId="6" applyNumberFormat="1" applyFont="1" applyFill="1"/>
    <xf numFmtId="164" fontId="8" fillId="0" borderId="0" xfId="6" applyNumberFormat="1" applyFont="1"/>
    <xf numFmtId="43" fontId="8" fillId="0" borderId="0" xfId="5" applyNumberFormat="1" applyFont="1"/>
    <xf numFmtId="164" fontId="8" fillId="0" borderId="2" xfId="6" applyNumberFormat="1" applyFont="1" applyFill="1" applyBorder="1"/>
    <xf numFmtId="164" fontId="8" fillId="0" borderId="0" xfId="6" applyNumberFormat="1" applyFont="1" applyFill="1" applyBorder="1"/>
    <xf numFmtId="164" fontId="9" fillId="0" borderId="0" xfId="6" applyNumberFormat="1" applyFont="1" applyFill="1"/>
    <xf numFmtId="0" fontId="1" fillId="0" borderId="0" xfId="5" applyFont="1" applyAlignment="1">
      <alignment horizontal="left" indent="1"/>
    </xf>
    <xf numFmtId="164" fontId="9" fillId="0" borderId="0" xfId="6" applyNumberFormat="1" applyFont="1"/>
    <xf numFmtId="164" fontId="9" fillId="0" borderId="0" xfId="5" applyNumberFormat="1" applyFont="1" applyAlignment="1">
      <alignment horizontal="right"/>
    </xf>
    <xf numFmtId="164" fontId="7" fillId="0" borderId="0" xfId="5" applyNumberFormat="1"/>
    <xf numFmtId="0" fontId="1" fillId="0" borderId="0" xfId="7"/>
    <xf numFmtId="0" fontId="1" fillId="0" borderId="3" xfId="7" applyBorder="1" applyAlignment="1">
      <alignment horizontal="center"/>
    </xf>
    <xf numFmtId="43" fontId="6" fillId="0" borderId="0" xfId="8" applyFont="1"/>
    <xf numFmtId="43" fontId="1" fillId="0" borderId="0" xfId="7" applyNumberFormat="1" applyAlignment="1">
      <alignment horizontal="center"/>
    </xf>
    <xf numFmtId="43" fontId="1" fillId="0" borderId="0" xfId="7" applyNumberFormat="1"/>
    <xf numFmtId="0" fontId="3" fillId="0" borderId="0" xfId="7" applyFont="1"/>
    <xf numFmtId="43" fontId="6" fillId="0" borderId="0" xfId="8" applyFont="1" applyAlignment="1">
      <alignment horizontal="center"/>
    </xf>
    <xf numFmtId="44" fontId="1" fillId="0" borderId="0" xfId="9" applyFont="1"/>
    <xf numFmtId="0" fontId="1" fillId="0" borderId="0" xfId="7" applyAlignment="1">
      <alignment horizontal="left" indent="1"/>
    </xf>
    <xf numFmtId="164" fontId="6" fillId="0" borderId="0" xfId="8" applyNumberFormat="1" applyFont="1"/>
    <xf numFmtId="0" fontId="6" fillId="0" borderId="0" xfId="7" applyFont="1"/>
    <xf numFmtId="0" fontId="2" fillId="0" borderId="0" xfId="7" applyFont="1"/>
    <xf numFmtId="0" fontId="2" fillId="0" borderId="0" xfId="7" applyFont="1" applyAlignment="1">
      <alignment horizontal="center"/>
    </xf>
    <xf numFmtId="43" fontId="3" fillId="0" borderId="0" xfId="7" applyNumberFormat="1" applyFont="1"/>
    <xf numFmtId="0" fontId="3" fillId="0" borderId="0" xfId="7" applyFont="1" applyAlignment="1">
      <alignment horizontal="left" indent="1"/>
    </xf>
    <xf numFmtId="41" fontId="6" fillId="0" borderId="0" xfId="8" applyNumberFormat="1" applyFont="1"/>
    <xf numFmtId="0" fontId="3" fillId="4" borderId="3" xfId="7" applyFont="1" applyFill="1" applyBorder="1"/>
    <xf numFmtId="0" fontId="1" fillId="4" borderId="3" xfId="7" applyFill="1" applyBorder="1" applyAlignment="1">
      <alignment horizontal="center"/>
    </xf>
    <xf numFmtId="0" fontId="1" fillId="0" borderId="0" xfId="7" applyAlignment="1">
      <alignment horizontal="left"/>
    </xf>
    <xf numFmtId="165" fontId="6" fillId="0" borderId="0" xfId="10" applyNumberFormat="1" applyFont="1" applyFill="1"/>
    <xf numFmtId="166" fontId="6" fillId="0" borderId="0" xfId="8" applyNumberFormat="1" applyFont="1"/>
    <xf numFmtId="166" fontId="6" fillId="0" borderId="0" xfId="8" applyNumberFormat="1" applyFont="1" applyBorder="1"/>
    <xf numFmtId="44" fontId="6" fillId="0" borderId="1" xfId="10" applyFont="1" applyFill="1" applyBorder="1"/>
    <xf numFmtId="167" fontId="6" fillId="0" borderId="1" xfId="10" applyNumberFormat="1" applyFont="1" applyFill="1" applyBorder="1"/>
    <xf numFmtId="10" fontId="1" fillId="0" borderId="0" xfId="7" applyNumberFormat="1"/>
    <xf numFmtId="166" fontId="6" fillId="0" borderId="3" xfId="8" applyNumberFormat="1" applyFont="1" applyBorder="1"/>
    <xf numFmtId="167" fontId="1" fillId="0" borderId="0" xfId="7" applyNumberFormat="1"/>
    <xf numFmtId="168" fontId="1" fillId="0" borderId="0" xfId="7" applyNumberFormat="1"/>
    <xf numFmtId="166" fontId="1" fillId="0" borderId="0" xfId="7" applyNumberFormat="1"/>
    <xf numFmtId="44" fontId="1" fillId="0" borderId="0" xfId="7" applyNumberFormat="1"/>
    <xf numFmtId="169" fontId="1" fillId="0" borderId="0" xfId="7" applyNumberFormat="1"/>
    <xf numFmtId="164" fontId="6" fillId="0" borderId="3" xfId="8" applyNumberFormat="1" applyFont="1" applyFill="1" applyBorder="1"/>
    <xf numFmtId="42" fontId="3" fillId="0" borderId="0" xfId="7" applyNumberFormat="1" applyFont="1"/>
    <xf numFmtId="3" fontId="1" fillId="0" borderId="0" xfId="7" applyNumberFormat="1"/>
    <xf numFmtId="0" fontId="3" fillId="0" borderId="4" xfId="7" applyFont="1" applyBorder="1"/>
    <xf numFmtId="0" fontId="3" fillId="0" borderId="5" xfId="7" applyFont="1" applyBorder="1"/>
    <xf numFmtId="0" fontId="1" fillId="4" borderId="6" xfId="7" applyFill="1" applyBorder="1" applyAlignment="1">
      <alignment horizontal="center"/>
    </xf>
    <xf numFmtId="0" fontId="1" fillId="0" borderId="7" xfId="7" applyBorder="1"/>
    <xf numFmtId="42" fontId="6" fillId="0" borderId="8" xfId="10" applyNumberFormat="1" applyFont="1" applyBorder="1"/>
    <xf numFmtId="0" fontId="1" fillId="0" borderId="8" xfId="7" applyBorder="1"/>
    <xf numFmtId="0" fontId="3" fillId="0" borderId="9" xfId="7" applyFont="1" applyBorder="1"/>
    <xf numFmtId="0" fontId="3" fillId="0" borderId="10" xfId="7" applyFont="1" applyBorder="1"/>
    <xf numFmtId="10" fontId="1" fillId="4" borderId="11" xfId="7" applyNumberFormat="1" applyFill="1" applyBorder="1" applyAlignment="1">
      <alignment horizontal="right"/>
    </xf>
    <xf numFmtId="0" fontId="3" fillId="4" borderId="3" xfId="11" applyFont="1" applyFill="1" applyBorder="1"/>
    <xf numFmtId="0" fontId="3" fillId="4" borderId="3" xfId="11" applyFont="1" applyFill="1" applyBorder="1" applyAlignment="1">
      <alignment horizontal="center" wrapText="1"/>
    </xf>
    <xf numFmtId="0" fontId="3" fillId="0" borderId="3" xfId="11" applyFont="1" applyBorder="1" applyAlignment="1">
      <alignment horizontal="center" wrapText="1"/>
    </xf>
    <xf numFmtId="0" fontId="3" fillId="0" borderId="0" xfId="11" applyFont="1" applyAlignment="1">
      <alignment horizontal="center" wrapText="1"/>
    </xf>
    <xf numFmtId="0" fontId="1" fillId="0" borderId="0" xfId="11"/>
    <xf numFmtId="3" fontId="3" fillId="0" borderId="0" xfId="11" applyNumberFormat="1" applyFont="1" applyAlignment="1">
      <alignment horizontal="center" wrapText="1"/>
    </xf>
    <xf numFmtId="4" fontId="1" fillId="0" borderId="0" xfId="11" applyNumberFormat="1"/>
    <xf numFmtId="0" fontId="1" fillId="0" borderId="0" xfId="11" applyAlignment="1">
      <alignment horizontal="center" vertical="center"/>
    </xf>
    <xf numFmtId="0" fontId="6" fillId="0" borderId="0" xfId="12" applyFont="1"/>
    <xf numFmtId="3" fontId="1" fillId="0" borderId="0" xfId="11" applyNumberFormat="1"/>
    <xf numFmtId="43" fontId="6" fillId="0" borderId="0" xfId="13" applyFont="1" applyFill="1" applyBorder="1"/>
    <xf numFmtId="164" fontId="6" fillId="0" borderId="0" xfId="13" applyNumberFormat="1" applyFont="1" applyFill="1" applyBorder="1"/>
    <xf numFmtId="164" fontId="6" fillId="0" borderId="0" xfId="13" applyNumberFormat="1" applyFont="1" applyFill="1" applyBorder="1" applyAlignment="1">
      <alignment horizontal="center" wrapText="1"/>
    </xf>
    <xf numFmtId="44" fontId="6" fillId="0" borderId="0" xfId="14" applyFont="1" applyFill="1" applyBorder="1"/>
    <xf numFmtId="44" fontId="6" fillId="0" borderId="0" xfId="14" applyFont="1" applyBorder="1"/>
    <xf numFmtId="44" fontId="6" fillId="2" borderId="0" xfId="14" applyFont="1" applyFill="1" applyBorder="1"/>
    <xf numFmtId="4" fontId="6" fillId="2" borderId="0" xfId="14" applyNumberFormat="1" applyFont="1" applyFill="1" applyBorder="1"/>
    <xf numFmtId="2" fontId="1" fillId="0" borderId="0" xfId="11" applyNumberFormat="1"/>
    <xf numFmtId="0" fontId="1" fillId="4" borderId="2" xfId="11" applyFill="1" applyBorder="1" applyAlignment="1">
      <alignment horizontal="center" vertical="center"/>
    </xf>
    <xf numFmtId="0" fontId="5" fillId="4" borderId="2" xfId="15" applyFont="1" applyFill="1" applyBorder="1" applyAlignment="1">
      <alignment horizontal="left"/>
    </xf>
    <xf numFmtId="3" fontId="3" fillId="4" borderId="2" xfId="11" applyNumberFormat="1" applyFont="1" applyFill="1" applyBorder="1" applyAlignment="1">
      <alignment horizontal="right"/>
    </xf>
    <xf numFmtId="43" fontId="6" fillId="4" borderId="2" xfId="13" applyFont="1" applyFill="1" applyBorder="1"/>
    <xf numFmtId="43" fontId="1" fillId="4" borderId="2" xfId="11" applyNumberFormat="1" applyFill="1" applyBorder="1"/>
    <xf numFmtId="44" fontId="3" fillId="4" borderId="2" xfId="14" applyFont="1" applyFill="1" applyBorder="1"/>
    <xf numFmtId="44" fontId="6" fillId="4" borderId="2" xfId="14" applyFont="1" applyFill="1" applyBorder="1"/>
    <xf numFmtId="4" fontId="3" fillId="0" borderId="0" xfId="11" applyNumberFormat="1" applyFont="1"/>
    <xf numFmtId="3" fontId="3" fillId="0" borderId="0" xfId="11" applyNumberFormat="1" applyFont="1"/>
    <xf numFmtId="10" fontId="1" fillId="0" borderId="0" xfId="11" applyNumberFormat="1"/>
    <xf numFmtId="0" fontId="5" fillId="0" borderId="0" xfId="15" applyFont="1" applyAlignment="1">
      <alignment horizontal="left"/>
    </xf>
    <xf numFmtId="3" fontId="3" fillId="0" borderId="0" xfId="11" applyNumberFormat="1" applyFont="1" applyAlignment="1">
      <alignment horizontal="right"/>
    </xf>
    <xf numFmtId="164" fontId="3" fillId="0" borderId="0" xfId="11" applyNumberFormat="1" applyFont="1"/>
    <xf numFmtId="43" fontId="1" fillId="0" borderId="0" xfId="11" applyNumberFormat="1"/>
    <xf numFmtId="164" fontId="3" fillId="0" borderId="0" xfId="13" applyNumberFormat="1" applyFont="1" applyFill="1" applyBorder="1"/>
    <xf numFmtId="44" fontId="3" fillId="0" borderId="0" xfId="14" applyFont="1" applyFill="1" applyBorder="1"/>
    <xf numFmtId="4" fontId="3" fillId="0" borderId="0" xfId="14" applyNumberFormat="1" applyFont="1" applyFill="1" applyBorder="1"/>
    <xf numFmtId="3" fontId="3" fillId="0" borderId="0" xfId="11" applyNumberFormat="1" applyFont="1" applyAlignment="1">
      <alignment horizontal="center"/>
    </xf>
    <xf numFmtId="3" fontId="6" fillId="0" borderId="0" xfId="13" applyNumberFormat="1" applyFont="1" applyBorder="1"/>
    <xf numFmtId="3" fontId="6" fillId="0" borderId="0" xfId="13" applyNumberFormat="1" applyFont="1" applyFill="1" applyBorder="1"/>
    <xf numFmtId="0" fontId="1" fillId="4" borderId="2" xfId="11" applyFill="1" applyBorder="1"/>
    <xf numFmtId="0" fontId="1" fillId="4" borderId="2" xfId="11" applyFill="1" applyBorder="1" applyAlignment="1">
      <alignment horizontal="center"/>
    </xf>
    <xf numFmtId="3" fontId="3" fillId="4" borderId="2" xfId="13" applyNumberFormat="1" applyFont="1" applyFill="1" applyBorder="1" applyAlignment="1">
      <alignment horizontal="right"/>
    </xf>
    <xf numFmtId="164" fontId="3" fillId="4" borderId="2" xfId="13" applyNumberFormat="1" applyFont="1" applyFill="1" applyBorder="1" applyAlignment="1">
      <alignment horizontal="right"/>
    </xf>
    <xf numFmtId="0" fontId="1" fillId="0" borderId="0" xfId="11" applyAlignment="1">
      <alignment horizontal="center"/>
    </xf>
    <xf numFmtId="3" fontId="1" fillId="0" borderId="0" xfId="11" applyNumberFormat="1" applyAlignment="1">
      <alignment horizontal="right"/>
    </xf>
    <xf numFmtId="164" fontId="6" fillId="0" borderId="0" xfId="13" applyNumberFormat="1" applyFont="1" applyBorder="1"/>
    <xf numFmtId="44" fontId="6" fillId="0" borderId="0" xfId="13" applyNumberFormat="1" applyFont="1" applyFill="1" applyBorder="1"/>
    <xf numFmtId="44" fontId="1" fillId="0" borderId="0" xfId="11" applyNumberFormat="1"/>
    <xf numFmtId="171" fontId="1" fillId="0" borderId="0" xfId="11" applyNumberFormat="1"/>
    <xf numFmtId="0" fontId="3" fillId="0" borderId="0" xfId="11" applyFont="1"/>
    <xf numFmtId="0" fontId="1" fillId="5" borderId="0" xfId="11" applyFill="1"/>
    <xf numFmtId="0" fontId="1" fillId="5" borderId="0" xfId="11" applyFill="1" applyAlignment="1">
      <alignment horizontal="center"/>
    </xf>
    <xf numFmtId="0" fontId="3" fillId="5" borderId="0" xfId="11" applyFont="1" applyFill="1"/>
    <xf numFmtId="3" fontId="1" fillId="5" borderId="0" xfId="11" applyNumberFormat="1" applyFill="1" applyAlignment="1">
      <alignment horizontal="right"/>
    </xf>
    <xf numFmtId="164" fontId="6" fillId="5" borderId="0" xfId="13" applyNumberFormat="1" applyFont="1" applyFill="1" applyBorder="1"/>
    <xf numFmtId="44" fontId="6" fillId="5" borderId="0" xfId="13" applyNumberFormat="1" applyFont="1" applyFill="1" applyBorder="1"/>
    <xf numFmtId="0" fontId="1" fillId="0" borderId="0" xfId="11" applyAlignment="1">
      <alignment horizontal="right"/>
    </xf>
    <xf numFmtId="4" fontId="1" fillId="0" borderId="0" xfId="11" applyNumberFormat="1" applyAlignment="1">
      <alignment horizontal="right"/>
    </xf>
    <xf numFmtId="44" fontId="6" fillId="0" borderId="0" xfId="14" applyFont="1" applyFill="1" applyBorder="1" applyAlignment="1">
      <alignment horizontal="right"/>
    </xf>
    <xf numFmtId="3" fontId="5" fillId="0" borderId="1" xfId="14" applyNumberFormat="1" applyFont="1" applyFill="1" applyBorder="1"/>
    <xf numFmtId="3" fontId="6" fillId="0" borderId="0" xfId="14" applyNumberFormat="1" applyFont="1" applyFill="1" applyBorder="1"/>
    <xf numFmtId="3" fontId="5" fillId="0" borderId="0" xfId="14" applyNumberFormat="1" applyFont="1" applyFill="1" applyBorder="1"/>
    <xf numFmtId="0" fontId="1" fillId="0" borderId="0" xfId="11" applyAlignment="1">
      <alignment vertical="center" textRotation="90"/>
    </xf>
    <xf numFmtId="0" fontId="6" fillId="0" borderId="0" xfId="17" applyFont="1" applyAlignment="1">
      <alignment horizontal="left"/>
    </xf>
    <xf numFmtId="3" fontId="6" fillId="0" borderId="0" xfId="13" applyNumberFormat="1" applyFont="1" applyBorder="1" applyAlignment="1">
      <alignment horizontal="right"/>
    </xf>
    <xf numFmtId="0" fontId="2" fillId="0" borderId="0" xfId="17" applyFont="1" applyAlignment="1">
      <alignment horizontal="left"/>
    </xf>
    <xf numFmtId="0" fontId="1" fillId="0" borderId="0" xfId="11" applyAlignment="1">
      <alignment horizontal="left"/>
    </xf>
    <xf numFmtId="164" fontId="3" fillId="0" borderId="3" xfId="13" applyNumberFormat="1" applyFont="1" applyBorder="1" applyAlignment="1">
      <alignment horizontal="center"/>
    </xf>
    <xf numFmtId="0" fontId="3" fillId="0" borderId="0" xfId="11" applyFont="1" applyAlignment="1">
      <alignment horizontal="center"/>
    </xf>
    <xf numFmtId="164" fontId="6" fillId="0" borderId="0" xfId="13" applyNumberFormat="1" applyFont="1" applyFill="1" applyBorder="1" applyAlignment="1">
      <alignment horizontal="right"/>
    </xf>
    <xf numFmtId="164" fontId="6" fillId="0" borderId="0" xfId="13" applyNumberFormat="1" applyFont="1" applyFill="1" applyBorder="1" applyAlignment="1">
      <alignment horizontal="left"/>
    </xf>
    <xf numFmtId="0" fontId="2" fillId="0" borderId="0" xfId="15" applyFont="1" applyAlignment="1">
      <alignment horizontal="left"/>
    </xf>
    <xf numFmtId="164" fontId="6" fillId="0" borderId="0" xfId="13" applyNumberFormat="1" applyFont="1" applyBorder="1" applyAlignment="1">
      <alignment horizontal="right"/>
    </xf>
    <xf numFmtId="0" fontId="14" fillId="0" borderId="0" xfId="13" applyNumberFormat="1" applyFont="1" applyFill="1" applyBorder="1" applyAlignment="1">
      <alignment horizontal="left"/>
    </xf>
    <xf numFmtId="0" fontId="6" fillId="0" borderId="0" xfId="13" applyNumberFormat="1" applyFont="1" applyFill="1" applyBorder="1"/>
    <xf numFmtId="10" fontId="6" fillId="0" borderId="0" xfId="18" applyNumberFormat="1" applyFont="1" applyBorder="1" applyAlignment="1">
      <alignment horizontal="right"/>
    </xf>
    <xf numFmtId="10" fontId="6" fillId="0" borderId="0" xfId="18" applyNumberFormat="1" applyFont="1" applyFill="1" applyBorder="1"/>
    <xf numFmtId="0" fontId="1" fillId="0" borderId="0" xfId="11" applyAlignment="1">
      <alignment horizontal="right" wrapText="1"/>
    </xf>
    <xf numFmtId="0" fontId="1" fillId="0" borderId="0" xfId="11" applyAlignment="1">
      <alignment horizontal="center" wrapText="1"/>
    </xf>
    <xf numFmtId="0" fontId="6" fillId="0" borderId="0" xfId="15" applyFont="1" applyAlignment="1">
      <alignment horizontal="left"/>
    </xf>
    <xf numFmtId="170" fontId="6" fillId="0" borderId="0" xfId="14" applyNumberFormat="1" applyFont="1" applyBorder="1"/>
    <xf numFmtId="170" fontId="1" fillId="0" borderId="0" xfId="11" applyNumberFormat="1"/>
    <xf numFmtId="44" fontId="6" fillId="0" borderId="0" xfId="14" applyFont="1" applyBorder="1" applyAlignment="1">
      <alignment horizontal="right"/>
    </xf>
    <xf numFmtId="165" fontId="6" fillId="0" borderId="0" xfId="14" applyNumberFormat="1" applyFont="1" applyBorder="1"/>
    <xf numFmtId="43" fontId="6" fillId="0" borderId="0" xfId="13" applyFont="1" applyBorder="1"/>
    <xf numFmtId="0" fontId="5" fillId="0" borderId="0" xfId="19" applyFont="1"/>
    <xf numFmtId="2" fontId="6" fillId="0" borderId="0" xfId="19" applyNumberFormat="1" applyFont="1"/>
    <xf numFmtId="0" fontId="6" fillId="0" borderId="0" xfId="20" applyFont="1"/>
    <xf numFmtId="0" fontId="17" fillId="0" borderId="0" xfId="20" applyFont="1"/>
    <xf numFmtId="0" fontId="5" fillId="0" borderId="0" xfId="20" applyFont="1"/>
    <xf numFmtId="2" fontId="6" fillId="0" borderId="0" xfId="20" applyNumberFormat="1" applyFont="1"/>
    <xf numFmtId="0" fontId="6" fillId="0" borderId="0" xfId="20" applyFont="1" applyAlignment="1">
      <alignment horizontal="center"/>
    </xf>
    <xf numFmtId="2" fontId="5" fillId="4" borderId="0" xfId="20" applyNumberFormat="1" applyFont="1" applyFill="1" applyAlignment="1">
      <alignment horizontal="center" wrapText="1"/>
    </xf>
    <xf numFmtId="0" fontId="5" fillId="4" borderId="0" xfId="20" applyFont="1" applyFill="1" applyAlignment="1">
      <alignment horizontal="center" wrapText="1"/>
    </xf>
    <xf numFmtId="4" fontId="6" fillId="0" borderId="0" xfId="20" applyNumberFormat="1" applyFont="1"/>
    <xf numFmtId="4" fontId="17" fillId="0" borderId="0" xfId="20" applyNumberFormat="1" applyFont="1"/>
    <xf numFmtId="44" fontId="3" fillId="4" borderId="2" xfId="1" applyFont="1" applyFill="1" applyBorder="1" applyAlignment="1">
      <alignment horizontal="right"/>
    </xf>
    <xf numFmtId="0" fontId="0" fillId="0" borderId="0" xfId="11" applyFont="1" applyAlignment="1">
      <alignment horizontal="center" vertical="center"/>
    </xf>
    <xf numFmtId="0" fontId="1" fillId="0" borderId="0" xfId="7" applyAlignment="1">
      <alignment horizontal="center"/>
    </xf>
    <xf numFmtId="0" fontId="6" fillId="0" borderId="0" xfId="7" applyFont="1" applyAlignment="1">
      <alignment horizontal="right"/>
    </xf>
    <xf numFmtId="10" fontId="3" fillId="0" borderId="0" xfId="2" applyNumberFormat="1" applyFont="1" applyFill="1" applyBorder="1" applyAlignment="1">
      <alignment horizontal="right"/>
    </xf>
    <xf numFmtId="10" fontId="3" fillId="0" borderId="0" xfId="16" applyNumberFormat="1" applyFont="1" applyFill="1" applyBorder="1"/>
    <xf numFmtId="0" fontId="0" fillId="0" borderId="0" xfId="11" applyFont="1" applyAlignment="1">
      <alignment horizontal="right"/>
    </xf>
    <xf numFmtId="164" fontId="1" fillId="0" borderId="0" xfId="22" applyNumberFormat="1" applyFont="1" applyBorder="1"/>
    <xf numFmtId="164" fontId="1" fillId="0" borderId="0" xfId="22" applyNumberFormat="1" applyFont="1" applyBorder="1" applyAlignment="1">
      <alignment horizontal="right"/>
    </xf>
    <xf numFmtId="0" fontId="2" fillId="0" borderId="0" xfId="5" applyFont="1"/>
    <xf numFmtId="0" fontId="3" fillId="0" borderId="0" xfId="11" applyFont="1" applyAlignment="1">
      <alignment horizontal="right"/>
    </xf>
    <xf numFmtId="44" fontId="6" fillId="7" borderId="0" xfId="10" applyFont="1" applyFill="1"/>
    <xf numFmtId="44" fontId="6" fillId="7" borderId="0" xfId="10" applyFont="1" applyFill="1" applyBorder="1"/>
    <xf numFmtId="3" fontId="5" fillId="0" borderId="0" xfId="14" applyNumberFormat="1" applyFont="1" applyFill="1" applyBorder="1" applyAlignment="1">
      <alignment horizontal="right"/>
    </xf>
    <xf numFmtId="3" fontId="6" fillId="0" borderId="0" xfId="14" applyNumberFormat="1" applyFont="1" applyFill="1" applyBorder="1" applyAlignment="1">
      <alignment horizontal="right"/>
    </xf>
    <xf numFmtId="44" fontId="6" fillId="0" borderId="3" xfId="1" applyFont="1" applyFill="1" applyBorder="1"/>
    <xf numFmtId="43" fontId="1" fillId="0" borderId="0" xfId="22" applyFont="1" applyFill="1" applyBorder="1"/>
    <xf numFmtId="44" fontId="5" fillId="0" borderId="0" xfId="1" applyFont="1" applyFill="1" applyBorder="1"/>
    <xf numFmtId="43" fontId="6" fillId="0" borderId="0" xfId="20" applyNumberFormat="1" applyFont="1"/>
    <xf numFmtId="0" fontId="1" fillId="0" borderId="0" xfId="5" applyFont="1"/>
    <xf numFmtId="43" fontId="8" fillId="0" borderId="0" xfId="6" applyFont="1" applyFill="1" applyAlignment="1">
      <alignment horizontal="right"/>
    </xf>
    <xf numFmtId="43" fontId="8" fillId="0" borderId="0" xfId="6" applyFont="1" applyFill="1" applyAlignment="1">
      <alignment horizontal="center"/>
    </xf>
    <xf numFmtId="0" fontId="18" fillId="0" borderId="0" xfId="23" applyFont="1"/>
    <xf numFmtId="0" fontId="19" fillId="0" borderId="3" xfId="23" applyFont="1" applyBorder="1" applyAlignment="1">
      <alignment horizontal="center" wrapText="1"/>
    </xf>
    <xf numFmtId="0" fontId="8" fillId="3" borderId="0" xfId="5" applyFont="1" applyFill="1"/>
    <xf numFmtId="0" fontId="19" fillId="0" borderId="0" xfId="5" applyFont="1" applyAlignment="1">
      <alignment horizontal="right"/>
    </xf>
    <xf numFmtId="10" fontId="18" fillId="6" borderId="0" xfId="23" applyNumberFormat="1" applyFont="1" applyFill="1"/>
    <xf numFmtId="10" fontId="18" fillId="0" borderId="0" xfId="24" applyNumberFormat="1" applyFont="1"/>
    <xf numFmtId="10" fontId="18" fillId="0" borderId="0" xfId="23" applyNumberFormat="1" applyFont="1"/>
    <xf numFmtId="164" fontId="18" fillId="6" borderId="0" xfId="25" applyNumberFormat="1" applyFont="1" applyFill="1"/>
    <xf numFmtId="41" fontId="18" fillId="6" borderId="0" xfId="23" applyNumberFormat="1" applyFont="1" applyFill="1"/>
    <xf numFmtId="43" fontId="18" fillId="0" borderId="0" xfId="23" applyNumberFormat="1" applyFont="1"/>
    <xf numFmtId="0" fontId="9" fillId="9" borderId="0" xfId="5" applyFont="1" applyFill="1" applyAlignment="1">
      <alignment horizontal="center"/>
    </xf>
    <xf numFmtId="43" fontId="9" fillId="0" borderId="0" xfId="6" applyFont="1" applyFill="1" applyAlignment="1">
      <alignment horizontal="center"/>
    </xf>
    <xf numFmtId="43" fontId="9" fillId="0" borderId="0" xfId="6" applyFont="1" applyFill="1" applyAlignment="1">
      <alignment horizontal="right"/>
    </xf>
    <xf numFmtId="0" fontId="8" fillId="6" borderId="0" xfId="5" applyFont="1" applyFill="1" applyAlignment="1">
      <alignment horizontal="center" wrapText="1"/>
    </xf>
    <xf numFmtId="0" fontId="20" fillId="6" borderId="0" xfId="26" applyFont="1" applyFill="1" applyAlignment="1">
      <alignment horizontal="center" wrapText="1"/>
    </xf>
    <xf numFmtId="43" fontId="8" fillId="10" borderId="0" xfId="6" applyFont="1" applyFill="1"/>
    <xf numFmtId="164" fontId="6" fillId="0" borderId="0" xfId="6" applyNumberFormat="1" applyFont="1" applyFill="1"/>
    <xf numFmtId="164" fontId="8" fillId="6" borderId="0" xfId="6" applyNumberFormat="1" applyFont="1" applyFill="1"/>
    <xf numFmtId="0" fontId="8" fillId="10" borderId="0" xfId="5" applyFont="1" applyFill="1"/>
    <xf numFmtId="43" fontId="8" fillId="0" borderId="0" xfId="25" applyFont="1"/>
    <xf numFmtId="43" fontId="8" fillId="0" borderId="0" xfId="6" applyFont="1"/>
    <xf numFmtId="164" fontId="8" fillId="0" borderId="2" xfId="6" applyNumberFormat="1" applyFont="1" applyFill="1" applyBorder="1" applyAlignment="1">
      <alignment horizontal="center"/>
    </xf>
    <xf numFmtId="43" fontId="8" fillId="0" borderId="12" xfId="6" applyFont="1" applyFill="1" applyBorder="1" applyAlignment="1">
      <alignment horizontal="center"/>
    </xf>
    <xf numFmtId="164" fontId="8" fillId="0" borderId="13" xfId="6" applyNumberFormat="1" applyFont="1" applyFill="1" applyBorder="1" applyAlignment="1">
      <alignment horizontal="center"/>
    </xf>
    <xf numFmtId="43" fontId="21" fillId="0" borderId="0" xfId="5" applyNumberFormat="1" applyFont="1"/>
    <xf numFmtId="0" fontId="22" fillId="0" borderId="14" xfId="5" applyFont="1" applyBorder="1"/>
    <xf numFmtId="43" fontId="22" fillId="0" borderId="14" xfId="5" applyNumberFormat="1" applyFont="1" applyBorder="1"/>
    <xf numFmtId="0" fontId="21" fillId="0" borderId="0" xfId="5" applyFont="1"/>
    <xf numFmtId="0" fontId="23" fillId="0" borderId="14" xfId="5" applyFont="1" applyBorder="1"/>
    <xf numFmtId="43" fontId="23" fillId="0" borderId="14" xfId="5" applyNumberFormat="1" applyFont="1" applyBorder="1"/>
    <xf numFmtId="43" fontId="8" fillId="10" borderId="0" xfId="25" applyFont="1" applyFill="1"/>
    <xf numFmtId="43" fontId="6" fillId="0" borderId="0" xfId="6" applyFont="1" applyFill="1"/>
    <xf numFmtId="43" fontId="8" fillId="0" borderId="13" xfId="6" applyFont="1" applyFill="1" applyBorder="1" applyAlignment="1">
      <alignment horizontal="center"/>
    </xf>
    <xf numFmtId="43" fontId="8" fillId="0" borderId="14" xfId="5" applyNumberFormat="1" applyFont="1" applyBorder="1"/>
    <xf numFmtId="0" fontId="8" fillId="0" borderId="4" xfId="5" applyFont="1" applyBorder="1"/>
    <xf numFmtId="0" fontId="8" fillId="0" borderId="5" xfId="5" applyFont="1" applyBorder="1"/>
    <xf numFmtId="0" fontId="9" fillId="0" borderId="5" xfId="5" applyFont="1" applyBorder="1" applyAlignment="1">
      <alignment horizontal="center" wrapText="1"/>
    </xf>
    <xf numFmtId="0" fontId="9" fillId="0" borderId="5" xfId="5" applyFont="1" applyBorder="1"/>
    <xf numFmtId="0" fontId="8" fillId="0" borderId="6" xfId="5" applyFont="1" applyBorder="1"/>
    <xf numFmtId="164" fontId="9" fillId="0" borderId="15" xfId="5" applyNumberFormat="1" applyFont="1" applyBorder="1"/>
    <xf numFmtId="0" fontId="9" fillId="0" borderId="7" xfId="5" applyFont="1" applyBorder="1"/>
    <xf numFmtId="44" fontId="24" fillId="0" borderId="15" xfId="27" applyFont="1" applyFill="1" applyBorder="1"/>
    <xf numFmtId="44" fontId="24" fillId="11" borderId="15" xfId="27" applyFont="1" applyFill="1" applyBorder="1"/>
    <xf numFmtId="41" fontId="9" fillId="0" borderId="0" xfId="5" applyNumberFormat="1" applyFont="1"/>
    <xf numFmtId="43" fontId="9" fillId="0" borderId="0" xfId="5" applyNumberFormat="1" applyFont="1"/>
    <xf numFmtId="0" fontId="9" fillId="0" borderId="8" xfId="5" applyFont="1" applyBorder="1"/>
    <xf numFmtId="0" fontId="8" fillId="0" borderId="7" xfId="5" applyFont="1" applyBorder="1"/>
    <xf numFmtId="44" fontId="25" fillId="0" borderId="15" xfId="27" applyFont="1" applyFill="1" applyBorder="1"/>
    <xf numFmtId="0" fontId="8" fillId="0" borderId="8" xfId="5" applyFont="1" applyBorder="1"/>
    <xf numFmtId="0" fontId="8" fillId="0" borderId="9" xfId="5" applyFont="1" applyBorder="1"/>
    <xf numFmtId="0" fontId="8" fillId="0" borderId="10" xfId="5" applyFont="1" applyBorder="1"/>
    <xf numFmtId="0" fontId="8" fillId="0" borderId="11" xfId="5" applyFont="1" applyBorder="1"/>
    <xf numFmtId="164" fontId="8" fillId="12" borderId="0" xfId="6" applyNumberFormat="1" applyFont="1" applyFill="1"/>
    <xf numFmtId="3" fontId="6" fillId="12" borderId="0" xfId="13" applyNumberFormat="1" applyFont="1" applyFill="1" applyBorder="1"/>
    <xf numFmtId="3" fontId="1" fillId="12" borderId="0" xfId="11" applyNumberFormat="1" applyFill="1"/>
    <xf numFmtId="0" fontId="3" fillId="0" borderId="0" xfId="0" applyFont="1"/>
    <xf numFmtId="0" fontId="26" fillId="0" borderId="0" xfId="0" applyFont="1"/>
    <xf numFmtId="43" fontId="27" fillId="0" borderId="0" xfId="5" applyNumberFormat="1" applyFont="1"/>
    <xf numFmtId="3" fontId="2" fillId="0" borderId="0" xfId="11" applyNumberFormat="1" applyFont="1" applyAlignment="1">
      <alignment horizontal="right"/>
    </xf>
    <xf numFmtId="43" fontId="0" fillId="0" borderId="0" xfId="0" applyNumberFormat="1"/>
    <xf numFmtId="44" fontId="1" fillId="0" borderId="0" xfId="1"/>
    <xf numFmtId="164" fontId="1" fillId="0" borderId="0" xfId="11" applyNumberFormat="1"/>
    <xf numFmtId="164" fontId="1" fillId="0" borderId="3" xfId="22" applyNumberFormat="1" applyFont="1" applyBorder="1" applyAlignment="1">
      <alignment horizontal="right"/>
    </xf>
    <xf numFmtId="44" fontId="1" fillId="0" borderId="0" xfId="1" applyFont="1"/>
    <xf numFmtId="43" fontId="1" fillId="0" borderId="0" xfId="22"/>
    <xf numFmtId="44" fontId="1" fillId="0" borderId="3" xfId="1" applyBorder="1"/>
    <xf numFmtId="0" fontId="1" fillId="0" borderId="4" xfId="7" applyBorder="1"/>
    <xf numFmtId="44" fontId="1" fillId="0" borderId="5" xfId="1" applyBorder="1"/>
    <xf numFmtId="44" fontId="1" fillId="0" borderId="6" xfId="1" applyBorder="1"/>
    <xf numFmtId="44" fontId="1" fillId="0" borderId="8" xfId="1" applyBorder="1"/>
    <xf numFmtId="0" fontId="1" fillId="0" borderId="16" xfId="7" applyBorder="1"/>
    <xf numFmtId="44" fontId="1" fillId="0" borderId="17" xfId="1" applyFont="1" applyBorder="1"/>
    <xf numFmtId="0" fontId="3" fillId="4" borderId="0" xfId="7" applyFont="1" applyFill="1" applyAlignment="1">
      <alignment horizontal="centerContinuous"/>
    </xf>
    <xf numFmtId="0" fontId="1" fillId="4" borderId="0" xfId="7" applyFill="1" applyAlignment="1">
      <alignment horizontal="centerContinuous"/>
    </xf>
    <xf numFmtId="43" fontId="1" fillId="0" borderId="3" xfId="22" applyBorder="1"/>
    <xf numFmtId="43" fontId="3" fillId="4" borderId="3" xfId="22" applyFont="1" applyFill="1" applyBorder="1" applyAlignment="1">
      <alignment horizontal="center" wrapText="1"/>
    </xf>
    <xf numFmtId="43" fontId="3" fillId="0" borderId="0" xfId="22" applyFont="1" applyAlignment="1">
      <alignment horizontal="center" wrapText="1"/>
    </xf>
    <xf numFmtId="43" fontId="3" fillId="0" borderId="0" xfId="22" applyFont="1" applyFill="1" applyBorder="1" applyAlignment="1">
      <alignment horizontal="right"/>
    </xf>
    <xf numFmtId="44" fontId="1" fillId="0" borderId="0" xfId="1" applyBorder="1"/>
    <xf numFmtId="0" fontId="3" fillId="8" borderId="9" xfId="7" applyFont="1" applyFill="1" applyBorder="1"/>
    <xf numFmtId="44" fontId="3" fillId="8" borderId="10" xfId="1" applyFont="1" applyFill="1" applyBorder="1"/>
    <xf numFmtId="44" fontId="3" fillId="8" borderId="11" xfId="1" applyFont="1" applyFill="1" applyBorder="1"/>
    <xf numFmtId="0" fontId="1" fillId="4" borderId="0" xfId="7" applyFill="1" applyAlignment="1">
      <alignment horizontal="center"/>
    </xf>
    <xf numFmtId="0" fontId="1" fillId="0" borderId="0" xfId="7" applyAlignment="1">
      <alignment horizontal="left"/>
    </xf>
    <xf numFmtId="0" fontId="3" fillId="4" borderId="3" xfId="7" applyFont="1" applyFill="1" applyBorder="1" applyAlignment="1">
      <alignment horizontal="center"/>
    </xf>
    <xf numFmtId="0" fontId="1" fillId="0" borderId="1" xfId="11" applyBorder="1" applyAlignment="1">
      <alignment horizontal="center" vertical="center" textRotation="90"/>
    </xf>
    <xf numFmtId="0" fontId="1" fillId="0" borderId="0" xfId="11" applyAlignment="1">
      <alignment horizontal="center" vertical="center" textRotation="90"/>
    </xf>
    <xf numFmtId="0" fontId="1" fillId="0" borderId="3" xfId="11" applyBorder="1" applyAlignment="1">
      <alignment horizontal="center" vertical="center" textRotation="90"/>
    </xf>
    <xf numFmtId="0" fontId="1" fillId="4" borderId="0" xfId="11" applyFill="1" applyAlignment="1">
      <alignment horizontal="center"/>
    </xf>
    <xf numFmtId="0" fontId="9" fillId="9" borderId="0" xfId="5" applyFont="1" applyFill="1" applyAlignment="1">
      <alignment horizontal="center"/>
    </xf>
    <xf numFmtId="0" fontId="9" fillId="2" borderId="0" xfId="5" applyFont="1" applyFill="1" applyAlignment="1">
      <alignment horizontal="center"/>
    </xf>
    <xf numFmtId="43" fontId="9" fillId="0" borderId="0" xfId="6" applyFont="1" applyFill="1" applyAlignment="1">
      <alignment horizontal="center"/>
    </xf>
    <xf numFmtId="8" fontId="0" fillId="0" borderId="5" xfId="0" applyNumberFormat="1" applyFill="1" applyBorder="1"/>
    <xf numFmtId="44" fontId="0" fillId="0" borderId="5" xfId="0" applyNumberFormat="1" applyFill="1" applyBorder="1"/>
    <xf numFmtId="164" fontId="0" fillId="0" borderId="0" xfId="28" applyNumberFormat="1" applyFont="1" applyFill="1" applyBorder="1"/>
    <xf numFmtId="170" fontId="0" fillId="0" borderId="0" xfId="1" applyNumberFormat="1" applyFont="1" applyFill="1" applyBorder="1"/>
    <xf numFmtId="170" fontId="2" fillId="0" borderId="0" xfId="1" applyNumberFormat="1" applyFont="1" applyFill="1" applyBorder="1" applyAlignment="1">
      <alignment horizontal="right"/>
    </xf>
    <xf numFmtId="0" fontId="0" fillId="0" borderId="10" xfId="0" applyFill="1" applyBorder="1"/>
    <xf numFmtId="44" fontId="0" fillId="0" borderId="0" xfId="1" applyFont="1" applyFill="1" applyBorder="1"/>
    <xf numFmtId="0" fontId="3" fillId="0" borderId="0" xfId="0" applyFont="1" applyFill="1" applyBorder="1"/>
    <xf numFmtId="0" fontId="0" fillId="0" borderId="0" xfId="0" applyFill="1" applyBorder="1"/>
    <xf numFmtId="17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3" fontId="0" fillId="0" borderId="0" xfId="25" applyFont="1" applyFill="1" applyBorder="1"/>
    <xf numFmtId="170" fontId="1" fillId="0" borderId="0" xfId="1" applyNumberFormat="1" applyFont="1" applyFill="1" applyBorder="1"/>
    <xf numFmtId="170" fontId="0" fillId="0" borderId="0" xfId="0" applyNumberFormat="1" applyFill="1" applyBorder="1"/>
    <xf numFmtId="44" fontId="3" fillId="0" borderId="4" xfId="0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7" xfId="0" applyFont="1" applyFill="1" applyBorder="1" applyAlignment="1">
      <alignment horizontal="left" indent="2"/>
    </xf>
    <xf numFmtId="164" fontId="3" fillId="0" borderId="8" xfId="0" applyNumberFormat="1" applyFont="1" applyFill="1" applyBorder="1"/>
    <xf numFmtId="170" fontId="3" fillId="0" borderId="8" xfId="1" applyNumberFormat="1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0" fontId="3" fillId="0" borderId="4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3" fillId="0" borderId="7" xfId="0" applyFont="1" applyBorder="1"/>
    <xf numFmtId="0" fontId="0" fillId="0" borderId="0" xfId="0" applyBorder="1"/>
    <xf numFmtId="0" fontId="0" fillId="0" borderId="8" xfId="0" applyBorder="1"/>
    <xf numFmtId="0" fontId="3" fillId="0" borderId="9" xfId="0" applyFont="1" applyBorder="1"/>
    <xf numFmtId="0" fontId="0" fillId="0" borderId="10" xfId="0" applyBorder="1"/>
    <xf numFmtId="0" fontId="0" fillId="0" borderId="11" xfId="0" applyBorder="1"/>
  </cellXfs>
  <cellStyles count="29">
    <cellStyle name="Comma" xfId="22" builtinId="3"/>
    <cellStyle name="Comma 10" xfId="4" xr:uid="{00000000-0005-0000-0000-000001000000}"/>
    <cellStyle name="Comma 11 2 2" xfId="28" xr:uid="{7824425E-00FD-467A-AC00-77030591FFD9}"/>
    <cellStyle name="Comma 12 2 3" xfId="25" xr:uid="{ADA39983-E25A-4119-A65C-86E641C7569B}"/>
    <cellStyle name="Comma 12 4" xfId="6" xr:uid="{00000000-0005-0000-0000-000002000000}"/>
    <cellStyle name="Comma 19" xfId="13" xr:uid="{00000000-0005-0000-0000-000003000000}"/>
    <cellStyle name="Comma 2" xfId="8" xr:uid="{00000000-0005-0000-0000-000004000000}"/>
    <cellStyle name="Currency" xfId="1" builtinId="4"/>
    <cellStyle name="Currency 10" xfId="14" xr:uid="{00000000-0005-0000-0000-000006000000}"/>
    <cellStyle name="Currency 10 5" xfId="27" xr:uid="{BDBEA32F-9669-4B85-AF1A-C5EC621BE79C}"/>
    <cellStyle name="Currency 2" xfId="9" xr:uid="{00000000-0005-0000-0000-000007000000}"/>
    <cellStyle name="Currency 2 2" xfId="10" xr:uid="{00000000-0005-0000-0000-000008000000}"/>
    <cellStyle name="Normal" xfId="0" builtinId="0"/>
    <cellStyle name="Normal 10 2 2" xfId="11" xr:uid="{00000000-0005-0000-0000-00000A000000}"/>
    <cellStyle name="Normal 12 3" xfId="5" xr:uid="{00000000-0005-0000-0000-00000B000000}"/>
    <cellStyle name="Normal 12 3 2" xfId="23" xr:uid="{8B6E9B82-DEF1-49E9-B78B-B09D03BEF7D3}"/>
    <cellStyle name="Normal 143" xfId="3" xr:uid="{00000000-0005-0000-0000-00000C000000}"/>
    <cellStyle name="Normal 2" xfId="7" xr:uid="{00000000-0005-0000-0000-00000D000000}"/>
    <cellStyle name="Normal 90" xfId="17" xr:uid="{00000000-0005-0000-0000-00000E000000}"/>
    <cellStyle name="Normal_Book3" xfId="19" xr:uid="{00000000-0005-0000-0000-00000F000000}"/>
    <cellStyle name="Normal_Murrey's Jan-Dec 2012" xfId="12" xr:uid="{00000000-0005-0000-0000-000010000000}"/>
    <cellStyle name="Normal_Price out" xfId="15" xr:uid="{00000000-0005-0000-0000-000011000000}"/>
    <cellStyle name="Normal_Regulated Price Out 9-6-2011 Final HL" xfId="26" xr:uid="{EE1C8298-B45C-4BD6-B03E-8DFE9D497F3B}"/>
    <cellStyle name="Normal_Sheet1" xfId="20" xr:uid="{00000000-0005-0000-0000-000012000000}"/>
    <cellStyle name="Percent" xfId="2" builtinId="5"/>
    <cellStyle name="Percent 2" xfId="16" xr:uid="{00000000-0005-0000-0000-000014000000}"/>
    <cellStyle name="Percent 2 2" xfId="18" xr:uid="{00000000-0005-0000-0000-000015000000}"/>
    <cellStyle name="Percent 2 2 3" xfId="21" xr:uid="{00000000-0005-0000-0000-000016000000}"/>
    <cellStyle name="Percent 5 4" xfId="24" xr:uid="{56CE24F0-E4D7-4BF2-B2A5-5BCF3BCE386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sharedStrings" Target="sharedStrings.xml"/><Relationship Id="rId68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customXml" Target="../customXml/item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Waste%20Management/Sno-King/Year%202009/TG-091933/Staff/TG-091933%20WM%20of%20SnoKing%20GRC%20(Workpapers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2/General%20Rate%20Filings/PCR%202022/2180_Price%20Out%20by%20Bill%20Area_June.21%20to%20May%2022%20-%20Deliverab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effHons\AppData\Local\Interject\FileCache\YYYY-MM_DDDD_BSReconBook_v2.0.3_Blank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Brent_Blair_Kortney\PO%20Report%20by%20Division\PO%20Report_v3b%202013-08-26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Regions\Western%20Region\ControllerDir\JoeW\My%20Local%20Documents\OPF\Rate%20Reviews\2016\2016%20OPF%20Master%20DCR%20V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Documents%20and%20Settings/cmickels/Desktop/Example%20of%20WM%20of%20SnoKing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Northern_Washington\Month%20End\2017\Tacoma%20Hauling\03-2017\Revenue\Revenue%20Subledger\RM_MM001_Query_v4e%20-%20Murreys%20Updated%20for%20dist%20change%20(adjusted%20for%20DMR)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ffler\AppData\Local\Interject\FileCache\Budget%20Capital%20Input%20v2.16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IP%20Files\2010%20Clark%20County-%202009%20Vancouver\12.31.2010%20Test%20Year\Proforma%20Clark%20County%20101231%20Filing-Draft-FINAL%20VERSION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Migrated-TRANS\Company%20Filings%20-%20Solid%20Waste\Pullman%20Disposal%20Service,%20Inc.%20%20(G-42)\Rate%20Case\TG-130759%20GRC\Staff%20workpapers\STAFF%20TG-130759%20PDS_rop_Dec_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ffler\AppData\Local\Interject\FileCache\Budget%20Capital%20Input%20v2.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63C24E\staff%20WCI%20Pro%20forma%2010-11-2013%20cos%20from%20meliss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San%20Juan%20Sanitation%20Co/Year%202010/Staff/W_COMP/Rosario/2007%20rate%20case/Worksheets/070944%20Loan%20Recalculat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Regions\Western%20Region\WUTC\WIP%20Files\2112%20Olympic%20Disposal\Misc%20Analysis\2018%20Budget%20Pro%20forma\Olympic%20Pro%20forma%20180731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Regions\Western%20Region\WUTC\WIP%20Files\2149%20Mason%20County\2021\General%20Rate%20Filing\.Mason%20Pro%20forma11.30.20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Vashon\Dump%20Fee\Murreys-American%20Disp%20Fee%20Calc%203-1-2016,r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Regions\2000%20Western%20Region%20Office\WUTC\WIP%20Files\2132%20Vashon\2023%20Filing\TacomaH%20Price%20Out%20June%202021%20-%20May%202022%20Deliverable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Vashon%20%202132/General%20Rate%20Filings/General%20Rate%20Filing%204-1-2023/Audit/.Murrey's%20Pro%20Forma%20from%20TG-220857%20staff%20-%20For%20Vashon%20(C)%20-%20FINAL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1%20Murrey's/2022/Rate%20Case%205.31.2022/TacomaH%20Price%20Out%202021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Regions\2000%20Western%20Region%20Office\WUTC\WIP%20Files\2111%20Murrey's\2022\Rate%20Case%205.31.2022\2132%20Dump%20Fee%20Schedule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oster\AppData\Local\Microsoft\Windows\Temporary%20Internet%20Files\Content.Outlook\3AJ4L779\TacomaH%20Dump%20Fee%20Schedu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Waste%20Management%20-%20Filings/Ellensburg/Year%202009/TG-091472%20(GRC)/Staff/TG-091472%20WM%20of%20Ellensburg%20(Workpaper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omer Count Summary"/>
      <sheetName val="Container Count"/>
      <sheetName val="JBLM Container Count"/>
      <sheetName val="2180 IS"/>
      <sheetName val="2180 (Reg.) - Price Out "/>
      <sheetName val="2180 (Roy) - Price Out"/>
      <sheetName val="2180 (Reg EA.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2180 Comm Recycle"/>
      <sheetName val="JBLM"/>
      <sheetName val="RM Pivot"/>
      <sheetName val=" GW PIVOT"/>
      <sheetName val="RM Data"/>
      <sheetName val="Interject_LastPulledValues"/>
      <sheetName val="P&amp;L"/>
      <sheetName val="YTD Act-Proj (by mo.) vs. Bud"/>
      <sheetName val="C-Rec Cus"/>
      <sheetName val="MF Recy"/>
      <sheetName val="Finance Charges"/>
      <sheetName val="N Lemay Rolloff Count"/>
      <sheetName val="Def Rev. Pivot"/>
      <sheetName val="Recycle Counts Link"/>
      <sheetName val="PI default bill area pricing"/>
      <sheetName val="RMO - Default Bill Area Pricing"/>
      <sheetName val="Cust Counts for Budgets"/>
      <sheetName val="Comm True up"/>
      <sheetName val="RO Man Adj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SL035.0G1M001NOREC</v>
          </cell>
        </row>
      </sheetData>
      <sheetData sheetId="6"/>
      <sheetData sheetId="7">
        <row r="11">
          <cell r="B11" t="str">
            <v>SL035.0G1M001WREC</v>
          </cell>
        </row>
      </sheetData>
      <sheetData sheetId="8">
        <row r="11">
          <cell r="B11" t="str">
            <v>SL065.0G1W001WREC</v>
          </cell>
        </row>
      </sheetData>
      <sheetData sheetId="9">
        <row r="11">
          <cell r="B11" t="str">
            <v>BULKY-RES</v>
          </cell>
        </row>
      </sheetData>
      <sheetData sheetId="10">
        <row r="11">
          <cell r="B11" t="str">
            <v>RL020.0G1W001</v>
          </cell>
        </row>
      </sheetData>
      <sheetData sheetId="11">
        <row r="11">
          <cell r="B11" t="str">
            <v>SL020.0G1W001</v>
          </cell>
        </row>
      </sheetData>
      <sheetData sheetId="12">
        <row r="11">
          <cell r="B11" t="str">
            <v>SL035.0G1M001WREC</v>
          </cell>
        </row>
      </sheetData>
      <sheetData sheetId="13">
        <row r="11">
          <cell r="B11" t="str">
            <v>RL010.0G1W001WREC</v>
          </cell>
        </row>
      </sheetData>
      <sheetData sheetId="14">
        <row r="11">
          <cell r="B11" t="str">
            <v>SL035.0GEO001WREC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H8" t="str">
            <v>2022-07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Consolidated"/>
      <sheetName val="2140"/>
      <sheetName val="2150"/>
      <sheetName val="2150 Sales Tax"/>
      <sheetName val="2150 Sales Tax(OLD)"/>
      <sheetName val="2160"/>
      <sheetName val="2160 Sales Tax"/>
      <sheetName val="2140 Sales Tax"/>
      <sheetName val="Sales Tax"/>
      <sheetName val="Sales Tax Report"/>
      <sheetName val="Table for Reporting"/>
      <sheetName val="Sales Tax for DOR input"/>
      <sheetName val="Tax Exempt Mthly"/>
      <sheetName val="Interject_LastPulledValues"/>
      <sheetName val="2140_P&amp;L"/>
      <sheetName val="2150_P&amp;L"/>
      <sheetName val="2160_P&amp;L"/>
      <sheetName val="State &amp;Local Tax JE 2020-08"/>
      <sheetName val="Sheet1"/>
    </sheetNames>
    <sheetDataSet>
      <sheetData sheetId="0">
        <row r="8">
          <cell r="J8" t="str">
            <v>ReconBook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>
            <v>0</v>
          </cell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132534.08000000002</v>
          </cell>
          <cell r="AH13">
            <v>0</v>
          </cell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>
            <v>0</v>
          </cell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>
            <v>0</v>
          </cell>
          <cell r="I35">
            <v>0</v>
          </cell>
          <cell r="K35">
            <v>0</v>
          </cell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>
            <v>0</v>
          </cell>
          <cell r="AD35">
            <v>0</v>
          </cell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>
            <v>0</v>
          </cell>
          <cell r="I36">
            <v>0</v>
          </cell>
          <cell r="K36">
            <v>0</v>
          </cell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>
            <v>0</v>
          </cell>
          <cell r="AD36">
            <v>0</v>
          </cell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>
            <v>0</v>
          </cell>
          <cell r="I37">
            <v>0</v>
          </cell>
          <cell r="K37">
            <v>0</v>
          </cell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>
            <v>0</v>
          </cell>
          <cell r="AD37">
            <v>0</v>
          </cell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</row>
        <row r="41">
          <cell r="E41">
            <v>0</v>
          </cell>
          <cell r="F41">
            <v>0</v>
          </cell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>
            <v>0</v>
          </cell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 t="str">
            <v>NEED TO CHECK PERCENTS AGAINST THE BLACK BOX!</v>
          </cell>
          <cell r="N45">
            <v>0</v>
          </cell>
          <cell r="O45">
            <v>0</v>
          </cell>
          <cell r="P45">
            <v>0</v>
          </cell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295020.6315689031</v>
          </cell>
          <cell r="N46">
            <v>0</v>
          </cell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>
            <v>0</v>
          </cell>
          <cell r="S53">
            <v>60225.333011235838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109907.81996125523</v>
          </cell>
          <cell r="M59">
            <v>0</v>
          </cell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>
            <v>0</v>
          </cell>
          <cell r="AD59">
            <v>0</v>
          </cell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>
            <v>0</v>
          </cell>
          <cell r="AD61">
            <v>0</v>
          </cell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>
            <v>0</v>
          </cell>
          <cell r="AD62">
            <v>0</v>
          </cell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>
            <v>0</v>
          </cell>
          <cell r="AD63">
            <v>0</v>
          </cell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>
            <v>0</v>
          </cell>
          <cell r="AD64">
            <v>0</v>
          </cell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>
            <v>0</v>
          </cell>
          <cell r="AD68">
            <v>0</v>
          </cell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>
            <v>0</v>
          </cell>
          <cell r="AD70">
            <v>0</v>
          </cell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>
            <v>0</v>
          </cell>
          <cell r="AD72">
            <v>0</v>
          </cell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>
            <v>0</v>
          </cell>
          <cell r="AD73">
            <v>0</v>
          </cell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28308.571266994888</v>
          </cell>
          <cell r="O77">
            <v>28308.571266994888</v>
          </cell>
          <cell r="P77">
            <v>17720.604324025688</v>
          </cell>
          <cell r="Q77">
            <v>0</v>
          </cell>
          <cell r="R77">
            <v>0</v>
          </cell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>
            <v>0</v>
          </cell>
          <cell r="AD77">
            <v>0</v>
          </cell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1693.6444886329532</v>
          </cell>
          <cell r="O78">
            <v>1693.6444886329532</v>
          </cell>
          <cell r="P78">
            <v>857.52611642594184</v>
          </cell>
          <cell r="Q78">
            <v>0</v>
          </cell>
          <cell r="R78">
            <v>0</v>
          </cell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>
            <v>0</v>
          </cell>
          <cell r="AD78">
            <v>0</v>
          </cell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8534.5623532853224</v>
          </cell>
          <cell r="O80">
            <v>8534.5623532853224</v>
          </cell>
          <cell r="P80">
            <v>4321.219806947277</v>
          </cell>
          <cell r="Q80">
            <v>0</v>
          </cell>
          <cell r="R80">
            <v>0</v>
          </cell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>
            <v>0</v>
          </cell>
          <cell r="AD80">
            <v>0</v>
          </cell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1395.9778677125855</v>
          </cell>
          <cell r="O81">
            <v>1395.9778677125855</v>
          </cell>
          <cell r="P81">
            <v>706.81154607740905</v>
          </cell>
          <cell r="Q81">
            <v>0</v>
          </cell>
          <cell r="R81">
            <v>0</v>
          </cell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>
            <v>0</v>
          </cell>
          <cell r="AD81">
            <v>0</v>
          </cell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>
            <v>0</v>
          </cell>
          <cell r="AD82">
            <v>0</v>
          </cell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>
            <v>0</v>
          </cell>
          <cell r="AD83">
            <v>0</v>
          </cell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>
            <v>0</v>
          </cell>
          <cell r="AD84">
            <v>0</v>
          </cell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>
            <v>0</v>
          </cell>
          <cell r="AD85">
            <v>0</v>
          </cell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>
            <v>0</v>
          </cell>
          <cell r="AD86">
            <v>0</v>
          </cell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>
            <v>0</v>
          </cell>
          <cell r="AD87">
            <v>0</v>
          </cell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>
            <v>0</v>
          </cell>
          <cell r="AD88">
            <v>0</v>
          </cell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>
            <v>0</v>
          </cell>
          <cell r="AD89">
            <v>0</v>
          </cell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>
            <v>0</v>
          </cell>
          <cell r="AD90">
            <v>0</v>
          </cell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>
            <v>0</v>
          </cell>
          <cell r="AD91">
            <v>0</v>
          </cell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>
            <v>0</v>
          </cell>
          <cell r="AD92">
            <v>0</v>
          </cell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>
            <v>0</v>
          </cell>
          <cell r="AD93">
            <v>0</v>
          </cell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>
            <v>0</v>
          </cell>
          <cell r="AD94">
            <v>0</v>
          </cell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>
            <v>0</v>
          </cell>
          <cell r="AD95">
            <v>0</v>
          </cell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>
            <v>0</v>
          </cell>
          <cell r="AD96">
            <v>0</v>
          </cell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>
            <v>0</v>
          </cell>
          <cell r="AD98">
            <v>0</v>
          </cell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>
            <v>0</v>
          </cell>
          <cell r="AD99">
            <v>0</v>
          </cell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>
            <v>0</v>
          </cell>
          <cell r="AD102">
            <v>0</v>
          </cell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>
            <v>0</v>
          </cell>
          <cell r="AD103">
            <v>0</v>
          </cell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>
            <v>0</v>
          </cell>
          <cell r="AD104">
            <v>0</v>
          </cell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>
            <v>0</v>
          </cell>
          <cell r="AD106">
            <v>0</v>
          </cell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>
            <v>0</v>
          </cell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>
            <v>0</v>
          </cell>
          <cell r="AD112">
            <v>0</v>
          </cell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>
            <v>0</v>
          </cell>
          <cell r="AD113">
            <v>0</v>
          </cell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>
            <v>0</v>
          </cell>
          <cell r="AD114">
            <v>0</v>
          </cell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>
            <v>0</v>
          </cell>
          <cell r="AD116">
            <v>0</v>
          </cell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>
            <v>0</v>
          </cell>
          <cell r="AD117">
            <v>0</v>
          </cell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>
            <v>0</v>
          </cell>
          <cell r="AD118">
            <v>0</v>
          </cell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>
            <v>0</v>
          </cell>
          <cell r="AD119">
            <v>0</v>
          </cell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>
            <v>0</v>
          </cell>
          <cell r="AD120">
            <v>0</v>
          </cell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>
            <v>0</v>
          </cell>
          <cell r="AD123">
            <v>0</v>
          </cell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>
            <v>0</v>
          </cell>
          <cell r="AD132">
            <v>0</v>
          </cell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>
            <v>0</v>
          </cell>
          <cell r="AD136">
            <v>0</v>
          </cell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>
            <v>0</v>
          </cell>
          <cell r="AD137">
            <v>0</v>
          </cell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>
            <v>0</v>
          </cell>
          <cell r="AD138">
            <v>0</v>
          </cell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>
            <v>0</v>
          </cell>
          <cell r="AD139">
            <v>0</v>
          </cell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>
            <v>0</v>
          </cell>
          <cell r="AD140">
            <v>0</v>
          </cell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>
            <v>0</v>
          </cell>
          <cell r="AD142">
            <v>0</v>
          </cell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>
            <v>0</v>
          </cell>
          <cell r="AD144">
            <v>0</v>
          </cell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>
            <v>0</v>
          </cell>
          <cell r="AD146">
            <v>0</v>
          </cell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>
            <v>0</v>
          </cell>
          <cell r="AD151">
            <v>0</v>
          </cell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>
            <v>0</v>
          </cell>
          <cell r="AD153">
            <v>0</v>
          </cell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>
            <v>0</v>
          </cell>
          <cell r="AD156">
            <v>0</v>
          </cell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>
            <v>0</v>
          </cell>
          <cell r="AD157">
            <v>0</v>
          </cell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>
            <v>0</v>
          </cell>
          <cell r="AD160">
            <v>0</v>
          </cell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>
            <v>0</v>
          </cell>
          <cell r="AD161">
            <v>0</v>
          </cell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>
            <v>0</v>
          </cell>
          <cell r="AD163">
            <v>0</v>
          </cell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>
            <v>0</v>
          </cell>
          <cell r="AD164">
            <v>0</v>
          </cell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>
            <v>0</v>
          </cell>
          <cell r="AD166">
            <v>0</v>
          </cell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>
            <v>0</v>
          </cell>
          <cell r="AD167">
            <v>0</v>
          </cell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>
            <v>0</v>
          </cell>
          <cell r="AD168">
            <v>0</v>
          </cell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>
            <v>0</v>
          </cell>
          <cell r="AD169">
            <v>0</v>
          </cell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>
            <v>0</v>
          </cell>
          <cell r="AD170">
            <v>0</v>
          </cell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>
            <v>0</v>
          </cell>
          <cell r="AD171">
            <v>0</v>
          </cell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>
            <v>0</v>
          </cell>
          <cell r="AD172">
            <v>0</v>
          </cell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>
            <v>0</v>
          </cell>
          <cell r="AD173">
            <v>0</v>
          </cell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>
            <v>0</v>
          </cell>
          <cell r="AD174">
            <v>0</v>
          </cell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>
            <v>0</v>
          </cell>
          <cell r="AD175">
            <v>0</v>
          </cell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>
            <v>0</v>
          </cell>
          <cell r="AD176">
            <v>0</v>
          </cell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>
            <v>0</v>
          </cell>
          <cell r="AD201">
            <v>0</v>
          </cell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>
            <v>0</v>
          </cell>
          <cell r="AD207">
            <v>0</v>
          </cell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>
            <v>0</v>
          </cell>
          <cell r="AD211">
            <v>0</v>
          </cell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>
            <v>0</v>
          </cell>
          <cell r="AD216">
            <v>0</v>
          </cell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>
            <v>0</v>
          </cell>
          <cell r="AD222">
            <v>0</v>
          </cell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>
            <v>0</v>
          </cell>
          <cell r="AD224">
            <v>0</v>
          </cell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>
            <v>0</v>
          </cell>
          <cell r="AD225">
            <v>0</v>
          </cell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>
            <v>0</v>
          </cell>
          <cell r="AD226">
            <v>0</v>
          </cell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>
            <v>0</v>
          </cell>
          <cell r="AD227">
            <v>0</v>
          </cell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>
            <v>0</v>
          </cell>
          <cell r="AD229">
            <v>0</v>
          </cell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>
            <v>0</v>
          </cell>
          <cell r="AD230">
            <v>0</v>
          </cell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>
            <v>0</v>
          </cell>
          <cell r="AD231">
            <v>0</v>
          </cell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>
            <v>0</v>
          </cell>
          <cell r="AD233">
            <v>0</v>
          </cell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>
            <v>0</v>
          </cell>
          <cell r="AD236">
            <v>0</v>
          </cell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>
            <v>0</v>
          </cell>
          <cell r="AD237">
            <v>0</v>
          </cell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>
            <v>0</v>
          </cell>
          <cell r="AD238">
            <v>0</v>
          </cell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>
            <v>0</v>
          </cell>
          <cell r="AD239">
            <v>0</v>
          </cell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763.68707974869699</v>
          </cell>
          <cell r="N250">
            <v>0</v>
          </cell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>
            <v>0</v>
          </cell>
          <cell r="AD255">
            <v>0</v>
          </cell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>
            <v>0</v>
          </cell>
          <cell r="AD258">
            <v>0</v>
          </cell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>
            <v>0</v>
          </cell>
          <cell r="AD260">
            <v>0</v>
          </cell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>
            <v>0</v>
          </cell>
          <cell r="F261">
            <v>0</v>
          </cell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Memo"/>
      <sheetName val="MM001Tranx"/>
      <sheetName val="JEexport"/>
      <sheetName val="Rev Import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  <sheetName val="RM_MM001_Query_v4e - Murreys Up"/>
      <sheetName val=""/>
    </sheetNames>
    <sheetDataSet>
      <sheetData sheetId="0"/>
      <sheetData sheetId="1"/>
      <sheetData sheetId="2">
        <row r="9">
          <cell r="L9">
            <v>11501</v>
          </cell>
        </row>
        <row r="10">
          <cell r="L10" t="str">
            <v>11501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 refreshError="1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  <sheetName val="Bud Capita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F11" t="str">
            <v>OK!: ReportRange Formula OK [jAction{}]</v>
          </cell>
        </row>
        <row r="26">
          <cell r="B26" t="str">
            <v>N|Container Delivery</v>
          </cell>
          <cell r="C26" t="str">
            <v>Container Delivery Truck</v>
          </cell>
          <cell r="D26" t="str">
            <v>Container Delivery</v>
          </cell>
        </row>
        <row r="27">
          <cell r="B27" t="str">
            <v>Lookup Key</v>
          </cell>
          <cell r="C27" t="str">
            <v>PO Subtype</v>
          </cell>
          <cell r="D27" t="str">
            <v>Truck Center System Type</v>
          </cell>
        </row>
        <row r="28">
          <cell r="B28" t="str">
            <v>N|Automated Sideloader</v>
          </cell>
          <cell r="C28" t="str">
            <v>Automated</v>
          </cell>
          <cell r="D28" t="str">
            <v>Automated Sideloader</v>
          </cell>
        </row>
        <row r="29">
          <cell r="B29" t="str">
            <v>N|Container Delivery</v>
          </cell>
          <cell r="C29" t="str">
            <v>Container Delivery Truck</v>
          </cell>
          <cell r="D29" t="str">
            <v>Container Delivery</v>
          </cell>
        </row>
        <row r="30">
          <cell r="B30" t="str">
            <v>N|Front Loader</v>
          </cell>
          <cell r="C30" t="str">
            <v>Front Load</v>
          </cell>
          <cell r="D30" t="str">
            <v>Front Loader</v>
          </cell>
        </row>
        <row r="31">
          <cell r="B31" t="str">
            <v>N|Grapple Truck</v>
          </cell>
          <cell r="C31" t="str">
            <v>Grapple Brush Truck</v>
          </cell>
          <cell r="D31" t="str">
            <v>Grapple Truck</v>
          </cell>
        </row>
        <row r="32">
          <cell r="B32" t="str">
            <v>N|Hook Lift</v>
          </cell>
          <cell r="C32" t="str">
            <v>Hook Lift</v>
          </cell>
          <cell r="D32" t="str">
            <v>Hook Lift</v>
          </cell>
        </row>
        <row r="33">
          <cell r="B33" t="str">
            <v>N|Manual Sideloader</v>
          </cell>
          <cell r="C33" t="str">
            <v>Sideloader</v>
          </cell>
          <cell r="D33" t="str">
            <v>Manual Sideloader</v>
          </cell>
        </row>
        <row r="34">
          <cell r="B34" t="str">
            <v>N|Other</v>
          </cell>
          <cell r="C34" t="str">
            <v>Other Truck</v>
          </cell>
          <cell r="D34" t="str">
            <v>Other</v>
          </cell>
        </row>
        <row r="35">
          <cell r="B35" t="str">
            <v>N|Other</v>
          </cell>
          <cell r="C35" t="str">
            <v>Passenger Car</v>
          </cell>
          <cell r="D35" t="str">
            <v>Other</v>
          </cell>
        </row>
        <row r="36">
          <cell r="B36" t="str">
            <v>N|Pickup</v>
          </cell>
          <cell r="C36" t="str">
            <v>Pickup</v>
          </cell>
          <cell r="D36" t="str">
            <v>Pickup</v>
          </cell>
        </row>
        <row r="37">
          <cell r="B37" t="str">
            <v>N|Pumper Truck</v>
          </cell>
          <cell r="C37" t="str">
            <v>Pumper Truck</v>
          </cell>
          <cell r="D37" t="str">
            <v>Pumper Truck</v>
          </cell>
        </row>
        <row r="38">
          <cell r="B38" t="str">
            <v>N|Rear Loader</v>
          </cell>
          <cell r="C38" t="str">
            <v>Rear Load</v>
          </cell>
          <cell r="D38" t="str">
            <v>Rear Loader</v>
          </cell>
        </row>
        <row r="39">
          <cell r="B39" t="str">
            <v>N|Recycle</v>
          </cell>
          <cell r="C39" t="str">
            <v>Recycle Truck</v>
          </cell>
          <cell r="D39" t="str">
            <v>Recycle</v>
          </cell>
        </row>
        <row r="40">
          <cell r="B40" t="str">
            <v>N|Retriever</v>
          </cell>
          <cell r="C40" t="str">
            <v>Retriever</v>
          </cell>
          <cell r="D40" t="str">
            <v>Retriever</v>
          </cell>
        </row>
        <row r="41">
          <cell r="B41" t="str">
            <v>N|Roll Off</v>
          </cell>
          <cell r="C41" t="str">
            <v>Roll Off</v>
          </cell>
          <cell r="D41" t="str">
            <v>Roll Off</v>
          </cell>
        </row>
        <row r="42">
          <cell r="B42" t="str">
            <v>N|Serv Trk-Complete</v>
          </cell>
          <cell r="C42" t="str">
            <v>Service Truck</v>
          </cell>
          <cell r="D42" t="str">
            <v>Serv Trk-Complete</v>
          </cell>
        </row>
        <row r="43">
          <cell r="B43" t="str">
            <v>N|Trailer</v>
          </cell>
          <cell r="C43" t="str">
            <v>Tipper Trailer</v>
          </cell>
          <cell r="D43" t="str">
            <v>Trailer</v>
          </cell>
        </row>
        <row r="44">
          <cell r="B44" t="str">
            <v>N|Trailer</v>
          </cell>
          <cell r="C44" t="str">
            <v>Walking Floor Trailer</v>
          </cell>
          <cell r="D44" t="str">
            <v>Trailer</v>
          </cell>
        </row>
        <row r="45">
          <cell r="B45" t="str">
            <v>N|Trailer</v>
          </cell>
          <cell r="C45" t="str">
            <v>Roll Off Pup Trailer</v>
          </cell>
          <cell r="D45" t="str">
            <v>Trailer</v>
          </cell>
        </row>
        <row r="46">
          <cell r="B46" t="str">
            <v>N|Trailer</v>
          </cell>
          <cell r="C46" t="str">
            <v>Other Trailer</v>
          </cell>
          <cell r="D46" t="str">
            <v>Trailer</v>
          </cell>
        </row>
        <row r="47">
          <cell r="B47" t="str">
            <v>N|Trailer</v>
          </cell>
          <cell r="C47" t="str">
            <v>Container Delivery Trailer</v>
          </cell>
          <cell r="D47" t="str">
            <v>Trailer</v>
          </cell>
        </row>
        <row r="48">
          <cell r="B48" t="str">
            <v>N|Trailer</v>
          </cell>
          <cell r="C48" t="str">
            <v>Railroad Cars</v>
          </cell>
          <cell r="D48" t="str">
            <v>Trailer</v>
          </cell>
        </row>
        <row r="49">
          <cell r="B49" t="str">
            <v>N|Trailer</v>
          </cell>
          <cell r="C49" t="str">
            <v>Barge</v>
          </cell>
          <cell r="D49" t="str">
            <v>Trailer</v>
          </cell>
        </row>
        <row r="50">
          <cell r="B50" t="str">
            <v>N|Transfer Tractor</v>
          </cell>
          <cell r="C50" t="str">
            <v>Transfer Tractor</v>
          </cell>
          <cell r="D50" t="str">
            <v>Transfer Tractor</v>
          </cell>
        </row>
        <row r="51">
          <cell r="B51" t="str">
            <v>N|Yard Mule</v>
          </cell>
          <cell r="C51" t="str">
            <v>ATV/Gator</v>
          </cell>
          <cell r="D51" t="str">
            <v>Yard Mule</v>
          </cell>
        </row>
        <row r="52">
          <cell r="B52" t="str">
            <v>N|Yard Mule</v>
          </cell>
          <cell r="C52" t="str">
            <v>Yard Mule</v>
          </cell>
          <cell r="D52" t="str">
            <v>Yard Mule</v>
          </cell>
        </row>
        <row r="53">
          <cell r="B53" t="str">
            <v>U|Automated Sideloader</v>
          </cell>
          <cell r="C53" t="str">
            <v>Automated</v>
          </cell>
          <cell r="D53" t="str">
            <v>Automated Sideloader</v>
          </cell>
        </row>
        <row r="54">
          <cell r="B54" t="str">
            <v>U|Container Delivery</v>
          </cell>
          <cell r="C54" t="str">
            <v>Container Delivery Truck</v>
          </cell>
          <cell r="D54" t="str">
            <v>Container Delivery</v>
          </cell>
        </row>
        <row r="55">
          <cell r="B55" t="str">
            <v>U|Front Loader</v>
          </cell>
          <cell r="C55" t="str">
            <v>Front Load</v>
          </cell>
          <cell r="D55" t="str">
            <v>Front Loader</v>
          </cell>
        </row>
        <row r="56">
          <cell r="B56" t="str">
            <v>U|Grapple Truck</v>
          </cell>
          <cell r="C56" t="str">
            <v>Grapple Brush Truck</v>
          </cell>
          <cell r="D56" t="str">
            <v>Grapple Truck</v>
          </cell>
        </row>
        <row r="57">
          <cell r="B57" t="str">
            <v>U|Hook Lift</v>
          </cell>
          <cell r="C57" t="str">
            <v>Hook Lift</v>
          </cell>
          <cell r="D57" t="str">
            <v>Hook Lift</v>
          </cell>
        </row>
        <row r="58">
          <cell r="B58" t="str">
            <v>U|Manual Sideloader</v>
          </cell>
          <cell r="C58" t="str">
            <v>Sideloader</v>
          </cell>
          <cell r="D58" t="str">
            <v>Manual Sideloader</v>
          </cell>
        </row>
        <row r="59">
          <cell r="B59" t="str">
            <v>U|Other</v>
          </cell>
          <cell r="C59" t="str">
            <v>Other Truck</v>
          </cell>
          <cell r="D59" t="str">
            <v>Other</v>
          </cell>
        </row>
        <row r="60">
          <cell r="B60" t="str">
            <v>U|Pickup</v>
          </cell>
          <cell r="C60" t="str">
            <v>Pickup</v>
          </cell>
          <cell r="D60" t="str">
            <v>Pickup</v>
          </cell>
        </row>
        <row r="61">
          <cell r="B61" t="str">
            <v>U|Pumper Truck</v>
          </cell>
          <cell r="C61" t="str">
            <v>Pumper Truck</v>
          </cell>
          <cell r="D61" t="str">
            <v>Pumper Truck</v>
          </cell>
        </row>
        <row r="62">
          <cell r="B62" t="str">
            <v>U|Rear Loader</v>
          </cell>
          <cell r="C62" t="str">
            <v>Rear Load</v>
          </cell>
          <cell r="D62" t="str">
            <v>Rear Loader</v>
          </cell>
        </row>
        <row r="63">
          <cell r="B63" t="str">
            <v>U|Recycle</v>
          </cell>
          <cell r="C63" t="str">
            <v>Recycle Truck</v>
          </cell>
          <cell r="D63" t="str">
            <v>Recycle</v>
          </cell>
        </row>
        <row r="64">
          <cell r="B64" t="str">
            <v>U|Retriever</v>
          </cell>
          <cell r="C64" t="str">
            <v>Retriever</v>
          </cell>
          <cell r="D64" t="str">
            <v>Retriever</v>
          </cell>
        </row>
        <row r="65">
          <cell r="B65" t="str">
            <v>U|Roll Off</v>
          </cell>
          <cell r="C65" t="str">
            <v>Roll Off</v>
          </cell>
          <cell r="D65" t="str">
            <v>Roll Off</v>
          </cell>
        </row>
        <row r="66">
          <cell r="B66" t="str">
            <v>U|Serv Trk-Complete</v>
          </cell>
          <cell r="C66" t="str">
            <v>Service Truck</v>
          </cell>
          <cell r="D66" t="str">
            <v>Serv Trk-Complete</v>
          </cell>
        </row>
        <row r="67">
          <cell r="B67" t="str">
            <v>U|Trailer</v>
          </cell>
          <cell r="C67" t="str">
            <v>Tipper Trailer</v>
          </cell>
          <cell r="D67" t="str">
            <v>Trailer</v>
          </cell>
        </row>
        <row r="68">
          <cell r="B68" t="str">
            <v>U|Trailer</v>
          </cell>
          <cell r="C68" t="str">
            <v>Walking Floor Trailer</v>
          </cell>
          <cell r="D68" t="str">
            <v>Trailer</v>
          </cell>
        </row>
        <row r="69">
          <cell r="B69" t="str">
            <v>U|Trailer</v>
          </cell>
          <cell r="C69" t="str">
            <v>Roll Off Pup Trailer</v>
          </cell>
          <cell r="D69" t="str">
            <v>Trailer</v>
          </cell>
        </row>
        <row r="70">
          <cell r="B70" t="str">
            <v>U|Trailer</v>
          </cell>
          <cell r="C70" t="str">
            <v>Barge</v>
          </cell>
          <cell r="D70" t="str">
            <v>Trailer</v>
          </cell>
        </row>
        <row r="71">
          <cell r="B71" t="str">
            <v>U|Trailer</v>
          </cell>
          <cell r="C71" t="str">
            <v>Railroad Cars</v>
          </cell>
          <cell r="D71" t="str">
            <v>Trailer</v>
          </cell>
        </row>
        <row r="72">
          <cell r="B72" t="str">
            <v>U|Trailer</v>
          </cell>
          <cell r="C72" t="str">
            <v>Container Delivery Trailer</v>
          </cell>
          <cell r="D72" t="str">
            <v>Trailer</v>
          </cell>
        </row>
        <row r="73">
          <cell r="B73" t="str">
            <v>U|Trailer</v>
          </cell>
          <cell r="C73" t="str">
            <v>Other Trailer</v>
          </cell>
          <cell r="D73" t="str">
            <v>Trailer</v>
          </cell>
        </row>
        <row r="74">
          <cell r="B74" t="str">
            <v>U|Transfer Tractor</v>
          </cell>
          <cell r="C74" t="str">
            <v>Transfer Tractor</v>
          </cell>
          <cell r="D74" t="str">
            <v>Transfer Tractor</v>
          </cell>
        </row>
      </sheetData>
      <sheetData sheetId="7">
        <row r="7">
          <cell r="C7" t="str">
            <v>OK!: ReportRange Formula OK [jAction{}]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f"/>
      <sheetName val="pr"/>
      <sheetName val="rev"/>
      <sheetName val="Fuelcosts"/>
      <sheetName val="fuel"/>
      <sheetName val="oth"/>
      <sheetName val="RteHrs"/>
      <sheetName val="debt"/>
      <sheetName val="taxes"/>
      <sheetName val="recy "/>
      <sheetName val="Advertising"/>
      <sheetName val="Parties"/>
      <sheetName val="Donations"/>
      <sheetName val="Dues "/>
      <sheetName val="Hlth Ins"/>
      <sheetName val="Other Ins"/>
      <sheetName val="Postage"/>
      <sheetName val="Pullman EEs"/>
      <sheetName val="Penalties"/>
      <sheetName val="Pensions"/>
      <sheetName val="Payroll"/>
      <sheetName val="LOC"/>
      <sheetName val="Rent "/>
      <sheetName val="2007 COS"/>
      <sheetName val="ProfFees"/>
      <sheetName val="ReplParts"/>
      <sheetName val="RepairMaint"/>
      <sheetName val="LicensesUsedUseful"/>
      <sheetName val="Recycle truck"/>
      <sheetName val="RecycleCarts"/>
      <sheetName val="Depr"/>
      <sheetName val="StaffAdjSummary"/>
      <sheetName val="ProF"/>
      <sheetName val="Balance Sheet"/>
      <sheetName val="nonrg"/>
      <sheetName val="prcout"/>
      <sheetName val="Staff prcout"/>
      <sheetName val="StaffLGAllRegulated"/>
      <sheetName val="LGGarb"/>
      <sheetName val="LGMFam"/>
      <sheetName val="LGCurbRecy"/>
      <sheetName val="LGYdWaste"/>
      <sheetName val="Staff LGCombined"/>
      <sheetName val="LGMedWaste"/>
      <sheetName val="LGCmlEW"/>
      <sheetName val="Sheet1"/>
      <sheetName val="LNI"/>
      <sheetName val="RateCase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  <sheetName val="VLOOKUP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F15" t="str">
            <v>OK!: ReportRange Formula OK [jAction{}]</v>
          </cell>
        </row>
        <row r="36">
          <cell r="C36" t="str">
            <v>Sideloader</v>
          </cell>
          <cell r="D36" t="str">
            <v>Sideloader</v>
          </cell>
        </row>
        <row r="37">
          <cell r="C37" t="str">
            <v>Other Truck</v>
          </cell>
          <cell r="D37" t="str">
            <v>Other</v>
          </cell>
        </row>
        <row r="38">
          <cell r="C38" t="str">
            <v>Passenger Car</v>
          </cell>
          <cell r="D38" t="str">
            <v>Other</v>
          </cell>
        </row>
        <row r="39">
          <cell r="C39" t="str">
            <v>Pickup</v>
          </cell>
          <cell r="D39" t="str">
            <v>Pickup</v>
          </cell>
        </row>
        <row r="40">
          <cell r="C40" t="str">
            <v>Pumper Truck</v>
          </cell>
          <cell r="D40" t="str">
            <v>Pumper Truck</v>
          </cell>
        </row>
        <row r="41">
          <cell r="C41" t="str">
            <v>Rear Load</v>
          </cell>
          <cell r="D41" t="str">
            <v>Rear Loader</v>
          </cell>
        </row>
        <row r="42">
          <cell r="C42" t="str">
            <v>Recycle Truck</v>
          </cell>
          <cell r="D42" t="str">
            <v>Recycle</v>
          </cell>
        </row>
        <row r="43">
          <cell r="C43" t="str">
            <v>Retriever</v>
          </cell>
          <cell r="D43" t="str">
            <v>Retriever</v>
          </cell>
        </row>
        <row r="44">
          <cell r="C44" t="str">
            <v>Roll Off</v>
          </cell>
          <cell r="D44" t="str">
            <v>Roll Off</v>
          </cell>
        </row>
        <row r="45">
          <cell r="C45" t="str">
            <v>Service Truck</v>
          </cell>
          <cell r="D45" t="str">
            <v>Service Truck</v>
          </cell>
        </row>
        <row r="46">
          <cell r="C46" t="str">
            <v>Service Truck</v>
          </cell>
          <cell r="D46" t="str">
            <v>Service Truck</v>
          </cell>
        </row>
        <row r="47">
          <cell r="C47" t="str">
            <v>Tipper Trailer</v>
          </cell>
          <cell r="D47" t="str">
            <v>Trailer</v>
          </cell>
        </row>
        <row r="48">
          <cell r="C48" t="str">
            <v>Walking Floor Trailer</v>
          </cell>
          <cell r="D48" t="str">
            <v>Trailer</v>
          </cell>
        </row>
        <row r="49">
          <cell r="C49" t="str">
            <v>Roll Off Pup Trailer</v>
          </cell>
          <cell r="D49" t="str">
            <v>Trailer</v>
          </cell>
        </row>
        <row r="50">
          <cell r="C50" t="str">
            <v>Other Trailer</v>
          </cell>
          <cell r="D50" t="str">
            <v>Trailer</v>
          </cell>
        </row>
        <row r="51">
          <cell r="C51" t="str">
            <v>Container Delivery Trailer</v>
          </cell>
          <cell r="D51" t="str">
            <v>Trailer</v>
          </cell>
        </row>
        <row r="52">
          <cell r="C52" t="str">
            <v>Railroad Cars</v>
          </cell>
          <cell r="D52" t="str">
            <v>Trailer</v>
          </cell>
        </row>
        <row r="53">
          <cell r="C53" t="str">
            <v>Barge</v>
          </cell>
          <cell r="D53" t="str">
            <v>Trailer</v>
          </cell>
        </row>
        <row r="54">
          <cell r="C54" t="str">
            <v>Transfer Tractor</v>
          </cell>
          <cell r="D54" t="str">
            <v>Transfer Tractor</v>
          </cell>
        </row>
        <row r="55">
          <cell r="C55" t="str">
            <v>ATV/Gator</v>
          </cell>
          <cell r="D55" t="str">
            <v>Yard Mule</v>
          </cell>
        </row>
        <row r="56">
          <cell r="C56" t="str">
            <v>Yard Mule</v>
          </cell>
          <cell r="D56" t="str">
            <v>Yard Mule</v>
          </cell>
        </row>
        <row r="57">
          <cell r="C57" t="str">
            <v>Automated</v>
          </cell>
          <cell r="D57" t="str">
            <v>Automated Sideloader</v>
          </cell>
        </row>
        <row r="58">
          <cell r="C58" t="str">
            <v>Container Delivery Truck</v>
          </cell>
          <cell r="D58" t="str">
            <v>Container Delivery</v>
          </cell>
        </row>
        <row r="59">
          <cell r="C59" t="str">
            <v>Front Load</v>
          </cell>
          <cell r="D59" t="str">
            <v>Front Loader</v>
          </cell>
        </row>
        <row r="60">
          <cell r="C60" t="str">
            <v>Grapple Brush Truck</v>
          </cell>
          <cell r="D60" t="str">
            <v>Grapple Truck</v>
          </cell>
        </row>
        <row r="61">
          <cell r="C61" t="str">
            <v>Hook Lift</v>
          </cell>
          <cell r="D61" t="str">
            <v>Hook Lift</v>
          </cell>
        </row>
        <row r="62">
          <cell r="C62" t="str">
            <v>Sideloader</v>
          </cell>
          <cell r="D62" t="str">
            <v>Manual Sideloader</v>
          </cell>
        </row>
        <row r="63">
          <cell r="C63" t="str">
            <v>Other Truck</v>
          </cell>
          <cell r="D63" t="str">
            <v>Other</v>
          </cell>
        </row>
        <row r="64">
          <cell r="C64" t="str">
            <v>Pickup</v>
          </cell>
          <cell r="D64" t="str">
            <v>Pickup</v>
          </cell>
        </row>
        <row r="65">
          <cell r="C65" t="str">
            <v>Pumper Truck</v>
          </cell>
          <cell r="D65" t="str">
            <v>Pumper Truck</v>
          </cell>
        </row>
        <row r="66">
          <cell r="C66" t="str">
            <v>Rear Load</v>
          </cell>
          <cell r="D66" t="str">
            <v>Rear Loader</v>
          </cell>
        </row>
        <row r="67">
          <cell r="C67" t="str">
            <v>Recycle Truck</v>
          </cell>
          <cell r="D67" t="str">
            <v>Recycle</v>
          </cell>
        </row>
        <row r="68">
          <cell r="C68" t="str">
            <v>Retriever</v>
          </cell>
          <cell r="D68" t="str">
            <v>Retriever</v>
          </cell>
        </row>
        <row r="69">
          <cell r="C69" t="str">
            <v>Roll Off</v>
          </cell>
          <cell r="D69" t="str">
            <v>Roll Off</v>
          </cell>
        </row>
        <row r="70">
          <cell r="C70" t="str">
            <v>Service Truck</v>
          </cell>
          <cell r="D70" t="str">
            <v>Serv Trk-Complete</v>
          </cell>
        </row>
        <row r="71">
          <cell r="C71" t="str">
            <v>Tipper Trailer</v>
          </cell>
          <cell r="D71" t="str">
            <v>Trailer</v>
          </cell>
        </row>
        <row r="72">
          <cell r="C72" t="str">
            <v>Walking Floor Trailer</v>
          </cell>
          <cell r="D72" t="str">
            <v>Trailer</v>
          </cell>
        </row>
        <row r="73">
          <cell r="C73" t="str">
            <v>Roll Off Pup Trailer</v>
          </cell>
          <cell r="D73" t="str">
            <v>Trailer</v>
          </cell>
        </row>
        <row r="74">
          <cell r="C74" t="str">
            <v>Barge</v>
          </cell>
          <cell r="D74" t="str">
            <v>Trailer</v>
          </cell>
        </row>
        <row r="75">
          <cell r="C75" t="str">
            <v>Railroad Cars</v>
          </cell>
          <cell r="D75" t="str">
            <v>Trailer</v>
          </cell>
        </row>
        <row r="76">
          <cell r="C76" t="str">
            <v>Container Delivery Trailer</v>
          </cell>
          <cell r="D76" t="str">
            <v>Trailer</v>
          </cell>
        </row>
        <row r="77">
          <cell r="C77" t="str">
            <v>Other Trailer</v>
          </cell>
          <cell r="D77" t="str">
            <v>Trailer</v>
          </cell>
        </row>
        <row r="78">
          <cell r="C78" t="str">
            <v>Transfer Tractor</v>
          </cell>
          <cell r="D78" t="str">
            <v>Transfer Tractor</v>
          </cell>
        </row>
        <row r="79">
          <cell r="C79" t="str">
            <v>Yard Mule</v>
          </cell>
          <cell r="D79" t="str">
            <v>Yard Mule</v>
          </cell>
        </row>
        <row r="80">
          <cell r="C80" t="str">
            <v>ATV/Gator</v>
          </cell>
          <cell r="D80" t="str">
            <v>Yard Mule</v>
          </cell>
        </row>
      </sheetData>
      <sheetData sheetId="8">
        <row r="7">
          <cell r="C7" t="str">
            <v>OK!: ReportRange Formula OK [jAction{}]</v>
          </cell>
        </row>
      </sheetData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>
        <row r="30">
          <cell r="J30">
            <v>2646.7177352709273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Total Reg"/>
      <sheetName val="LG Total Clallum"/>
      <sheetName val="LG Total Jefferson"/>
      <sheetName val="LG Total Mill Haul"/>
      <sheetName val="2112-2148_IS210"/>
      <sheetName val="2113_IS210"/>
      <sheetName val="Revenue"/>
      <sheetName val="Interject_LastPulledValues"/>
      <sheetName val="Debt"/>
      <sheetName val="Converted IS"/>
      <sheetName val="Deprec. Summary"/>
      <sheetName val="Sorted Master-2112-2148"/>
      <sheetName val="2112-2148 Key Allocators"/>
      <sheetName val="Bud Proforma Calcs - Revenue"/>
      <sheetName val="43001"/>
      <sheetName val="52170 - Real Estate Rental"/>
      <sheetName val="Pric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F Calculation"/>
      <sheetName val="Consolidated Cust Cnt"/>
      <sheetName val="Disposal Schedule"/>
      <sheetName val="Proposed Rates"/>
      <sheetName val="Rev Recon"/>
      <sheetName val="Murrey's Rev 2015"/>
      <sheetName val="American Rev 2015"/>
      <sheetName val="Murrey's IS"/>
      <sheetName val="American IS"/>
    </sheetNames>
    <sheetDataSet>
      <sheetData sheetId="0">
        <row r="9">
          <cell r="C9">
            <v>1</v>
          </cell>
        </row>
        <row r="30">
          <cell r="C30">
            <v>324</v>
          </cell>
        </row>
      </sheetData>
      <sheetData sheetId="1"/>
      <sheetData sheetId="2"/>
      <sheetData sheetId="3"/>
      <sheetData sheetId="4">
        <row r="75">
          <cell r="C75">
            <v>22.96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-May GL"/>
      <sheetName val="Revenue"/>
      <sheetName val="Customers"/>
      <sheetName val="Container Count"/>
      <sheetName val="Murrey's American G-9 Reg."/>
      <sheetName val="BonneyLake"/>
      <sheetName val="Buckley"/>
      <sheetName val="Carbonado"/>
      <sheetName val="Milton"/>
      <sheetName val="Orting"/>
      <sheetName val="DM-PIER"/>
      <sheetName val="Puyallup"/>
      <sheetName val="South Prairie"/>
      <sheetName val="Sumner"/>
      <sheetName val="Ruston"/>
      <sheetName val="Vashon"/>
      <sheetName val="Vahson IS"/>
      <sheetName val="TacomaH IS"/>
      <sheetName val="MM001 Data"/>
      <sheetName val="PI default pricing 7.1.18"/>
      <sheetName val="PI Default Pricing 1.1.19"/>
      <sheetName val="PI default Pricing 3.1.19"/>
      <sheetName val="b cycle Ref"/>
      <sheetName val="Sheet2"/>
      <sheetName val="PI Default Pricing 3.1.21"/>
      <sheetName val="PI Default Pricing 3.1.22"/>
      <sheetName val="Carb Cust"/>
      <sheetName val="Instructions"/>
    </sheetNames>
    <sheetDataSet>
      <sheetData sheetId="0"/>
      <sheetData sheetId="1"/>
      <sheetData sheetId="2"/>
      <sheetData sheetId="3"/>
      <sheetData sheetId="4">
        <row r="2">
          <cell r="AC2">
            <v>12</v>
          </cell>
        </row>
        <row r="3">
          <cell r="B3" t="str">
            <v>June 2021 - May 2022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</v>
          </cell>
          <cell r="O3">
            <v>2</v>
          </cell>
          <cell r="P3">
            <v>3</v>
          </cell>
          <cell r="Q3">
            <v>4</v>
          </cell>
          <cell r="R3">
            <v>5</v>
          </cell>
        </row>
        <row r="5">
          <cell r="G5">
            <v>44348</v>
          </cell>
          <cell r="H5">
            <v>44378</v>
          </cell>
          <cell r="I5">
            <v>44409</v>
          </cell>
          <cell r="J5">
            <v>44440</v>
          </cell>
          <cell r="K5">
            <v>44470</v>
          </cell>
          <cell r="L5">
            <v>44501</v>
          </cell>
          <cell r="M5">
            <v>44531</v>
          </cell>
          <cell r="N5">
            <v>44562</v>
          </cell>
          <cell r="O5">
            <v>44593</v>
          </cell>
          <cell r="P5">
            <v>44624</v>
          </cell>
          <cell r="Q5">
            <v>44655</v>
          </cell>
          <cell r="R5">
            <v>44686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VLOOKUP</v>
          </cell>
          <cell r="B1" t="str">
            <v>BILL CYCLE</v>
          </cell>
          <cell r="C1" t="str">
            <v>district_id</v>
          </cell>
          <cell r="D1" t="str">
            <v>category</v>
          </cell>
          <cell r="E1" t="str">
            <v>ONCALL</v>
          </cell>
          <cell r="F1" t="str">
            <v>ISADISPOSAL</v>
          </cell>
          <cell r="G1" t="str">
            <v>b_area</v>
          </cell>
          <cell r="H1" t="str">
            <v>svc_code</v>
          </cell>
          <cell r="I1" t="str">
            <v>svc_code_alpha</v>
          </cell>
          <cell r="J1" t="str">
            <v>descript</v>
          </cell>
          <cell r="K1" t="str">
            <v>AreaDefault</v>
          </cell>
          <cell r="L1" t="str">
            <v>NewRate</v>
          </cell>
        </row>
        <row r="2">
          <cell r="A2" t="str">
            <v>BONNEY LAKERESIDENTIAL10RW1N</v>
          </cell>
          <cell r="B2" t="str">
            <v>BI-MONTHLY ADVANCED ODD</v>
          </cell>
          <cell r="C2" t="str">
            <v>2111</v>
          </cell>
          <cell r="D2" t="str">
            <v>RESIDENTIAL</v>
          </cell>
          <cell r="E2" t="b">
            <v>0</v>
          </cell>
          <cell r="F2" t="b">
            <v>0</v>
          </cell>
          <cell r="G2" t="str">
            <v>BONNEY LAKE</v>
          </cell>
          <cell r="H2">
            <v>508</v>
          </cell>
          <cell r="I2" t="str">
            <v>10RW1N</v>
          </cell>
          <cell r="J2" t="str">
            <v>1-10 GAL CART WKLY NON REC</v>
          </cell>
          <cell r="K2">
            <v>35.72</v>
          </cell>
          <cell r="L2">
            <v>17.86</v>
          </cell>
        </row>
        <row r="3">
          <cell r="A3" t="str">
            <v>BUCKLEYRESIDENTIAL10RW1N</v>
          </cell>
          <cell r="B3" t="str">
            <v>BI-MONTHLY ADVANCED ODD</v>
          </cell>
          <cell r="C3" t="str">
            <v>2111</v>
          </cell>
          <cell r="D3" t="str">
            <v>RESIDENTIAL</v>
          </cell>
          <cell r="E3" t="b">
            <v>0</v>
          </cell>
          <cell r="F3" t="b">
            <v>0</v>
          </cell>
          <cell r="G3" t="str">
            <v>BUCKLEY</v>
          </cell>
          <cell r="H3">
            <v>508</v>
          </cell>
          <cell r="I3" t="str">
            <v>10RW1N</v>
          </cell>
          <cell r="J3" t="str">
            <v>1-10 GAL CART WKLY NON REC</v>
          </cell>
          <cell r="K3">
            <v>36.36</v>
          </cell>
          <cell r="L3">
            <v>18.18</v>
          </cell>
        </row>
        <row r="4">
          <cell r="A4" t="str">
            <v>CARBONADORESIDENTIAL10RW1N</v>
          </cell>
          <cell r="B4" t="str">
            <v>BI-MONTHLY ADVANCED ODD</v>
          </cell>
          <cell r="C4" t="str">
            <v>2111</v>
          </cell>
          <cell r="D4" t="str">
            <v>RESIDENTIAL</v>
          </cell>
          <cell r="E4" t="b">
            <v>0</v>
          </cell>
          <cell r="F4" t="b">
            <v>0</v>
          </cell>
          <cell r="G4" t="str">
            <v>CARBONADO</v>
          </cell>
          <cell r="H4">
            <v>508</v>
          </cell>
          <cell r="I4" t="str">
            <v>10RW1N</v>
          </cell>
          <cell r="J4" t="str">
            <v>1-10 GAL CART WKLY NON REC</v>
          </cell>
          <cell r="K4">
            <v>14.38</v>
          </cell>
          <cell r="L4">
            <v>7.19</v>
          </cell>
        </row>
        <row r="5">
          <cell r="A5" t="str">
            <v>MILTONRESIDENTIAL10RW1N</v>
          </cell>
          <cell r="B5" t="str">
            <v>BI-MONTHLY ADVANCED ODD</v>
          </cell>
          <cell r="C5" t="str">
            <v>2111</v>
          </cell>
          <cell r="D5" t="str">
            <v>RESIDENTIAL</v>
          </cell>
          <cell r="E5" t="b">
            <v>0</v>
          </cell>
          <cell r="F5" t="b">
            <v>0</v>
          </cell>
          <cell r="G5" t="str">
            <v>MILTON</v>
          </cell>
          <cell r="H5">
            <v>508</v>
          </cell>
          <cell r="I5" t="str">
            <v>10RW1N</v>
          </cell>
          <cell r="J5" t="str">
            <v>1-10 GAL CART WKLY NON REC</v>
          </cell>
          <cell r="K5">
            <v>22.22</v>
          </cell>
          <cell r="L5">
            <v>11.11</v>
          </cell>
        </row>
        <row r="6">
          <cell r="A6" t="str">
            <v>ORTINGRESIDENTIAL10RW1N</v>
          </cell>
          <cell r="B6" t="str">
            <v>BI-MONTHLY ADVANCED ODD</v>
          </cell>
          <cell r="C6" t="str">
            <v>2111</v>
          </cell>
          <cell r="D6" t="str">
            <v>RESIDENTIAL</v>
          </cell>
          <cell r="E6" t="b">
            <v>0</v>
          </cell>
          <cell r="F6" t="b">
            <v>0</v>
          </cell>
          <cell r="G6" t="str">
            <v>ORTING</v>
          </cell>
          <cell r="H6">
            <v>508</v>
          </cell>
          <cell r="I6" t="str">
            <v>10RW1N</v>
          </cell>
          <cell r="J6" t="str">
            <v>1-10 GAL CART WKLY NON REC</v>
          </cell>
          <cell r="K6">
            <v>30.16</v>
          </cell>
          <cell r="L6">
            <v>15.08</v>
          </cell>
        </row>
        <row r="7">
          <cell r="A7" t="str">
            <v>PUYALLUPRESIDENTIAL10RW1N</v>
          </cell>
          <cell r="B7" t="str">
            <v>BI-MONTHLY ADVANCED ODD</v>
          </cell>
          <cell r="C7" t="str">
            <v>2111</v>
          </cell>
          <cell r="D7" t="str">
            <v>RESIDENTIAL</v>
          </cell>
          <cell r="E7" t="b">
            <v>0</v>
          </cell>
          <cell r="F7" t="b">
            <v>0</v>
          </cell>
          <cell r="G7" t="str">
            <v>PUYALLUP</v>
          </cell>
          <cell r="H7">
            <v>508</v>
          </cell>
          <cell r="I7" t="str">
            <v>10RW1N</v>
          </cell>
          <cell r="J7" t="str">
            <v>1-10 GAL CART WKLY NON REC</v>
          </cell>
          <cell r="K7">
            <v>35.979999999999997</v>
          </cell>
          <cell r="L7">
            <v>17.989999999999998</v>
          </cell>
        </row>
        <row r="8">
          <cell r="A8" t="str">
            <v>SUMNERRESIDENTIAL10RW1N</v>
          </cell>
          <cell r="B8" t="str">
            <v>BI-MONTHLY ADVANCED ODD</v>
          </cell>
          <cell r="C8" t="str">
            <v>2111</v>
          </cell>
          <cell r="D8" t="str">
            <v>RESIDENTIAL</v>
          </cell>
          <cell r="E8" t="b">
            <v>0</v>
          </cell>
          <cell r="F8" t="b">
            <v>0</v>
          </cell>
          <cell r="G8" t="str">
            <v>SUMNER</v>
          </cell>
          <cell r="H8">
            <v>508</v>
          </cell>
          <cell r="I8" t="str">
            <v>10RW1N</v>
          </cell>
          <cell r="J8" t="str">
            <v>1-10 GAL CART WKLY NON REC</v>
          </cell>
          <cell r="K8">
            <v>36.36</v>
          </cell>
          <cell r="L8">
            <v>18.18</v>
          </cell>
        </row>
        <row r="9">
          <cell r="A9" t="str">
            <v>BONNEY LAKERESIDENTIAL10RW1R</v>
          </cell>
          <cell r="B9" t="str">
            <v>BI-MONTHLY ADVANCED ODD</v>
          </cell>
          <cell r="C9" t="str">
            <v>2111</v>
          </cell>
          <cell r="D9" t="str">
            <v>RESIDENTIAL</v>
          </cell>
          <cell r="E9" t="b">
            <v>0</v>
          </cell>
          <cell r="F9" t="b">
            <v>0</v>
          </cell>
          <cell r="G9" t="str">
            <v>BONNEY LAKE</v>
          </cell>
          <cell r="H9">
            <v>501</v>
          </cell>
          <cell r="I9" t="str">
            <v>10RW1R</v>
          </cell>
          <cell r="J9" t="str">
            <v>1-10 GAL CART WKLY W/ REC</v>
          </cell>
          <cell r="K9">
            <v>35.72</v>
          </cell>
          <cell r="L9">
            <v>17.86</v>
          </cell>
        </row>
        <row r="10">
          <cell r="A10" t="str">
            <v>BUCKLEYRESIDENTIAL10RW1R</v>
          </cell>
          <cell r="B10" t="str">
            <v>BI-MONTHLY ADVANCED ODD</v>
          </cell>
          <cell r="C10" t="str">
            <v>2111</v>
          </cell>
          <cell r="D10" t="str">
            <v>RESIDENTIAL</v>
          </cell>
          <cell r="E10" t="b">
            <v>0</v>
          </cell>
          <cell r="F10" t="b">
            <v>0</v>
          </cell>
          <cell r="G10" t="str">
            <v>BUCKLEY</v>
          </cell>
          <cell r="H10">
            <v>501</v>
          </cell>
          <cell r="I10" t="str">
            <v>10RW1R</v>
          </cell>
          <cell r="J10" t="str">
            <v>1-10 GAL CART WKLY W/ REC</v>
          </cell>
          <cell r="K10">
            <v>36.36</v>
          </cell>
          <cell r="L10">
            <v>18.18</v>
          </cell>
        </row>
        <row r="11">
          <cell r="A11" t="str">
            <v>CARBONADORESIDENTIAL10RW1R</v>
          </cell>
          <cell r="B11" t="str">
            <v>BI-MONTHLY ADVANCED ODD</v>
          </cell>
          <cell r="C11" t="str">
            <v>2111</v>
          </cell>
          <cell r="D11" t="str">
            <v>RESIDENTIAL</v>
          </cell>
          <cell r="E11" t="b">
            <v>0</v>
          </cell>
          <cell r="F11" t="b">
            <v>0</v>
          </cell>
          <cell r="G11" t="str">
            <v>CARBONADO</v>
          </cell>
          <cell r="H11">
            <v>501</v>
          </cell>
          <cell r="I11" t="str">
            <v>10RW1R</v>
          </cell>
          <cell r="J11" t="str">
            <v>1-10 GAL CART WKLY W/ REC</v>
          </cell>
          <cell r="K11">
            <v>14.38</v>
          </cell>
          <cell r="L11">
            <v>7.19</v>
          </cell>
        </row>
        <row r="12">
          <cell r="A12" t="str">
            <v>MILTONRESIDENTIAL10RW1R</v>
          </cell>
          <cell r="B12" t="str">
            <v>BI-MONTHLY ADVANCED ODD</v>
          </cell>
          <cell r="C12" t="str">
            <v>2111</v>
          </cell>
          <cell r="D12" t="str">
            <v>RESIDENTIAL</v>
          </cell>
          <cell r="E12" t="b">
            <v>0</v>
          </cell>
          <cell r="F12" t="b">
            <v>0</v>
          </cell>
          <cell r="G12" t="str">
            <v>MILTON</v>
          </cell>
          <cell r="H12">
            <v>501</v>
          </cell>
          <cell r="I12" t="str">
            <v>10RW1R</v>
          </cell>
          <cell r="J12" t="str">
            <v>1-10 GAL CART WKLY W/ REC</v>
          </cell>
          <cell r="K12">
            <v>22.22</v>
          </cell>
          <cell r="L12">
            <v>11.11</v>
          </cell>
        </row>
        <row r="13">
          <cell r="A13" t="str">
            <v>ORTINGRESIDENTIAL10RW1R</v>
          </cell>
          <cell r="B13" t="str">
            <v>BI-MONTHLY ADVANCED ODD</v>
          </cell>
          <cell r="C13" t="str">
            <v>2111</v>
          </cell>
          <cell r="D13" t="str">
            <v>RESIDENTIAL</v>
          </cell>
          <cell r="E13" t="b">
            <v>0</v>
          </cell>
          <cell r="F13" t="b">
            <v>0</v>
          </cell>
          <cell r="G13" t="str">
            <v>ORTING</v>
          </cell>
          <cell r="H13">
            <v>501</v>
          </cell>
          <cell r="I13" t="str">
            <v>10RW1R</v>
          </cell>
          <cell r="J13" t="str">
            <v>1-10 GAL CART WKLY W/ REC</v>
          </cell>
          <cell r="K13">
            <v>30.16</v>
          </cell>
          <cell r="L13">
            <v>15.08</v>
          </cell>
        </row>
        <row r="14">
          <cell r="A14" t="str">
            <v>PUYALLUPRESIDENTIAL10RW1R</v>
          </cell>
          <cell r="B14" t="str">
            <v>BI-MONTHLY ADVANCED ODD</v>
          </cell>
          <cell r="C14" t="str">
            <v>2111</v>
          </cell>
          <cell r="D14" t="str">
            <v>RESIDENTIAL</v>
          </cell>
          <cell r="E14" t="b">
            <v>0</v>
          </cell>
          <cell r="F14" t="b">
            <v>0</v>
          </cell>
          <cell r="G14" t="str">
            <v>PUYALLUP</v>
          </cell>
          <cell r="H14">
            <v>501</v>
          </cell>
          <cell r="I14" t="str">
            <v>10RW1R</v>
          </cell>
          <cell r="J14" t="str">
            <v>1-10 GAL CART WKLY W/ REC</v>
          </cell>
          <cell r="K14">
            <v>27.54</v>
          </cell>
          <cell r="L14">
            <v>13.77</v>
          </cell>
        </row>
        <row r="15">
          <cell r="A15" t="str">
            <v>SUMNERRESIDENTIAL10RW1R</v>
          </cell>
          <cell r="B15" t="str">
            <v>BI-MONTHLY ADVANCED ODD</v>
          </cell>
          <cell r="C15" t="str">
            <v>2111</v>
          </cell>
          <cell r="D15" t="str">
            <v>RESIDENTIAL</v>
          </cell>
          <cell r="E15" t="b">
            <v>0</v>
          </cell>
          <cell r="F15" t="b">
            <v>0</v>
          </cell>
          <cell r="G15" t="str">
            <v>SUMNER</v>
          </cell>
          <cell r="H15">
            <v>501</v>
          </cell>
          <cell r="I15" t="str">
            <v>10RW1R</v>
          </cell>
          <cell r="J15" t="str">
            <v>1-10 GAL CART WKLY W/ REC</v>
          </cell>
          <cell r="K15">
            <v>36.36</v>
          </cell>
          <cell r="L15">
            <v>18.18</v>
          </cell>
        </row>
        <row r="16">
          <cell r="A16" t="str">
            <v>M-EDGEWOODCOMMERCIAL20CW1</v>
          </cell>
          <cell r="B16" t="str">
            <v>MONTHLY ARREARS</v>
          </cell>
          <cell r="C16" t="str">
            <v>2111</v>
          </cell>
          <cell r="D16" t="str">
            <v>COMMERCIAL</v>
          </cell>
          <cell r="E16" t="b">
            <v>0</v>
          </cell>
          <cell r="F16" t="b">
            <v>0</v>
          </cell>
          <cell r="G16" t="str">
            <v>M-EDGEWOOD</v>
          </cell>
          <cell r="H16">
            <v>3547</v>
          </cell>
          <cell r="I16" t="str">
            <v>20CW1</v>
          </cell>
          <cell r="J16" t="str">
            <v>1-20 GAL CART WKLY</v>
          </cell>
          <cell r="K16">
            <v>17.2</v>
          </cell>
          <cell r="L16">
            <v>17.2</v>
          </cell>
        </row>
        <row r="17">
          <cell r="A17" t="str">
            <v>M-FIFECOMMERCIAL20CW1</v>
          </cell>
          <cell r="B17" t="str">
            <v>MONTHLY ARREARS</v>
          </cell>
          <cell r="C17" t="str">
            <v>2111</v>
          </cell>
          <cell r="D17" t="str">
            <v>COMMERCIAL</v>
          </cell>
          <cell r="E17" t="b">
            <v>0</v>
          </cell>
          <cell r="F17" t="b">
            <v>0</v>
          </cell>
          <cell r="G17" t="str">
            <v>M-FIFE</v>
          </cell>
          <cell r="H17">
            <v>3547</v>
          </cell>
          <cell r="I17" t="str">
            <v>20CW1</v>
          </cell>
          <cell r="J17" t="str">
            <v>1-20 GAL CART WKLY</v>
          </cell>
          <cell r="K17">
            <v>17.2</v>
          </cell>
          <cell r="L17">
            <v>17.2</v>
          </cell>
        </row>
        <row r="18">
          <cell r="A18" t="str">
            <v>MURREYSCOMMERCIAL20CW1</v>
          </cell>
          <cell r="B18" t="str">
            <v>MONTHLY ARREARS</v>
          </cell>
          <cell r="C18" t="str">
            <v>2111</v>
          </cell>
          <cell r="D18" t="str">
            <v>COMMERCIAL</v>
          </cell>
          <cell r="E18" t="b">
            <v>0</v>
          </cell>
          <cell r="F18" t="b">
            <v>0</v>
          </cell>
          <cell r="G18" t="str">
            <v>MURREYS</v>
          </cell>
          <cell r="H18">
            <v>3547</v>
          </cell>
          <cell r="I18" t="str">
            <v>20CW1</v>
          </cell>
          <cell r="J18" t="str">
            <v>1-20 GAL CART WKLY</v>
          </cell>
          <cell r="K18">
            <v>17.2</v>
          </cell>
          <cell r="L18">
            <v>17.2</v>
          </cell>
        </row>
        <row r="19">
          <cell r="A19" t="str">
            <v>SUMNERCOMMERCIAL20CW1</v>
          </cell>
          <cell r="B19" t="str">
            <v>MONTHLY ARREARS</v>
          </cell>
          <cell r="C19" t="str">
            <v>2111</v>
          </cell>
          <cell r="D19" t="str">
            <v>COMMERCIAL</v>
          </cell>
          <cell r="E19" t="b">
            <v>0</v>
          </cell>
          <cell r="F19" t="b">
            <v>0</v>
          </cell>
          <cell r="G19" t="str">
            <v>SUMNER</v>
          </cell>
          <cell r="H19">
            <v>3547</v>
          </cell>
          <cell r="I19" t="str">
            <v>20CW1</v>
          </cell>
          <cell r="J19" t="str">
            <v>1-20 GAL CART WKLY</v>
          </cell>
          <cell r="K19">
            <v>24.84</v>
          </cell>
          <cell r="L19">
            <v>24.84</v>
          </cell>
        </row>
        <row r="20">
          <cell r="A20" t="str">
            <v>M-EDGEWOODMULTI-FAMILY20MOCPU</v>
          </cell>
          <cell r="B20" t="str">
            <v>ONCALL</v>
          </cell>
          <cell r="C20" t="str">
            <v>2111</v>
          </cell>
          <cell r="D20" t="str">
            <v>MULTI-FAMILY</v>
          </cell>
          <cell r="E20" t="b">
            <v>1</v>
          </cell>
          <cell r="F20" t="b">
            <v>0</v>
          </cell>
          <cell r="G20" t="str">
            <v>M-EDGEWOOD</v>
          </cell>
          <cell r="H20">
            <v>3532</v>
          </cell>
          <cell r="I20" t="str">
            <v>20MOCPU</v>
          </cell>
          <cell r="J20" t="str">
            <v>MF 1-20 GAL CART ON CALL</v>
          </cell>
          <cell r="K20">
            <v>15.91</v>
          </cell>
          <cell r="L20">
            <v>15.91</v>
          </cell>
        </row>
        <row r="21">
          <cell r="A21" t="str">
            <v>M-FIFEMULTI-FAMILY20MOCPU</v>
          </cell>
          <cell r="B21" t="str">
            <v>ONCALL</v>
          </cell>
          <cell r="C21" t="str">
            <v>2111</v>
          </cell>
          <cell r="D21" t="str">
            <v>MULTI-FAMILY</v>
          </cell>
          <cell r="E21" t="b">
            <v>1</v>
          </cell>
          <cell r="F21" t="b">
            <v>0</v>
          </cell>
          <cell r="G21" t="str">
            <v>M-FIFE</v>
          </cell>
          <cell r="H21">
            <v>3532</v>
          </cell>
          <cell r="I21" t="str">
            <v>20MOCPU</v>
          </cell>
          <cell r="J21" t="str">
            <v>MF 1-20 GAL CART ON CALL</v>
          </cell>
          <cell r="K21">
            <v>15.91</v>
          </cell>
          <cell r="L21">
            <v>15.91</v>
          </cell>
        </row>
        <row r="22">
          <cell r="A22" t="str">
            <v>MURREYSMULTI-FAMILY20MOCPU</v>
          </cell>
          <cell r="B22" t="str">
            <v>ONCALL</v>
          </cell>
          <cell r="C22" t="str">
            <v>2111</v>
          </cell>
          <cell r="D22" t="str">
            <v>MULTI-FAMILY</v>
          </cell>
          <cell r="E22" t="b">
            <v>1</v>
          </cell>
          <cell r="F22" t="b">
            <v>0</v>
          </cell>
          <cell r="G22" t="str">
            <v>MURREYS</v>
          </cell>
          <cell r="H22">
            <v>3532</v>
          </cell>
          <cell r="I22" t="str">
            <v>20MOCPU</v>
          </cell>
          <cell r="J22" t="str">
            <v>MF 1-20 GAL CART ON CALL</v>
          </cell>
          <cell r="K22">
            <v>15.91</v>
          </cell>
          <cell r="L22">
            <v>15.91</v>
          </cell>
        </row>
        <row r="23">
          <cell r="A23" t="str">
            <v>M-EDGEWOODMULTI-FAMILY20MW1</v>
          </cell>
          <cell r="B23" t="str">
            <v>MONTHLY ARREARS</v>
          </cell>
          <cell r="C23" t="str">
            <v>2111</v>
          </cell>
          <cell r="D23" t="str">
            <v>MULTI-FAMILY</v>
          </cell>
          <cell r="E23" t="b">
            <v>0</v>
          </cell>
          <cell r="F23" t="b">
            <v>0</v>
          </cell>
          <cell r="G23" t="str">
            <v>M-EDGEWOOD</v>
          </cell>
          <cell r="H23">
            <v>3525</v>
          </cell>
          <cell r="I23" t="str">
            <v>20MW1</v>
          </cell>
          <cell r="J23" t="str">
            <v>MF 1-20 GAL CART</v>
          </cell>
          <cell r="K23">
            <v>18.16</v>
          </cell>
          <cell r="L23">
            <v>18.16</v>
          </cell>
        </row>
        <row r="24">
          <cell r="A24" t="str">
            <v>M-FIFEMULTI-FAMILY20MW1</v>
          </cell>
          <cell r="B24" t="str">
            <v>MONTHLY ARREARS</v>
          </cell>
          <cell r="C24" t="str">
            <v>2111</v>
          </cell>
          <cell r="D24" t="str">
            <v>MULTI-FAMILY</v>
          </cell>
          <cell r="E24" t="b">
            <v>0</v>
          </cell>
          <cell r="F24" t="b">
            <v>0</v>
          </cell>
          <cell r="G24" t="str">
            <v>M-FIFE</v>
          </cell>
          <cell r="H24">
            <v>3525</v>
          </cell>
          <cell r="I24" t="str">
            <v>20MW1</v>
          </cell>
          <cell r="J24" t="str">
            <v>MF 1-20 GAL CART</v>
          </cell>
          <cell r="K24">
            <v>18.16</v>
          </cell>
          <cell r="L24">
            <v>18.16</v>
          </cell>
        </row>
        <row r="25">
          <cell r="A25" t="str">
            <v>MURREYSMULTI-FAMILY20MW1</v>
          </cell>
          <cell r="B25" t="str">
            <v>MONTHLY ARREARS</v>
          </cell>
          <cell r="C25" t="str">
            <v>2111</v>
          </cell>
          <cell r="D25" t="str">
            <v>MULTI-FAMILY</v>
          </cell>
          <cell r="E25" t="b">
            <v>0</v>
          </cell>
          <cell r="F25" t="b">
            <v>0</v>
          </cell>
          <cell r="G25" t="str">
            <v>MURREYS</v>
          </cell>
          <cell r="H25">
            <v>3525</v>
          </cell>
          <cell r="I25" t="str">
            <v>20MW1</v>
          </cell>
          <cell r="J25" t="str">
            <v>MF 1-20 GAL CART</v>
          </cell>
          <cell r="K25">
            <v>18.16</v>
          </cell>
          <cell r="L25">
            <v>18.16</v>
          </cell>
        </row>
        <row r="26">
          <cell r="A26" t="str">
            <v>M-EDGEWOODMULTI-FAMILY20MW1N</v>
          </cell>
          <cell r="B26" t="str">
            <v>MONTHLY ARREARS</v>
          </cell>
          <cell r="C26" t="str">
            <v>2111</v>
          </cell>
          <cell r="D26" t="str">
            <v>MULTI-FAMILY</v>
          </cell>
          <cell r="E26" t="b">
            <v>0</v>
          </cell>
          <cell r="F26" t="b">
            <v>0</v>
          </cell>
          <cell r="G26" t="str">
            <v>M-EDGEWOOD</v>
          </cell>
          <cell r="H26">
            <v>3524</v>
          </cell>
          <cell r="I26" t="str">
            <v>20MW1N</v>
          </cell>
          <cell r="J26" t="str">
            <v>MF 1-20 GAL CART NONREC</v>
          </cell>
          <cell r="K26">
            <v>18.91</v>
          </cell>
          <cell r="L26">
            <v>18.91</v>
          </cell>
        </row>
        <row r="27">
          <cell r="A27" t="str">
            <v>M-FIFEMULTI-FAMILY20MW1N</v>
          </cell>
          <cell r="B27" t="str">
            <v>MONTHLY ARREARS</v>
          </cell>
          <cell r="C27" t="str">
            <v>2111</v>
          </cell>
          <cell r="D27" t="str">
            <v>MULTI-FAMILY</v>
          </cell>
          <cell r="E27" t="b">
            <v>0</v>
          </cell>
          <cell r="F27" t="b">
            <v>0</v>
          </cell>
          <cell r="G27" t="str">
            <v>M-FIFE</v>
          </cell>
          <cell r="H27">
            <v>3524</v>
          </cell>
          <cell r="I27" t="str">
            <v>20MW1N</v>
          </cell>
          <cell r="J27" t="str">
            <v>MF 1-20 GAL CART NONREC</v>
          </cell>
          <cell r="K27">
            <v>18.91</v>
          </cell>
          <cell r="L27">
            <v>18.91</v>
          </cell>
        </row>
        <row r="28">
          <cell r="A28" t="str">
            <v>MURREYSMULTI-FAMILY20MW1N</v>
          </cell>
          <cell r="B28" t="str">
            <v>MONTHLY ARREARS</v>
          </cell>
          <cell r="C28" t="str">
            <v>2111</v>
          </cell>
          <cell r="D28" t="str">
            <v>MULTI-FAMILY</v>
          </cell>
          <cell r="E28" t="b">
            <v>0</v>
          </cell>
          <cell r="F28" t="b">
            <v>0</v>
          </cell>
          <cell r="G28" t="str">
            <v>MURREYS</v>
          </cell>
          <cell r="H28">
            <v>3524</v>
          </cell>
          <cell r="I28" t="str">
            <v>20MW1N</v>
          </cell>
          <cell r="J28" t="str">
            <v>MF 1-20 GAL CART NONREC</v>
          </cell>
          <cell r="K28">
            <v>18.91</v>
          </cell>
          <cell r="L28">
            <v>18.91</v>
          </cell>
        </row>
        <row r="29">
          <cell r="A29" t="str">
            <v>M-EDGEWOODRESIDENTIAL20RM1</v>
          </cell>
          <cell r="B29" t="str">
            <v>BI-MONTHLY SPLIT ODD</v>
          </cell>
          <cell r="C29" t="str">
            <v>2111</v>
          </cell>
          <cell r="D29" t="str">
            <v>RESIDENTIAL</v>
          </cell>
          <cell r="E29" t="b">
            <v>0</v>
          </cell>
          <cell r="F29" t="b">
            <v>0</v>
          </cell>
          <cell r="G29" t="str">
            <v>M-EDGEWOOD</v>
          </cell>
          <cell r="H29">
            <v>3549</v>
          </cell>
          <cell r="I29" t="str">
            <v>20RM1</v>
          </cell>
          <cell r="J29" t="str">
            <v>1-20 GAL CART MONTHLY</v>
          </cell>
          <cell r="K29">
            <v>20.22</v>
          </cell>
          <cell r="L29">
            <v>10.11</v>
          </cell>
        </row>
        <row r="30">
          <cell r="A30" t="str">
            <v>M-FIFERESIDENTIAL20RM1</v>
          </cell>
          <cell r="B30" t="str">
            <v>BI-MONTHLY SPLIT ODD</v>
          </cell>
          <cell r="C30" t="str">
            <v>2111</v>
          </cell>
          <cell r="D30" t="str">
            <v>RESIDENTIAL</v>
          </cell>
          <cell r="E30" t="b">
            <v>0</v>
          </cell>
          <cell r="F30" t="b">
            <v>0</v>
          </cell>
          <cell r="G30" t="str">
            <v>M-FIFE</v>
          </cell>
          <cell r="H30">
            <v>3549</v>
          </cell>
          <cell r="I30" t="str">
            <v>20RM1</v>
          </cell>
          <cell r="J30" t="str">
            <v>1-20 GAL CART MONTHLY</v>
          </cell>
          <cell r="K30">
            <v>20.22</v>
          </cell>
          <cell r="L30">
            <v>10.11</v>
          </cell>
        </row>
        <row r="31">
          <cell r="A31" t="str">
            <v>MURREYSRESIDENTIAL20RM1</v>
          </cell>
          <cell r="B31" t="str">
            <v>BI-MONTHLY SPLIT ODD</v>
          </cell>
          <cell r="C31" t="str">
            <v>2111</v>
          </cell>
          <cell r="D31" t="str">
            <v>RESIDENTIAL</v>
          </cell>
          <cell r="E31" t="b">
            <v>0</v>
          </cell>
          <cell r="F31" t="b">
            <v>0</v>
          </cell>
          <cell r="G31" t="str">
            <v>MURREYS</v>
          </cell>
          <cell r="H31">
            <v>3549</v>
          </cell>
          <cell r="I31" t="str">
            <v>20RM1</v>
          </cell>
          <cell r="J31" t="str">
            <v>1-20 GAL CART MONTHLY</v>
          </cell>
          <cell r="K31">
            <v>20.22</v>
          </cell>
          <cell r="L31">
            <v>10.11</v>
          </cell>
        </row>
        <row r="32">
          <cell r="A32" t="str">
            <v>M-EDGEWOODRESIDENTIAL20ROCPU</v>
          </cell>
          <cell r="B32" t="str">
            <v>ONCALL</v>
          </cell>
          <cell r="C32" t="str">
            <v>2111</v>
          </cell>
          <cell r="D32" t="str">
            <v>RESIDENTIAL</v>
          </cell>
          <cell r="E32" t="b">
            <v>1</v>
          </cell>
          <cell r="F32" t="b">
            <v>0</v>
          </cell>
          <cell r="G32" t="str">
            <v>M-EDGEWOOD</v>
          </cell>
          <cell r="H32">
            <v>3554</v>
          </cell>
          <cell r="I32" t="str">
            <v>20ROCPU</v>
          </cell>
          <cell r="J32" t="str">
            <v>1-20 GAL CART ON CALL</v>
          </cell>
          <cell r="K32">
            <v>11.28</v>
          </cell>
          <cell r="L32">
            <v>11.28</v>
          </cell>
        </row>
        <row r="33">
          <cell r="A33" t="str">
            <v>M-FIFERESIDENTIAL20ROCPU</v>
          </cell>
          <cell r="B33" t="str">
            <v>ONCALL</v>
          </cell>
          <cell r="C33" t="str">
            <v>2111</v>
          </cell>
          <cell r="D33" t="str">
            <v>RESIDENTIAL</v>
          </cell>
          <cell r="E33" t="b">
            <v>1</v>
          </cell>
          <cell r="F33" t="b">
            <v>0</v>
          </cell>
          <cell r="G33" t="str">
            <v>M-FIFE</v>
          </cell>
          <cell r="H33">
            <v>3554</v>
          </cell>
          <cell r="I33" t="str">
            <v>20ROCPU</v>
          </cell>
          <cell r="J33" t="str">
            <v>1-20 GAL CART ON CALL</v>
          </cell>
          <cell r="K33">
            <v>11.28</v>
          </cell>
          <cell r="L33">
            <v>11.28</v>
          </cell>
        </row>
        <row r="34">
          <cell r="A34" t="str">
            <v>MURREYSRESIDENTIAL20ROCPU</v>
          </cell>
          <cell r="B34" t="str">
            <v>ONCALL</v>
          </cell>
          <cell r="C34" t="str">
            <v>2111</v>
          </cell>
          <cell r="D34" t="str">
            <v>RESIDENTIAL</v>
          </cell>
          <cell r="E34" t="b">
            <v>1</v>
          </cell>
          <cell r="F34" t="b">
            <v>0</v>
          </cell>
          <cell r="G34" t="str">
            <v>MURREYS</v>
          </cell>
          <cell r="H34">
            <v>3554</v>
          </cell>
          <cell r="I34" t="str">
            <v>20ROCPU</v>
          </cell>
          <cell r="J34" t="str">
            <v>1-20 GAL CART ON CALL</v>
          </cell>
          <cell r="K34">
            <v>11.28</v>
          </cell>
          <cell r="L34">
            <v>11.28</v>
          </cell>
        </row>
        <row r="35">
          <cell r="A35" t="str">
            <v>VASHONRESIDENTIAL20RW1</v>
          </cell>
          <cell r="B35" t="str">
            <v>BI-MONTHLY SPLIT ODD</v>
          </cell>
          <cell r="C35" t="str">
            <v>2111</v>
          </cell>
          <cell r="D35" t="str">
            <v>RESIDENTIAL</v>
          </cell>
          <cell r="E35" t="b">
            <v>0</v>
          </cell>
          <cell r="F35" t="b">
            <v>0</v>
          </cell>
          <cell r="G35" t="str">
            <v>VASHON</v>
          </cell>
          <cell r="H35">
            <v>2114</v>
          </cell>
          <cell r="I35" t="str">
            <v>20RW1</v>
          </cell>
          <cell r="J35" t="str">
            <v>1-20 GAL CAN WEEKLY</v>
          </cell>
          <cell r="K35">
            <v>27.6</v>
          </cell>
          <cell r="L35">
            <v>13.8</v>
          </cell>
        </row>
        <row r="36">
          <cell r="A36" t="str">
            <v>BONNEY LAKERESIDENTIAL20RW1N</v>
          </cell>
          <cell r="B36" t="str">
            <v>BI-MONTHLY SPLIT ODD</v>
          </cell>
          <cell r="C36" t="str">
            <v>2111</v>
          </cell>
          <cell r="D36" t="str">
            <v>RESIDENTIAL</v>
          </cell>
          <cell r="E36" t="b">
            <v>0</v>
          </cell>
          <cell r="F36" t="b">
            <v>0</v>
          </cell>
          <cell r="G36" t="str">
            <v>BONNEY LAKE</v>
          </cell>
          <cell r="H36">
            <v>509</v>
          </cell>
          <cell r="I36" t="str">
            <v>20RW1N</v>
          </cell>
          <cell r="J36" t="str">
            <v>1-20 GL CART WKLY NON REC</v>
          </cell>
          <cell r="K36">
            <v>49.58</v>
          </cell>
          <cell r="L36">
            <v>24.79</v>
          </cell>
        </row>
        <row r="37">
          <cell r="A37" t="str">
            <v>BUCKLEYRESIDENTIAL20RW1N</v>
          </cell>
          <cell r="B37" t="str">
            <v>BI-MONTHLY SPLIT ODD</v>
          </cell>
          <cell r="C37" t="str">
            <v>2111</v>
          </cell>
          <cell r="D37" t="str">
            <v>RESIDENTIAL</v>
          </cell>
          <cell r="E37" t="b">
            <v>0</v>
          </cell>
          <cell r="F37" t="b">
            <v>0</v>
          </cell>
          <cell r="G37" t="str">
            <v>BUCKLEY</v>
          </cell>
          <cell r="H37">
            <v>509</v>
          </cell>
          <cell r="I37" t="str">
            <v>20RW1N</v>
          </cell>
          <cell r="J37" t="str">
            <v>1-20 GL CART WKLY NON REC</v>
          </cell>
          <cell r="K37">
            <v>49.22</v>
          </cell>
          <cell r="L37">
            <v>24.61</v>
          </cell>
        </row>
        <row r="38">
          <cell r="A38" t="str">
            <v>CARBONADORESIDENTIAL20RW1N</v>
          </cell>
          <cell r="B38" t="str">
            <v>BI-MONTHLY SPLIT ODD</v>
          </cell>
          <cell r="C38" t="str">
            <v>2111</v>
          </cell>
          <cell r="D38" t="str">
            <v>RESIDENTIAL</v>
          </cell>
          <cell r="E38" t="b">
            <v>0</v>
          </cell>
          <cell r="F38" t="b">
            <v>0</v>
          </cell>
          <cell r="G38" t="str">
            <v>CARBONADO</v>
          </cell>
          <cell r="H38">
            <v>509</v>
          </cell>
          <cell r="I38" t="str">
            <v>20RW1N</v>
          </cell>
          <cell r="J38" t="str">
            <v>1-20 GL CART WKLY NON REC</v>
          </cell>
          <cell r="K38">
            <v>19.88</v>
          </cell>
          <cell r="L38">
            <v>9.94</v>
          </cell>
        </row>
        <row r="39">
          <cell r="A39" t="str">
            <v>M-EDGEWOODRESIDENTIAL20RW1N</v>
          </cell>
          <cell r="B39" t="str">
            <v>BI-MONTHLY SPLIT ODD</v>
          </cell>
          <cell r="C39" t="str">
            <v>2111</v>
          </cell>
          <cell r="D39" t="str">
            <v>RESIDENTIAL</v>
          </cell>
          <cell r="E39" t="b">
            <v>0</v>
          </cell>
          <cell r="F39" t="b">
            <v>0</v>
          </cell>
          <cell r="G39" t="str">
            <v>M-EDGEWOOD</v>
          </cell>
          <cell r="H39">
            <v>509</v>
          </cell>
          <cell r="I39" t="str">
            <v>20RW1N</v>
          </cell>
          <cell r="J39" t="str">
            <v>1-20 GL CART WKLY NON REC</v>
          </cell>
          <cell r="K39">
            <v>35.520000000000003</v>
          </cell>
          <cell r="L39">
            <v>17.760000000000002</v>
          </cell>
        </row>
        <row r="40">
          <cell r="A40" t="str">
            <v>M-FIFERESIDENTIAL20RW1N</v>
          </cell>
          <cell r="B40" t="str">
            <v>BI-MONTHLY SPLIT ODD</v>
          </cell>
          <cell r="C40" t="str">
            <v>2111</v>
          </cell>
          <cell r="D40" t="str">
            <v>RESIDENTIAL</v>
          </cell>
          <cell r="E40" t="b">
            <v>0</v>
          </cell>
          <cell r="F40" t="b">
            <v>0</v>
          </cell>
          <cell r="G40" t="str">
            <v>M-FIFE</v>
          </cell>
          <cell r="H40">
            <v>509</v>
          </cell>
          <cell r="I40" t="str">
            <v>20RW1N</v>
          </cell>
          <cell r="J40" t="str">
            <v>1-20 GL CART WKLY NON REC</v>
          </cell>
          <cell r="K40">
            <v>35.520000000000003</v>
          </cell>
          <cell r="L40">
            <v>17.760000000000002</v>
          </cell>
        </row>
        <row r="41">
          <cell r="A41" t="str">
            <v>MILTONRESIDENTIAL20RW1N</v>
          </cell>
          <cell r="B41" t="str">
            <v>BI-MONTHLY SPLIT ODD</v>
          </cell>
          <cell r="C41" t="str">
            <v>2111</v>
          </cell>
          <cell r="D41" t="str">
            <v>RESIDENTIAL</v>
          </cell>
          <cell r="E41" t="b">
            <v>0</v>
          </cell>
          <cell r="F41" t="b">
            <v>0</v>
          </cell>
          <cell r="G41" t="str">
            <v>MILTON</v>
          </cell>
          <cell r="H41">
            <v>509</v>
          </cell>
          <cell r="I41" t="str">
            <v>20RW1N</v>
          </cell>
          <cell r="J41" t="str">
            <v>1-20 GL CART WKLY NON REC</v>
          </cell>
          <cell r="K41">
            <v>43.24</v>
          </cell>
          <cell r="L41">
            <v>21.62</v>
          </cell>
        </row>
        <row r="42">
          <cell r="A42" t="str">
            <v>MURREYSRESIDENTIAL20RW1N</v>
          </cell>
          <cell r="B42" t="str">
            <v>BI-MONTHLY SPLIT ODD</v>
          </cell>
          <cell r="C42" t="str">
            <v>2111</v>
          </cell>
          <cell r="D42" t="str">
            <v>RESIDENTIAL</v>
          </cell>
          <cell r="E42" t="b">
            <v>0</v>
          </cell>
          <cell r="F42" t="b">
            <v>0</v>
          </cell>
          <cell r="G42" t="str">
            <v>MURREYS</v>
          </cell>
          <cell r="H42">
            <v>509</v>
          </cell>
          <cell r="I42" t="str">
            <v>20RW1N</v>
          </cell>
          <cell r="J42" t="str">
            <v>1-20 GL CART WKLY NON REC</v>
          </cell>
          <cell r="K42">
            <v>35.520000000000003</v>
          </cell>
          <cell r="L42">
            <v>17.760000000000002</v>
          </cell>
        </row>
        <row r="43">
          <cell r="A43" t="str">
            <v>ORTINGRESIDENTIAL20RW1N</v>
          </cell>
          <cell r="B43" t="str">
            <v>BI-MONTHLY SPLIT ODD</v>
          </cell>
          <cell r="C43" t="str">
            <v>2111</v>
          </cell>
          <cell r="D43" t="str">
            <v>RESIDENTIAL</v>
          </cell>
          <cell r="E43" t="b">
            <v>0</v>
          </cell>
          <cell r="F43" t="b">
            <v>0</v>
          </cell>
          <cell r="G43" t="str">
            <v>ORTING</v>
          </cell>
          <cell r="H43">
            <v>509</v>
          </cell>
          <cell r="I43" t="str">
            <v>20RW1N</v>
          </cell>
          <cell r="J43" t="str">
            <v>1-20 GL CART WKLY NON REC</v>
          </cell>
          <cell r="K43">
            <v>41.02</v>
          </cell>
          <cell r="L43">
            <v>20.51</v>
          </cell>
        </row>
        <row r="44">
          <cell r="A44" t="str">
            <v>PUYALLUPRESIDENTIAL20RW1N</v>
          </cell>
          <cell r="B44" t="str">
            <v>BI-MONTHLY SPLIT ODD</v>
          </cell>
          <cell r="C44" t="str">
            <v>2111</v>
          </cell>
          <cell r="D44" t="str">
            <v>RESIDENTIAL</v>
          </cell>
          <cell r="E44" t="b">
            <v>0</v>
          </cell>
          <cell r="F44" t="b">
            <v>0</v>
          </cell>
          <cell r="G44" t="str">
            <v>PUYALLUP</v>
          </cell>
          <cell r="H44">
            <v>509</v>
          </cell>
          <cell r="I44" t="str">
            <v>20RW1N</v>
          </cell>
          <cell r="J44" t="str">
            <v>1-20 GL CART WKLY NON REC</v>
          </cell>
          <cell r="K44">
            <v>52.04</v>
          </cell>
          <cell r="L44">
            <v>26.02</v>
          </cell>
        </row>
        <row r="45">
          <cell r="A45" t="str">
            <v>RUSTONRESIDENTIAL20RW1N</v>
          </cell>
          <cell r="B45" t="str">
            <v>BI-MONTHLY SPLIT ODD</v>
          </cell>
          <cell r="C45" t="str">
            <v>2111</v>
          </cell>
          <cell r="D45" t="str">
            <v>RESIDENTIAL</v>
          </cell>
          <cell r="E45" t="b">
            <v>0</v>
          </cell>
          <cell r="F45" t="b">
            <v>0</v>
          </cell>
          <cell r="G45" t="str">
            <v>RUSTON</v>
          </cell>
          <cell r="H45">
            <v>509</v>
          </cell>
          <cell r="I45" t="str">
            <v>20RW1N</v>
          </cell>
          <cell r="J45" t="str">
            <v>1-20 GL CART WKLY NON REC</v>
          </cell>
          <cell r="K45">
            <v>61.56</v>
          </cell>
          <cell r="L45">
            <v>30.78</v>
          </cell>
        </row>
        <row r="46">
          <cell r="A46" t="str">
            <v>SOUTH PRAIRIERESIDENTIAL20RW1N</v>
          </cell>
          <cell r="B46" t="str">
            <v>BI-MONTHLY SPLIT ODD</v>
          </cell>
          <cell r="C46" t="str">
            <v>2111</v>
          </cell>
          <cell r="D46" t="str">
            <v>RESIDENTIAL</v>
          </cell>
          <cell r="E46" t="b">
            <v>0</v>
          </cell>
          <cell r="F46" t="b">
            <v>0</v>
          </cell>
          <cell r="G46" t="str">
            <v>SOUTH PRAIRIE</v>
          </cell>
          <cell r="H46">
            <v>509</v>
          </cell>
          <cell r="I46" t="str">
            <v>20RW1N</v>
          </cell>
          <cell r="J46" t="str">
            <v>1-20 GL CART WKLY NON REC</v>
          </cell>
          <cell r="K46">
            <v>52.22</v>
          </cell>
          <cell r="L46">
            <v>26.11</v>
          </cell>
        </row>
        <row r="47">
          <cell r="A47" t="str">
            <v>SUMNERRESIDENTIAL20RW1N</v>
          </cell>
          <cell r="B47" t="str">
            <v>BI-MONTHLY SPLIT ODD</v>
          </cell>
          <cell r="C47" t="str">
            <v>2111</v>
          </cell>
          <cell r="D47" t="str">
            <v>RESIDENTIAL</v>
          </cell>
          <cell r="E47" t="b">
            <v>0</v>
          </cell>
          <cell r="F47" t="b">
            <v>0</v>
          </cell>
          <cell r="G47" t="str">
            <v>SUMNER</v>
          </cell>
          <cell r="H47">
            <v>509</v>
          </cell>
          <cell r="I47" t="str">
            <v>20RW1N</v>
          </cell>
          <cell r="J47" t="str">
            <v>1-20 GL CART WKLY NON REC</v>
          </cell>
          <cell r="K47">
            <v>49.68</v>
          </cell>
          <cell r="L47">
            <v>24.84</v>
          </cell>
        </row>
        <row r="48">
          <cell r="A48" t="str">
            <v>BONNEY LAKERESIDENTIAL20RW1R</v>
          </cell>
          <cell r="B48" t="str">
            <v>BI-MONTHLY SPLIT ODD</v>
          </cell>
          <cell r="C48" t="str">
            <v>2111</v>
          </cell>
          <cell r="D48" t="str">
            <v>RESIDENTIAL</v>
          </cell>
          <cell r="E48" t="b">
            <v>0</v>
          </cell>
          <cell r="F48" t="b">
            <v>0</v>
          </cell>
          <cell r="G48" t="str">
            <v>BONNEY LAKE</v>
          </cell>
          <cell r="H48">
            <v>502</v>
          </cell>
          <cell r="I48" t="str">
            <v>20RW1R</v>
          </cell>
          <cell r="J48" t="str">
            <v>1-20 GL CART WKLY W/ RECY</v>
          </cell>
          <cell r="K48">
            <v>49.58</v>
          </cell>
          <cell r="L48">
            <v>24.79</v>
          </cell>
        </row>
        <row r="49">
          <cell r="A49" t="str">
            <v>BUCKLEYRESIDENTIAL20RW1R</v>
          </cell>
          <cell r="B49" t="str">
            <v>BI-MONTHLY SPLIT ODD</v>
          </cell>
          <cell r="C49" t="str">
            <v>2111</v>
          </cell>
          <cell r="D49" t="str">
            <v>RESIDENTIAL</v>
          </cell>
          <cell r="E49" t="b">
            <v>0</v>
          </cell>
          <cell r="F49" t="b">
            <v>0</v>
          </cell>
          <cell r="G49" t="str">
            <v>BUCKLEY</v>
          </cell>
          <cell r="H49">
            <v>502</v>
          </cell>
          <cell r="I49" t="str">
            <v>20RW1R</v>
          </cell>
          <cell r="J49" t="str">
            <v>1-20 GL CART WKLY W/ RECY</v>
          </cell>
          <cell r="K49">
            <v>49.22</v>
          </cell>
          <cell r="L49">
            <v>24.61</v>
          </cell>
        </row>
        <row r="50">
          <cell r="A50" t="str">
            <v>CARBONADORESIDENTIAL20RW1R</v>
          </cell>
          <cell r="B50" t="str">
            <v>BI-MONTHLY SPLIT ODD</v>
          </cell>
          <cell r="C50" t="str">
            <v>2111</v>
          </cell>
          <cell r="D50" t="str">
            <v>RESIDENTIAL</v>
          </cell>
          <cell r="E50" t="b">
            <v>0</v>
          </cell>
          <cell r="F50" t="b">
            <v>0</v>
          </cell>
          <cell r="G50" t="str">
            <v>CARBONADO</v>
          </cell>
          <cell r="H50">
            <v>502</v>
          </cell>
          <cell r="I50" t="str">
            <v>20RW1R</v>
          </cell>
          <cell r="J50" t="str">
            <v>1-20 GL CART WKLY W/ RECY</v>
          </cell>
          <cell r="K50">
            <v>19.88</v>
          </cell>
          <cell r="L50">
            <v>9.94</v>
          </cell>
        </row>
        <row r="51">
          <cell r="A51" t="str">
            <v>M-EDGEWOODRESIDENTIAL20RW1R</v>
          </cell>
          <cell r="B51" t="str">
            <v>BI-MONTHLY SPLIT ODD</v>
          </cell>
          <cell r="C51" t="str">
            <v>2111</v>
          </cell>
          <cell r="D51" t="str">
            <v>RESIDENTIAL</v>
          </cell>
          <cell r="E51" t="b">
            <v>0</v>
          </cell>
          <cell r="F51" t="b">
            <v>0</v>
          </cell>
          <cell r="G51" t="str">
            <v>M-EDGEWOOD</v>
          </cell>
          <cell r="H51">
            <v>502</v>
          </cell>
          <cell r="I51" t="str">
            <v>20RW1R</v>
          </cell>
          <cell r="J51" t="str">
            <v>1-20 GL CART WKLY W/ RECY</v>
          </cell>
          <cell r="K51">
            <v>33.520000000000003</v>
          </cell>
          <cell r="L51">
            <v>16.760000000000002</v>
          </cell>
        </row>
        <row r="52">
          <cell r="A52" t="str">
            <v>M-FIFERESIDENTIAL20RW1R</v>
          </cell>
          <cell r="B52" t="str">
            <v>BI-MONTHLY SPLIT ODD</v>
          </cell>
          <cell r="C52" t="str">
            <v>2111</v>
          </cell>
          <cell r="D52" t="str">
            <v>RESIDENTIAL</v>
          </cell>
          <cell r="E52" t="b">
            <v>0</v>
          </cell>
          <cell r="F52" t="b">
            <v>0</v>
          </cell>
          <cell r="G52" t="str">
            <v>M-FIFE</v>
          </cell>
          <cell r="H52">
            <v>502</v>
          </cell>
          <cell r="I52" t="str">
            <v>20RW1R</v>
          </cell>
          <cell r="J52" t="str">
            <v>1-20 GL CART WKLY W/ RECY</v>
          </cell>
          <cell r="K52">
            <v>33.520000000000003</v>
          </cell>
          <cell r="L52">
            <v>16.760000000000002</v>
          </cell>
        </row>
        <row r="53">
          <cell r="A53" t="str">
            <v>MILTONRESIDENTIAL20RW1R</v>
          </cell>
          <cell r="B53" t="str">
            <v>BI-MONTHLY SPLIT ODD</v>
          </cell>
          <cell r="C53" t="str">
            <v>2111</v>
          </cell>
          <cell r="D53" t="str">
            <v>RESIDENTIAL</v>
          </cell>
          <cell r="E53" t="b">
            <v>0</v>
          </cell>
          <cell r="F53" t="b">
            <v>0</v>
          </cell>
          <cell r="G53" t="str">
            <v>MILTON</v>
          </cell>
          <cell r="H53">
            <v>502</v>
          </cell>
          <cell r="I53" t="str">
            <v>20RW1R</v>
          </cell>
          <cell r="J53" t="str">
            <v>1-20 GL CART WKLY W/ RECY</v>
          </cell>
          <cell r="K53">
            <v>43.24</v>
          </cell>
          <cell r="L53">
            <v>21.62</v>
          </cell>
        </row>
        <row r="54">
          <cell r="A54" t="str">
            <v>MURREYSRESIDENTIAL20RW1R</v>
          </cell>
          <cell r="B54" t="str">
            <v>BI-MONTHLY SPLIT ODD</v>
          </cell>
          <cell r="C54" t="str">
            <v>2111</v>
          </cell>
          <cell r="D54" t="str">
            <v>RESIDENTIAL</v>
          </cell>
          <cell r="E54" t="b">
            <v>0</v>
          </cell>
          <cell r="F54" t="b">
            <v>0</v>
          </cell>
          <cell r="G54" t="str">
            <v>MURREYS</v>
          </cell>
          <cell r="H54">
            <v>502</v>
          </cell>
          <cell r="I54" t="str">
            <v>20RW1R</v>
          </cell>
          <cell r="J54" t="str">
            <v>1-20 GL CART WKLY W/ RECY</v>
          </cell>
          <cell r="K54">
            <v>33.520000000000003</v>
          </cell>
          <cell r="L54">
            <v>16.760000000000002</v>
          </cell>
        </row>
        <row r="55">
          <cell r="A55" t="str">
            <v>ORTINGRESIDENTIAL20RW1R</v>
          </cell>
          <cell r="B55" t="str">
            <v>BI-MONTHLY SPLIT ODD</v>
          </cell>
          <cell r="C55" t="str">
            <v>2111</v>
          </cell>
          <cell r="D55" t="str">
            <v>RESIDENTIAL</v>
          </cell>
          <cell r="E55" t="b">
            <v>0</v>
          </cell>
          <cell r="F55" t="b">
            <v>0</v>
          </cell>
          <cell r="G55" t="str">
            <v>ORTING</v>
          </cell>
          <cell r="H55">
            <v>502</v>
          </cell>
          <cell r="I55" t="str">
            <v>20RW1R</v>
          </cell>
          <cell r="J55" t="str">
            <v>1-20 GL CART WKLY W/ RECY</v>
          </cell>
          <cell r="K55">
            <v>41.02</v>
          </cell>
          <cell r="L55">
            <v>20.51</v>
          </cell>
        </row>
        <row r="56">
          <cell r="A56" t="str">
            <v>PUYALLUPRESIDENTIAL20RW1R</v>
          </cell>
          <cell r="B56" t="str">
            <v>BI-MONTHLY SPLIT ODD</v>
          </cell>
          <cell r="C56" t="str">
            <v>2111</v>
          </cell>
          <cell r="D56" t="str">
            <v>RESIDENTIAL</v>
          </cell>
          <cell r="E56" t="b">
            <v>0</v>
          </cell>
          <cell r="F56" t="b">
            <v>0</v>
          </cell>
          <cell r="G56" t="str">
            <v>PUYALLUP</v>
          </cell>
          <cell r="H56">
            <v>502</v>
          </cell>
          <cell r="I56" t="str">
            <v>20RW1R</v>
          </cell>
          <cell r="J56" t="str">
            <v>1-20 GL CART WKLY W/ RECY</v>
          </cell>
          <cell r="K56">
            <v>43.5</v>
          </cell>
          <cell r="L56">
            <v>21.75</v>
          </cell>
        </row>
        <row r="57">
          <cell r="A57" t="str">
            <v>RUSTONRESIDENTIAL20RW1R</v>
          </cell>
          <cell r="B57" t="str">
            <v>BI-MONTHLY SPLIT ODD</v>
          </cell>
          <cell r="C57" t="str">
            <v>2111</v>
          </cell>
          <cell r="D57" t="str">
            <v>RESIDENTIAL</v>
          </cell>
          <cell r="E57" t="b">
            <v>0</v>
          </cell>
          <cell r="F57" t="b">
            <v>0</v>
          </cell>
          <cell r="G57" t="str">
            <v>RUSTON</v>
          </cell>
          <cell r="H57">
            <v>502</v>
          </cell>
          <cell r="I57" t="str">
            <v>20RW1R</v>
          </cell>
          <cell r="J57" t="str">
            <v>1-20 GL CART WKLY W/ RECY</v>
          </cell>
          <cell r="K57">
            <v>61.56</v>
          </cell>
          <cell r="L57">
            <v>30.78</v>
          </cell>
        </row>
        <row r="58">
          <cell r="A58" t="str">
            <v>SOUTH PRAIRIERESIDENTIAL20RW1R</v>
          </cell>
          <cell r="B58" t="str">
            <v>BI-MONTHLY SPLIT ODD</v>
          </cell>
          <cell r="C58" t="str">
            <v>2111</v>
          </cell>
          <cell r="D58" t="str">
            <v>RESIDENTIAL</v>
          </cell>
          <cell r="E58" t="b">
            <v>0</v>
          </cell>
          <cell r="F58" t="b">
            <v>0</v>
          </cell>
          <cell r="G58" t="str">
            <v>SOUTH PRAIRIE</v>
          </cell>
          <cell r="H58">
            <v>502</v>
          </cell>
          <cell r="I58" t="str">
            <v>20RW1R</v>
          </cell>
          <cell r="J58" t="str">
            <v>1-20 GL CART WKLY W/ RECY</v>
          </cell>
          <cell r="K58">
            <v>52.22</v>
          </cell>
          <cell r="L58">
            <v>26.11</v>
          </cell>
        </row>
        <row r="59">
          <cell r="A59" t="str">
            <v>SUMNERRESIDENTIAL20RW1R</v>
          </cell>
          <cell r="B59" t="str">
            <v>BI-MONTHLY SPLIT ODD</v>
          </cell>
          <cell r="C59" t="str">
            <v>2111</v>
          </cell>
          <cell r="D59" t="str">
            <v>RESIDENTIAL</v>
          </cell>
          <cell r="E59" t="b">
            <v>0</v>
          </cell>
          <cell r="F59" t="b">
            <v>0</v>
          </cell>
          <cell r="G59" t="str">
            <v>SUMNER</v>
          </cell>
          <cell r="H59">
            <v>502</v>
          </cell>
          <cell r="I59" t="str">
            <v>20RW1R</v>
          </cell>
          <cell r="J59" t="str">
            <v>1-20 GL CART WKLY W/ RECY</v>
          </cell>
          <cell r="K59">
            <v>49.68</v>
          </cell>
          <cell r="L59">
            <v>24.84</v>
          </cell>
        </row>
        <row r="60">
          <cell r="A60" t="str">
            <v>DMRCOMMERCIAL RECYCLE2YDCOM1W</v>
          </cell>
          <cell r="B60" t="str">
            <v>MONTHLY ARREARS</v>
          </cell>
          <cell r="C60" t="str">
            <v>2111</v>
          </cell>
          <cell r="D60" t="str">
            <v>COMMERCIAL RECYCLE</v>
          </cell>
          <cell r="E60" t="b">
            <v>0</v>
          </cell>
          <cell r="F60" t="b">
            <v>0</v>
          </cell>
          <cell r="G60" t="str">
            <v>DMR</v>
          </cell>
          <cell r="H60">
            <v>3416</v>
          </cell>
          <cell r="I60" t="str">
            <v>2YDCOM1W</v>
          </cell>
          <cell r="J60" t="str">
            <v>2YDCOMMINGLED 1X WK</v>
          </cell>
          <cell r="K60">
            <v>139</v>
          </cell>
          <cell r="L60">
            <v>139</v>
          </cell>
        </row>
        <row r="61">
          <cell r="A61" t="str">
            <v>DMR-BCOMMERCIAL RECYCLE2YDCOM1W</v>
          </cell>
          <cell r="B61" t="str">
            <v>MONTHLY ARREARS</v>
          </cell>
          <cell r="C61" t="str">
            <v>2111</v>
          </cell>
          <cell r="D61" t="str">
            <v>COMMERCIAL RECYCLE</v>
          </cell>
          <cell r="E61" t="b">
            <v>0</v>
          </cell>
          <cell r="F61" t="b">
            <v>0</v>
          </cell>
          <cell r="G61" t="str">
            <v>DMR-B</v>
          </cell>
          <cell r="H61">
            <v>3416</v>
          </cell>
          <cell r="I61" t="str">
            <v>2YDCOM1W</v>
          </cell>
          <cell r="J61" t="str">
            <v>2YDCOMMINGLED 1X WK</v>
          </cell>
          <cell r="K61">
            <v>51.47</v>
          </cell>
          <cell r="L61">
            <v>51.47</v>
          </cell>
        </row>
        <row r="62">
          <cell r="A62" t="str">
            <v>DMR-BLCOMMERCIAL RECYCLE2YDCOM1W</v>
          </cell>
          <cell r="B62" t="str">
            <v>MONTHLY ARREARS</v>
          </cell>
          <cell r="C62" t="str">
            <v>2111</v>
          </cell>
          <cell r="D62" t="str">
            <v>COMMERCIAL RECYCLE</v>
          </cell>
          <cell r="E62" t="b">
            <v>0</v>
          </cell>
          <cell r="F62" t="b">
            <v>0</v>
          </cell>
          <cell r="G62" t="str">
            <v>DMR-BL</v>
          </cell>
          <cell r="H62">
            <v>3416</v>
          </cell>
          <cell r="I62" t="str">
            <v>2YDCOM1W</v>
          </cell>
          <cell r="J62" t="str">
            <v>2YDCOMMINGLED 1X WK</v>
          </cell>
          <cell r="K62">
            <v>98.7</v>
          </cell>
          <cell r="L62">
            <v>98.7</v>
          </cell>
        </row>
        <row r="63">
          <cell r="A63" t="str">
            <v>DMR-CPCOMMERCIAL RECYCLE2YDCOM1W</v>
          </cell>
          <cell r="B63" t="str">
            <v>MONTHLY ARREARS</v>
          </cell>
          <cell r="C63" t="str">
            <v>2111</v>
          </cell>
          <cell r="D63" t="str">
            <v>COMMERCIAL RECYCLE</v>
          </cell>
          <cell r="E63" t="b">
            <v>0</v>
          </cell>
          <cell r="F63" t="b">
            <v>0</v>
          </cell>
          <cell r="G63" t="str">
            <v>DMR-CP</v>
          </cell>
          <cell r="H63">
            <v>3416</v>
          </cell>
          <cell r="I63" t="str">
            <v>2YDCOM1W</v>
          </cell>
          <cell r="J63" t="str">
            <v>2YDCOMMINGLED 1X WK</v>
          </cell>
          <cell r="K63">
            <v>95.01</v>
          </cell>
          <cell r="L63">
            <v>95.01</v>
          </cell>
        </row>
        <row r="64">
          <cell r="A64" t="str">
            <v>DMR-MILCOMMERCIAL RECYCLE2YDCOM1W</v>
          </cell>
          <cell r="B64" t="str">
            <v>MONTHLY ARREARS</v>
          </cell>
          <cell r="C64" t="str">
            <v>2111</v>
          </cell>
          <cell r="D64" t="str">
            <v>COMMERCIAL RECYCLE</v>
          </cell>
          <cell r="E64" t="b">
            <v>0</v>
          </cell>
          <cell r="F64" t="b">
            <v>0</v>
          </cell>
          <cell r="G64" t="str">
            <v>DMR-MIL</v>
          </cell>
          <cell r="H64">
            <v>3416</v>
          </cell>
          <cell r="I64" t="str">
            <v>2YDCOM1W</v>
          </cell>
          <cell r="J64" t="str">
            <v>2YDCOMMINGLED 1X WK</v>
          </cell>
          <cell r="K64">
            <v>75.349999999999994</v>
          </cell>
          <cell r="L64">
            <v>75.349999999999994</v>
          </cell>
        </row>
        <row r="65">
          <cell r="A65" t="str">
            <v>DMRCOMMERCIAL RECYCLE2YDCOM2W</v>
          </cell>
          <cell r="B65" t="str">
            <v>MONTHLY ARREARS</v>
          </cell>
          <cell r="C65" t="str">
            <v>2111</v>
          </cell>
          <cell r="D65" t="str">
            <v>COMMERCIAL RECYCLE</v>
          </cell>
          <cell r="E65" t="b">
            <v>0</v>
          </cell>
          <cell r="F65" t="b">
            <v>0</v>
          </cell>
          <cell r="G65" t="str">
            <v>DMR</v>
          </cell>
          <cell r="H65">
            <v>3417</v>
          </cell>
          <cell r="I65" t="str">
            <v>2YDCOM2W</v>
          </cell>
          <cell r="J65" t="str">
            <v>2YDCOMMINGLED 2X WK</v>
          </cell>
          <cell r="K65">
            <v>216</v>
          </cell>
          <cell r="L65">
            <v>216</v>
          </cell>
        </row>
        <row r="66">
          <cell r="A66" t="str">
            <v>DMR-BLCOMMERCIAL RECYCLE2YDCOM2W</v>
          </cell>
          <cell r="B66" t="str">
            <v>MONTHLY ARREARS</v>
          </cell>
          <cell r="C66" t="str">
            <v>2111</v>
          </cell>
          <cell r="D66" t="str">
            <v>COMMERCIAL RECYCLE</v>
          </cell>
          <cell r="E66" t="b">
            <v>0</v>
          </cell>
          <cell r="F66" t="b">
            <v>0</v>
          </cell>
          <cell r="G66" t="str">
            <v>DMR-BL</v>
          </cell>
          <cell r="H66">
            <v>3417</v>
          </cell>
          <cell r="I66" t="str">
            <v>2YDCOM2W</v>
          </cell>
          <cell r="J66" t="str">
            <v>2YDCOMMINGLED 2X WK</v>
          </cell>
          <cell r="K66">
            <v>160.66</v>
          </cell>
          <cell r="L66">
            <v>160.66</v>
          </cell>
        </row>
        <row r="67">
          <cell r="A67" t="str">
            <v>DMR-CPCOMMERCIAL RECYCLE2YDCOM2W</v>
          </cell>
          <cell r="B67" t="str">
            <v>MONTHLY ARREARS</v>
          </cell>
          <cell r="C67" t="str">
            <v>2111</v>
          </cell>
          <cell r="D67" t="str">
            <v>COMMERCIAL RECYCLE</v>
          </cell>
          <cell r="E67" t="b">
            <v>0</v>
          </cell>
          <cell r="F67" t="b">
            <v>0</v>
          </cell>
          <cell r="G67" t="str">
            <v>DMR-CP</v>
          </cell>
          <cell r="H67">
            <v>3417</v>
          </cell>
          <cell r="I67" t="str">
            <v>2YDCOM2W</v>
          </cell>
          <cell r="J67" t="str">
            <v>2YDCOMMINGLED 2X WK</v>
          </cell>
          <cell r="K67">
            <v>154.68</v>
          </cell>
          <cell r="L67">
            <v>154.68</v>
          </cell>
        </row>
        <row r="68">
          <cell r="A68" t="str">
            <v>DMR-MILCOMMERCIAL RECYCLE2YDCOM2W</v>
          </cell>
          <cell r="B68" t="str">
            <v>MONTHLY ARREARS</v>
          </cell>
          <cell r="C68" t="str">
            <v>2111</v>
          </cell>
          <cell r="D68" t="str">
            <v>COMMERCIAL RECYCLE</v>
          </cell>
          <cell r="E68" t="b">
            <v>0</v>
          </cell>
          <cell r="F68" t="b">
            <v>0</v>
          </cell>
          <cell r="G68" t="str">
            <v>DMR-MIL</v>
          </cell>
          <cell r="H68">
            <v>3417</v>
          </cell>
          <cell r="I68" t="str">
            <v>2YDCOM2W</v>
          </cell>
          <cell r="J68" t="str">
            <v>2YDCOMMINGLED 2X WK</v>
          </cell>
          <cell r="K68">
            <v>94.19</v>
          </cell>
          <cell r="L68">
            <v>94.19</v>
          </cell>
        </row>
        <row r="69">
          <cell r="A69" t="str">
            <v>DMRCOMMERCIAL RECYCLE2YDCOM3W</v>
          </cell>
          <cell r="B69" t="str">
            <v>MONTHLY ARREARS</v>
          </cell>
          <cell r="C69" t="str">
            <v>2111</v>
          </cell>
          <cell r="D69" t="str">
            <v>COMMERCIAL RECYCLE</v>
          </cell>
          <cell r="E69" t="b">
            <v>0</v>
          </cell>
          <cell r="F69" t="b">
            <v>0</v>
          </cell>
          <cell r="G69" t="str">
            <v>DMR</v>
          </cell>
          <cell r="H69">
            <v>3418</v>
          </cell>
          <cell r="I69" t="str">
            <v>2YDCOM3W</v>
          </cell>
          <cell r="J69" t="str">
            <v>2YDCOMMINGLED 3X WK</v>
          </cell>
          <cell r="K69">
            <v>323</v>
          </cell>
          <cell r="L69">
            <v>323</v>
          </cell>
        </row>
        <row r="70">
          <cell r="A70" t="str">
            <v>DMR-BLCOMMERCIAL RECYCLE2YDCOM3W</v>
          </cell>
          <cell r="B70" t="str">
            <v>MONTHLY ARREARS</v>
          </cell>
          <cell r="C70" t="str">
            <v>2111</v>
          </cell>
          <cell r="D70" t="str">
            <v>COMMERCIAL RECYCLE</v>
          </cell>
          <cell r="E70" t="b">
            <v>0</v>
          </cell>
          <cell r="F70" t="b">
            <v>0</v>
          </cell>
          <cell r="G70" t="str">
            <v>DMR-BL</v>
          </cell>
          <cell r="H70">
            <v>3418</v>
          </cell>
          <cell r="I70" t="str">
            <v>2YDCOM3W</v>
          </cell>
          <cell r="J70" t="str">
            <v>2YDCOMMINGLED 3X WK</v>
          </cell>
          <cell r="K70">
            <v>204.42</v>
          </cell>
          <cell r="L70">
            <v>204.42</v>
          </cell>
        </row>
        <row r="71">
          <cell r="A71" t="str">
            <v>DMR-CPCOMMERCIAL RECYCLE2YDCOM3W</v>
          </cell>
          <cell r="B71" t="str">
            <v>MONTHLY ARREARS</v>
          </cell>
          <cell r="C71" t="str">
            <v>2111</v>
          </cell>
          <cell r="D71" t="str">
            <v>COMMERCIAL RECYCLE</v>
          </cell>
          <cell r="E71" t="b">
            <v>0</v>
          </cell>
          <cell r="F71" t="b">
            <v>0</v>
          </cell>
          <cell r="G71" t="str">
            <v>DMR-CP</v>
          </cell>
          <cell r="H71">
            <v>3418</v>
          </cell>
          <cell r="I71" t="str">
            <v>2YDCOM3W</v>
          </cell>
          <cell r="J71" t="str">
            <v>2YDCOMMINGLED 3X WK</v>
          </cell>
          <cell r="K71">
            <v>196.79</v>
          </cell>
          <cell r="L71">
            <v>196.79</v>
          </cell>
        </row>
        <row r="72">
          <cell r="A72" t="str">
            <v>DMRCOMMERCIAL RECYCLE2YDCOM4W</v>
          </cell>
          <cell r="B72" t="str">
            <v>MONTHLY ARREARS</v>
          </cell>
          <cell r="C72" t="str">
            <v>2111</v>
          </cell>
          <cell r="D72" t="str">
            <v>COMMERCIAL RECYCLE</v>
          </cell>
          <cell r="E72" t="b">
            <v>0</v>
          </cell>
          <cell r="F72" t="b">
            <v>0</v>
          </cell>
          <cell r="G72" t="str">
            <v>DMR</v>
          </cell>
          <cell r="H72">
            <v>3503</v>
          </cell>
          <cell r="I72" t="str">
            <v>2YDCOM4W</v>
          </cell>
          <cell r="J72" t="str">
            <v>2 YD COMMINGLE 4X WK</v>
          </cell>
          <cell r="K72">
            <v>431</v>
          </cell>
          <cell r="L72">
            <v>431</v>
          </cell>
        </row>
        <row r="73">
          <cell r="A73" t="str">
            <v>DMRCOMMERCIAL RECYCLE2YDCOM5W</v>
          </cell>
          <cell r="B73" t="str">
            <v>MONTHLY ARREARS</v>
          </cell>
          <cell r="C73" t="str">
            <v>2111</v>
          </cell>
          <cell r="D73" t="str">
            <v>COMMERCIAL RECYCLE</v>
          </cell>
          <cell r="E73" t="b">
            <v>0</v>
          </cell>
          <cell r="F73" t="b">
            <v>0</v>
          </cell>
          <cell r="G73" t="str">
            <v>DMR</v>
          </cell>
          <cell r="H73">
            <v>3556</v>
          </cell>
          <cell r="I73" t="str">
            <v>2YDCOM5W</v>
          </cell>
          <cell r="J73" t="str">
            <v>2 YD COMMINGLE 5X WK</v>
          </cell>
          <cell r="K73">
            <v>539</v>
          </cell>
          <cell r="L73">
            <v>539</v>
          </cell>
        </row>
        <row r="74">
          <cell r="A74" t="str">
            <v>DMR-BCOMMERCIAL RECYCLE2YDCOM5W</v>
          </cell>
          <cell r="B74" t="str">
            <v>MONTHLY ARREARS</v>
          </cell>
          <cell r="C74" t="str">
            <v>2111</v>
          </cell>
          <cell r="D74" t="str">
            <v>COMMERCIAL RECYCLE</v>
          </cell>
          <cell r="E74" t="b">
            <v>0</v>
          </cell>
          <cell r="F74" t="b">
            <v>0</v>
          </cell>
          <cell r="G74" t="str">
            <v>DMR-B</v>
          </cell>
          <cell r="H74">
            <v>3556</v>
          </cell>
          <cell r="I74" t="str">
            <v>2YDCOM5W</v>
          </cell>
          <cell r="J74" t="str">
            <v>2 YD COMMINGLE 5X WK</v>
          </cell>
          <cell r="K74">
            <v>383.49</v>
          </cell>
          <cell r="L74">
            <v>383.49</v>
          </cell>
        </row>
        <row r="75">
          <cell r="A75" t="str">
            <v>DMRCOMMERCIAL RECYCLE2YDCOMEW</v>
          </cell>
          <cell r="B75" t="str">
            <v>MONTHLY ARREARS</v>
          </cell>
          <cell r="C75" t="str">
            <v>2111</v>
          </cell>
          <cell r="D75" t="str">
            <v>COMMERCIAL RECYCLE</v>
          </cell>
          <cell r="E75" t="b">
            <v>0</v>
          </cell>
          <cell r="F75" t="b">
            <v>0</v>
          </cell>
          <cell r="G75" t="str">
            <v>DMR</v>
          </cell>
          <cell r="H75">
            <v>3440</v>
          </cell>
          <cell r="I75" t="str">
            <v>2YDCOMEW</v>
          </cell>
          <cell r="J75" t="str">
            <v>2yd COMMINGLE EOW</v>
          </cell>
          <cell r="K75">
            <v>85</v>
          </cell>
          <cell r="L75">
            <v>85</v>
          </cell>
        </row>
        <row r="76">
          <cell r="A76" t="str">
            <v>DMR-BLCOMMERCIAL RECYCLE2YDCOMEW</v>
          </cell>
          <cell r="B76" t="str">
            <v>MONTHLY ARREARS</v>
          </cell>
          <cell r="C76" t="str">
            <v>2111</v>
          </cell>
          <cell r="D76" t="str">
            <v>COMMERCIAL RECYCLE</v>
          </cell>
          <cell r="E76" t="b">
            <v>0</v>
          </cell>
          <cell r="F76" t="b">
            <v>0</v>
          </cell>
          <cell r="G76" t="str">
            <v>DMR-BL</v>
          </cell>
          <cell r="H76">
            <v>3440</v>
          </cell>
          <cell r="I76" t="str">
            <v>2YDCOMEW</v>
          </cell>
          <cell r="J76" t="str">
            <v>2yd COMMINGLE EOW</v>
          </cell>
          <cell r="K76">
            <v>98.7</v>
          </cell>
          <cell r="L76">
            <v>98.7</v>
          </cell>
        </row>
        <row r="77">
          <cell r="A77" t="str">
            <v>DMR-CPCOMMERCIAL RECYCLE2YDCOMEW</v>
          </cell>
          <cell r="B77" t="str">
            <v>MONTHLY ARREARS</v>
          </cell>
          <cell r="C77" t="str">
            <v>2111</v>
          </cell>
          <cell r="D77" t="str">
            <v>COMMERCIAL RECYCLE</v>
          </cell>
          <cell r="E77" t="b">
            <v>0</v>
          </cell>
          <cell r="F77" t="b">
            <v>0</v>
          </cell>
          <cell r="G77" t="str">
            <v>DMR-CP</v>
          </cell>
          <cell r="H77">
            <v>3440</v>
          </cell>
          <cell r="I77" t="str">
            <v>2YDCOMEW</v>
          </cell>
          <cell r="J77" t="str">
            <v>2yd COMMINGLE EOW</v>
          </cell>
          <cell r="K77">
            <v>63.01</v>
          </cell>
          <cell r="L77">
            <v>63.01</v>
          </cell>
        </row>
        <row r="78">
          <cell r="A78" t="str">
            <v>DMRCOMMERCIAL RECYCLE2YDOCC1W</v>
          </cell>
          <cell r="B78" t="str">
            <v>MONTHLY ARREARS</v>
          </cell>
          <cell r="C78" t="str">
            <v>2111</v>
          </cell>
          <cell r="D78" t="str">
            <v>COMMERCIAL RECYCLE</v>
          </cell>
          <cell r="E78" t="b">
            <v>0</v>
          </cell>
          <cell r="F78" t="b">
            <v>0</v>
          </cell>
          <cell r="G78" t="str">
            <v>DMR</v>
          </cell>
          <cell r="H78">
            <v>2727</v>
          </cell>
          <cell r="I78" t="str">
            <v>2YDOCC1W</v>
          </cell>
          <cell r="J78" t="str">
            <v>2YD OCC CAGE 1X WEEKLY</v>
          </cell>
          <cell r="K78">
            <v>84</v>
          </cell>
          <cell r="L78">
            <v>84</v>
          </cell>
        </row>
        <row r="79">
          <cell r="A79" t="str">
            <v>DMR-BCOMMERCIAL RECYCLE2YDOCC1W</v>
          </cell>
          <cell r="B79" t="str">
            <v>MONTHLY ARREARS</v>
          </cell>
          <cell r="C79" t="str">
            <v>2111</v>
          </cell>
          <cell r="D79" t="str">
            <v>COMMERCIAL RECYCLE</v>
          </cell>
          <cell r="E79" t="b">
            <v>0</v>
          </cell>
          <cell r="F79" t="b">
            <v>0</v>
          </cell>
          <cell r="G79" t="str">
            <v>DMR-B</v>
          </cell>
          <cell r="H79">
            <v>2727</v>
          </cell>
          <cell r="I79" t="str">
            <v>2YDOCC1W</v>
          </cell>
          <cell r="J79" t="str">
            <v>2YD OCC CAGE 1X WEEKLY</v>
          </cell>
          <cell r="K79">
            <v>51.47</v>
          </cell>
          <cell r="L79">
            <v>51.47</v>
          </cell>
        </row>
        <row r="80">
          <cell r="A80" t="str">
            <v>DMR-BLCOMMERCIAL RECYCLE2YDOCC1W</v>
          </cell>
          <cell r="B80" t="str">
            <v>MONTHLY ARREARS</v>
          </cell>
          <cell r="C80" t="str">
            <v>2111</v>
          </cell>
          <cell r="D80" t="str">
            <v>COMMERCIAL RECYCLE</v>
          </cell>
          <cell r="E80" t="b">
            <v>0</v>
          </cell>
          <cell r="F80" t="b">
            <v>0</v>
          </cell>
          <cell r="G80" t="str">
            <v>DMR-BL</v>
          </cell>
          <cell r="H80">
            <v>2727</v>
          </cell>
          <cell r="I80" t="str">
            <v>2YDOCC1W</v>
          </cell>
          <cell r="J80" t="str">
            <v>2YD OCC CAGE 1X WEEKLY</v>
          </cell>
          <cell r="K80">
            <v>61.13</v>
          </cell>
          <cell r="L80">
            <v>61.13</v>
          </cell>
        </row>
        <row r="81">
          <cell r="A81" t="str">
            <v>DMR-CPCOMMERCIAL RECYCLE2YDOCC1W</v>
          </cell>
          <cell r="B81" t="str">
            <v>MONTHLY ARREARS</v>
          </cell>
          <cell r="C81" t="str">
            <v>2111</v>
          </cell>
          <cell r="D81" t="str">
            <v>COMMERCIAL RECYCLE</v>
          </cell>
          <cell r="E81" t="b">
            <v>0</v>
          </cell>
          <cell r="F81" t="b">
            <v>0</v>
          </cell>
          <cell r="G81" t="str">
            <v>DMR-CP</v>
          </cell>
          <cell r="H81">
            <v>2727</v>
          </cell>
          <cell r="I81" t="str">
            <v>2YDOCC1W</v>
          </cell>
          <cell r="J81" t="str">
            <v>2YD OCC CAGE 1X WEEKLY</v>
          </cell>
          <cell r="K81">
            <v>58.85</v>
          </cell>
          <cell r="L81">
            <v>58.85</v>
          </cell>
        </row>
        <row r="82">
          <cell r="A82" t="str">
            <v>DMR-MILCOMMERCIAL RECYCLE2YDOCC1W</v>
          </cell>
          <cell r="B82" t="str">
            <v>MONTHLY ARREARS</v>
          </cell>
          <cell r="C82" t="str">
            <v>2111</v>
          </cell>
          <cell r="D82" t="str">
            <v>COMMERCIAL RECYCLE</v>
          </cell>
          <cell r="E82" t="b">
            <v>0</v>
          </cell>
          <cell r="F82" t="b">
            <v>0</v>
          </cell>
          <cell r="G82" t="str">
            <v>DMR-MIL</v>
          </cell>
          <cell r="H82">
            <v>2727</v>
          </cell>
          <cell r="I82" t="str">
            <v>2YDOCC1W</v>
          </cell>
          <cell r="J82" t="str">
            <v>2YD OCC CAGE 1X WEEKLY</v>
          </cell>
          <cell r="K82">
            <v>75.349999999999994</v>
          </cell>
          <cell r="L82">
            <v>75.349999999999994</v>
          </cell>
        </row>
        <row r="83">
          <cell r="A83" t="str">
            <v>DMRCOMMERCIAL RECYCLE2YDOCC2W</v>
          </cell>
          <cell r="B83" t="str">
            <v>MONTHLY ARREARS</v>
          </cell>
          <cell r="C83" t="str">
            <v>2111</v>
          </cell>
          <cell r="D83" t="str">
            <v>COMMERCIAL RECYCLE</v>
          </cell>
          <cell r="E83" t="b">
            <v>0</v>
          </cell>
          <cell r="F83" t="b">
            <v>0</v>
          </cell>
          <cell r="G83" t="str">
            <v>DMR</v>
          </cell>
          <cell r="H83">
            <v>3124</v>
          </cell>
          <cell r="I83" t="str">
            <v>2YDOCC2W</v>
          </cell>
          <cell r="J83" t="str">
            <v>2YD OCC CAGE 2X WEEKLY</v>
          </cell>
          <cell r="K83">
            <v>126</v>
          </cell>
          <cell r="L83">
            <v>126</v>
          </cell>
        </row>
        <row r="84">
          <cell r="A84" t="str">
            <v>DMR-BCOMMERCIAL RECYCLE2YDOCC2W</v>
          </cell>
          <cell r="B84" t="str">
            <v>MONTHLY ARREARS</v>
          </cell>
          <cell r="C84" t="str">
            <v>2111</v>
          </cell>
          <cell r="D84" t="str">
            <v>COMMERCIAL RECYCLE</v>
          </cell>
          <cell r="E84" t="b">
            <v>0</v>
          </cell>
          <cell r="F84" t="b">
            <v>0</v>
          </cell>
          <cell r="G84" t="str">
            <v>DMR-B</v>
          </cell>
          <cell r="H84">
            <v>3124</v>
          </cell>
          <cell r="I84" t="str">
            <v>2YDOCC2W</v>
          </cell>
          <cell r="J84" t="str">
            <v>2YD OCC CAGE 2X WEEKLY</v>
          </cell>
          <cell r="K84">
            <v>104.52</v>
          </cell>
          <cell r="L84">
            <v>104.52</v>
          </cell>
        </row>
        <row r="85">
          <cell r="A85" t="str">
            <v>DMR-BLCOMMERCIAL RECYCLE2YDOCC2W</v>
          </cell>
          <cell r="B85" t="str">
            <v>MONTHLY ARREARS</v>
          </cell>
          <cell r="C85" t="str">
            <v>2111</v>
          </cell>
          <cell r="D85" t="str">
            <v>COMMERCIAL RECYCLE</v>
          </cell>
          <cell r="E85" t="b">
            <v>0</v>
          </cell>
          <cell r="F85" t="b">
            <v>0</v>
          </cell>
          <cell r="G85" t="str">
            <v>DMR-BL</v>
          </cell>
          <cell r="H85">
            <v>3124</v>
          </cell>
          <cell r="I85" t="str">
            <v>2YDOCC2W</v>
          </cell>
          <cell r="J85" t="str">
            <v>2YD OCC CAGE 2X WEEKLY</v>
          </cell>
          <cell r="K85">
            <v>85.71</v>
          </cell>
          <cell r="L85">
            <v>85.71</v>
          </cell>
        </row>
        <row r="86">
          <cell r="A86" t="str">
            <v>DMR-CPCOMMERCIAL RECYCLE2YDOCC2W</v>
          </cell>
          <cell r="B86" t="str">
            <v>MONTHLY ARREARS</v>
          </cell>
          <cell r="C86" t="str">
            <v>2111</v>
          </cell>
          <cell r="D86" t="str">
            <v>COMMERCIAL RECYCLE</v>
          </cell>
          <cell r="E86" t="b">
            <v>0</v>
          </cell>
          <cell r="F86" t="b">
            <v>0</v>
          </cell>
          <cell r="G86" t="str">
            <v>DMR-CP</v>
          </cell>
          <cell r="H86">
            <v>3124</v>
          </cell>
          <cell r="I86" t="str">
            <v>2YDOCC2W</v>
          </cell>
          <cell r="J86" t="str">
            <v>2YD OCC CAGE 2X WEEKLY</v>
          </cell>
          <cell r="K86">
            <v>82.52</v>
          </cell>
          <cell r="L86">
            <v>82.52</v>
          </cell>
        </row>
        <row r="87">
          <cell r="A87" t="str">
            <v>DMR-MILCOMMERCIAL RECYCLE2YDOCC2W</v>
          </cell>
          <cell r="B87" t="str">
            <v>MONTHLY ARREARS</v>
          </cell>
          <cell r="C87" t="str">
            <v>2111</v>
          </cell>
          <cell r="D87" t="str">
            <v>COMMERCIAL RECYCLE</v>
          </cell>
          <cell r="E87" t="b">
            <v>0</v>
          </cell>
          <cell r="F87" t="b">
            <v>0</v>
          </cell>
          <cell r="G87" t="str">
            <v>DMR-MIL</v>
          </cell>
          <cell r="H87">
            <v>3124</v>
          </cell>
          <cell r="I87" t="str">
            <v>2YDOCC2W</v>
          </cell>
          <cell r="J87" t="str">
            <v>2YD OCC CAGE 2X WEEKLY</v>
          </cell>
          <cell r="K87">
            <v>94.19</v>
          </cell>
          <cell r="L87">
            <v>94.19</v>
          </cell>
        </row>
        <row r="88">
          <cell r="A88" t="str">
            <v>DMRCOMMERCIAL RECYCLE2YDOCC3W</v>
          </cell>
          <cell r="B88" t="str">
            <v>MONTHLY ARREARS</v>
          </cell>
          <cell r="C88" t="str">
            <v>2111</v>
          </cell>
          <cell r="D88" t="str">
            <v>COMMERCIAL RECYCLE</v>
          </cell>
          <cell r="E88" t="b">
            <v>0</v>
          </cell>
          <cell r="F88" t="b">
            <v>0</v>
          </cell>
          <cell r="G88" t="str">
            <v>DMR</v>
          </cell>
          <cell r="H88">
            <v>2726</v>
          </cell>
          <cell r="I88" t="str">
            <v>2YDOCC3W</v>
          </cell>
          <cell r="J88" t="str">
            <v>2YD OCC CAGE 3X WEEKLY</v>
          </cell>
          <cell r="K88">
            <v>189</v>
          </cell>
          <cell r="L88">
            <v>189</v>
          </cell>
        </row>
        <row r="89">
          <cell r="A89" t="str">
            <v>DMR-BCOMMERCIAL RECYCLE2YDOCC3W</v>
          </cell>
          <cell r="B89" t="str">
            <v>MONTHLY ARREARS</v>
          </cell>
          <cell r="C89" t="str">
            <v>2111</v>
          </cell>
          <cell r="D89" t="str">
            <v>COMMERCIAL RECYCLE</v>
          </cell>
          <cell r="E89" t="b">
            <v>0</v>
          </cell>
          <cell r="F89" t="b">
            <v>0</v>
          </cell>
          <cell r="G89" t="str">
            <v>DMR-B</v>
          </cell>
          <cell r="H89">
            <v>2726</v>
          </cell>
          <cell r="I89" t="str">
            <v>2YDOCC3W</v>
          </cell>
          <cell r="J89" t="str">
            <v>2YD OCC CAGE 3X WEEKLY</v>
          </cell>
          <cell r="K89">
            <v>134.55000000000001</v>
          </cell>
          <cell r="L89">
            <v>134.55000000000001</v>
          </cell>
        </row>
        <row r="90">
          <cell r="A90" t="str">
            <v>DMR-BLCOMMERCIAL RECYCLE2YDOCC3W</v>
          </cell>
          <cell r="B90" t="str">
            <v>MONTHLY ARREARS</v>
          </cell>
          <cell r="C90" t="str">
            <v>2111</v>
          </cell>
          <cell r="D90" t="str">
            <v>COMMERCIAL RECYCLE</v>
          </cell>
          <cell r="E90" t="b">
            <v>0</v>
          </cell>
          <cell r="F90" t="b">
            <v>0</v>
          </cell>
          <cell r="G90" t="str">
            <v>DMR-BL</v>
          </cell>
          <cell r="H90">
            <v>2726</v>
          </cell>
          <cell r="I90" t="str">
            <v>2YDOCC3W</v>
          </cell>
          <cell r="J90" t="str">
            <v>2YD OCC CAGE 3X WEEKLY</v>
          </cell>
          <cell r="K90">
            <v>111.48</v>
          </cell>
          <cell r="L90">
            <v>111.48</v>
          </cell>
        </row>
        <row r="91">
          <cell r="A91" t="str">
            <v>DMR-CPCOMMERCIAL RECYCLE2YDOCC3W</v>
          </cell>
          <cell r="B91" t="str">
            <v>MONTHLY ARREARS</v>
          </cell>
          <cell r="C91" t="str">
            <v>2111</v>
          </cell>
          <cell r="D91" t="str">
            <v>COMMERCIAL RECYCLE</v>
          </cell>
          <cell r="E91" t="b">
            <v>0</v>
          </cell>
          <cell r="F91" t="b">
            <v>0</v>
          </cell>
          <cell r="G91" t="str">
            <v>DMR-CP</v>
          </cell>
          <cell r="H91">
            <v>2726</v>
          </cell>
          <cell r="I91" t="str">
            <v>2YDOCC3W</v>
          </cell>
          <cell r="J91" t="str">
            <v>2YD OCC CAGE 3X WEEKLY</v>
          </cell>
          <cell r="K91">
            <v>107.32</v>
          </cell>
          <cell r="L91">
            <v>107.32</v>
          </cell>
        </row>
        <row r="92">
          <cell r="A92" t="str">
            <v>DMR-MILCOMMERCIAL RECYCLE2YDOCC3W</v>
          </cell>
          <cell r="B92" t="str">
            <v>MONTHLY ARREARS</v>
          </cell>
          <cell r="C92" t="str">
            <v>2111</v>
          </cell>
          <cell r="D92" t="str">
            <v>COMMERCIAL RECYCLE</v>
          </cell>
          <cell r="E92" t="b">
            <v>0</v>
          </cell>
          <cell r="F92" t="b">
            <v>0</v>
          </cell>
          <cell r="G92" t="str">
            <v>DMR-MIL</v>
          </cell>
          <cell r="H92">
            <v>2726</v>
          </cell>
          <cell r="I92" t="str">
            <v>2YDOCC3W</v>
          </cell>
          <cell r="J92" t="str">
            <v>2YD OCC CAGE 3X WEEKLY</v>
          </cell>
          <cell r="K92">
            <v>117.73</v>
          </cell>
          <cell r="L92">
            <v>117.73</v>
          </cell>
        </row>
        <row r="93">
          <cell r="A93" t="str">
            <v>DMRCOMMERCIAL RECYCLE2YDOCC4W</v>
          </cell>
          <cell r="B93" t="str">
            <v>MONTHLY ARREARS</v>
          </cell>
          <cell r="C93" t="str">
            <v>2111</v>
          </cell>
          <cell r="D93" t="str">
            <v>COMMERCIAL RECYCLE</v>
          </cell>
          <cell r="E93" t="b">
            <v>0</v>
          </cell>
          <cell r="F93" t="b">
            <v>0</v>
          </cell>
          <cell r="G93" t="str">
            <v>DMR</v>
          </cell>
          <cell r="H93">
            <v>2721</v>
          </cell>
          <cell r="I93" t="str">
            <v>2YDOCC4W</v>
          </cell>
          <cell r="J93" t="str">
            <v>2YD OCC CAGE 4X WEEKLY</v>
          </cell>
          <cell r="K93">
            <v>252</v>
          </cell>
          <cell r="L93">
            <v>252</v>
          </cell>
        </row>
        <row r="94">
          <cell r="A94" t="str">
            <v>DMR-BCOMMERCIAL RECYCLE2YDOCC4W</v>
          </cell>
          <cell r="B94" t="str">
            <v>MONTHLY ARREARS</v>
          </cell>
          <cell r="C94" t="str">
            <v>2111</v>
          </cell>
          <cell r="D94" t="str">
            <v>COMMERCIAL RECYCLE</v>
          </cell>
          <cell r="E94" t="b">
            <v>0</v>
          </cell>
          <cell r="F94" t="b">
            <v>0</v>
          </cell>
          <cell r="G94" t="str">
            <v>DMR-B</v>
          </cell>
          <cell r="H94">
            <v>2721</v>
          </cell>
          <cell r="I94" t="str">
            <v>2YDOCC4W</v>
          </cell>
          <cell r="J94" t="str">
            <v>2YD OCC CAGE 4X WEEKLY</v>
          </cell>
          <cell r="K94">
            <v>177</v>
          </cell>
          <cell r="L94">
            <v>177</v>
          </cell>
        </row>
        <row r="95">
          <cell r="A95" t="str">
            <v>DMR-BLCOMMERCIAL RECYCLE2YDOCC4W</v>
          </cell>
          <cell r="B95" t="str">
            <v>MONTHLY ARREARS</v>
          </cell>
          <cell r="C95" t="str">
            <v>2111</v>
          </cell>
          <cell r="D95" t="str">
            <v>COMMERCIAL RECYCLE</v>
          </cell>
          <cell r="E95" t="b">
            <v>0</v>
          </cell>
          <cell r="F95" t="b">
            <v>0</v>
          </cell>
          <cell r="G95" t="str">
            <v>DMR-BL</v>
          </cell>
          <cell r="H95">
            <v>2721</v>
          </cell>
          <cell r="I95" t="str">
            <v>2YDOCC4W</v>
          </cell>
          <cell r="J95" t="str">
            <v>2YD OCC CAGE 4X WEEKLY</v>
          </cell>
          <cell r="K95">
            <v>144.71</v>
          </cell>
          <cell r="L95">
            <v>144.71</v>
          </cell>
        </row>
        <row r="96">
          <cell r="A96" t="str">
            <v>DMR-CPCOMMERCIAL RECYCLE2YDOCC4W</v>
          </cell>
          <cell r="B96" t="str">
            <v>MONTHLY ARREARS</v>
          </cell>
          <cell r="C96" t="str">
            <v>2111</v>
          </cell>
          <cell r="D96" t="str">
            <v>COMMERCIAL RECYCLE</v>
          </cell>
          <cell r="E96" t="b">
            <v>0</v>
          </cell>
          <cell r="F96" t="b">
            <v>0</v>
          </cell>
          <cell r="G96" t="str">
            <v>DMR-CP</v>
          </cell>
          <cell r="H96">
            <v>2721</v>
          </cell>
          <cell r="I96" t="str">
            <v>2YDOCC4W</v>
          </cell>
          <cell r="J96" t="str">
            <v>2YD OCC CAGE 4X WEEKLY</v>
          </cell>
          <cell r="K96">
            <v>139.29</v>
          </cell>
          <cell r="L96">
            <v>139.29</v>
          </cell>
        </row>
        <row r="97">
          <cell r="A97" t="str">
            <v>DMRCOMMERCIAL RECYCLE2YDOCC5W</v>
          </cell>
          <cell r="B97" t="str">
            <v>MONTHLY ARREARS</v>
          </cell>
          <cell r="C97" t="str">
            <v>2111</v>
          </cell>
          <cell r="D97" t="str">
            <v>COMMERCIAL RECYCLE</v>
          </cell>
          <cell r="E97" t="b">
            <v>0</v>
          </cell>
          <cell r="F97" t="b">
            <v>0</v>
          </cell>
          <cell r="G97" t="str">
            <v>DMR</v>
          </cell>
          <cell r="H97">
            <v>2722</v>
          </cell>
          <cell r="I97" t="str">
            <v>2YDOCC5W</v>
          </cell>
          <cell r="J97" t="str">
            <v>2YD OCC CAGE 5X WEEKLY</v>
          </cell>
          <cell r="K97">
            <v>314</v>
          </cell>
          <cell r="L97">
            <v>314</v>
          </cell>
        </row>
        <row r="98">
          <cell r="A98" t="str">
            <v>DMR-BCOMMERCIAL RECYCLE2YDOCC5W</v>
          </cell>
          <cell r="B98" t="str">
            <v>MONTHLY ARREARS</v>
          </cell>
          <cell r="C98" t="str">
            <v>2111</v>
          </cell>
          <cell r="D98" t="str">
            <v>COMMERCIAL RECYCLE</v>
          </cell>
          <cell r="E98" t="b">
            <v>0</v>
          </cell>
          <cell r="F98" t="b">
            <v>0</v>
          </cell>
          <cell r="G98" t="str">
            <v>DMR-B</v>
          </cell>
          <cell r="H98">
            <v>2722</v>
          </cell>
          <cell r="I98" t="str">
            <v>2YDOCC5W</v>
          </cell>
          <cell r="J98" t="str">
            <v>2YD OCC CAGE 5X WEEKLY</v>
          </cell>
          <cell r="K98">
            <v>230.1</v>
          </cell>
          <cell r="L98">
            <v>230.1</v>
          </cell>
        </row>
        <row r="99">
          <cell r="A99" t="str">
            <v>DMR-BLCOMMERCIAL RECYCLE2YDOCC5W</v>
          </cell>
          <cell r="B99" t="str">
            <v>MONTHLY ARREARS</v>
          </cell>
          <cell r="C99" t="str">
            <v>2111</v>
          </cell>
          <cell r="D99" t="str">
            <v>COMMERCIAL RECYCLE</v>
          </cell>
          <cell r="E99" t="b">
            <v>0</v>
          </cell>
          <cell r="F99" t="b">
            <v>0</v>
          </cell>
          <cell r="G99" t="str">
            <v>DMR-BL</v>
          </cell>
          <cell r="H99">
            <v>2722</v>
          </cell>
          <cell r="I99" t="str">
            <v>2YDOCC5W</v>
          </cell>
          <cell r="J99" t="str">
            <v>2YD OCC CAGE 5X WEEKLY</v>
          </cell>
          <cell r="K99">
            <v>188.24</v>
          </cell>
          <cell r="L99">
            <v>188.24</v>
          </cell>
        </row>
        <row r="100">
          <cell r="A100" t="str">
            <v>DMR-CPCOMMERCIAL RECYCLE2YDOCC5W</v>
          </cell>
          <cell r="B100" t="str">
            <v>MONTHLY ARREARS</v>
          </cell>
          <cell r="C100" t="str">
            <v>2111</v>
          </cell>
          <cell r="D100" t="str">
            <v>COMMERCIAL RECYCLE</v>
          </cell>
          <cell r="E100" t="b">
            <v>0</v>
          </cell>
          <cell r="F100" t="b">
            <v>0</v>
          </cell>
          <cell r="G100" t="str">
            <v>DMR-CP</v>
          </cell>
          <cell r="H100">
            <v>2722</v>
          </cell>
          <cell r="I100" t="str">
            <v>2YDOCC5W</v>
          </cell>
          <cell r="J100" t="str">
            <v>2YD OCC CAGE 5X WEEKLY</v>
          </cell>
          <cell r="K100">
            <v>181.21</v>
          </cell>
          <cell r="L100">
            <v>181.21</v>
          </cell>
        </row>
        <row r="101">
          <cell r="A101" t="str">
            <v>DMRCOMMERCIAL RECYCLE2YDOCCEW</v>
          </cell>
          <cell r="B101" t="str">
            <v>MONTHLY ARREARS</v>
          </cell>
          <cell r="C101" t="str">
            <v>2111</v>
          </cell>
          <cell r="D101" t="str">
            <v>COMMERCIAL RECYCLE</v>
          </cell>
          <cell r="E101" t="b">
            <v>0</v>
          </cell>
          <cell r="F101" t="b">
            <v>0</v>
          </cell>
          <cell r="G101" t="str">
            <v>DMR</v>
          </cell>
          <cell r="H101">
            <v>3441</v>
          </cell>
          <cell r="I101" t="str">
            <v>2YDOCCEW</v>
          </cell>
          <cell r="J101" t="str">
            <v>2yd OCC CAGE EOW</v>
          </cell>
          <cell r="K101">
            <v>45</v>
          </cell>
          <cell r="L101">
            <v>45</v>
          </cell>
        </row>
        <row r="102">
          <cell r="A102" t="str">
            <v>DMR-BCOMMERCIAL RECYCLE2YDOCCEW</v>
          </cell>
          <cell r="B102" t="str">
            <v>MONTHLY ARREARS</v>
          </cell>
          <cell r="C102" t="str">
            <v>2111</v>
          </cell>
          <cell r="D102" t="str">
            <v>COMMERCIAL RECYCLE</v>
          </cell>
          <cell r="E102" t="b">
            <v>0</v>
          </cell>
          <cell r="F102" t="b">
            <v>0</v>
          </cell>
          <cell r="G102" t="str">
            <v>DMR-B</v>
          </cell>
          <cell r="H102">
            <v>3441</v>
          </cell>
          <cell r="I102" t="str">
            <v>2YDOCCEW</v>
          </cell>
          <cell r="J102" t="str">
            <v>2yd OCC CAGE EOW</v>
          </cell>
          <cell r="K102">
            <v>40.729999999999997</v>
          </cell>
          <cell r="L102">
            <v>40.729999999999997</v>
          </cell>
        </row>
        <row r="103">
          <cell r="A103" t="str">
            <v>DMR-CPCOMMERCIAL RECYCLE2YDOCCEW</v>
          </cell>
          <cell r="B103" t="str">
            <v>MONTHLY ARREARS</v>
          </cell>
          <cell r="C103" t="str">
            <v>2111</v>
          </cell>
          <cell r="D103" t="str">
            <v>COMMERCIAL RECYCLE</v>
          </cell>
          <cell r="E103" t="b">
            <v>0</v>
          </cell>
          <cell r="F103" t="b">
            <v>0</v>
          </cell>
          <cell r="G103" t="str">
            <v>DMR-CP</v>
          </cell>
          <cell r="H103">
            <v>3441</v>
          </cell>
          <cell r="I103" t="str">
            <v>2YDOCCEW</v>
          </cell>
          <cell r="J103" t="str">
            <v>2yd OCC CAGE EOW</v>
          </cell>
          <cell r="K103">
            <v>43.64</v>
          </cell>
          <cell r="L103">
            <v>43.64</v>
          </cell>
        </row>
        <row r="104">
          <cell r="A104" t="str">
            <v>VASHONCOMMERCIAL32CE1</v>
          </cell>
          <cell r="B104" t="str">
            <v>MONTHLY ARREARS</v>
          </cell>
          <cell r="C104" t="str">
            <v>2111</v>
          </cell>
          <cell r="D104" t="str">
            <v>COMMERCIAL</v>
          </cell>
          <cell r="E104" t="b">
            <v>0</v>
          </cell>
          <cell r="F104" t="b">
            <v>0</v>
          </cell>
          <cell r="G104" t="str">
            <v>VASHON</v>
          </cell>
          <cell r="H104">
            <v>3508</v>
          </cell>
          <cell r="I104" t="str">
            <v>32CE1</v>
          </cell>
          <cell r="J104" t="str">
            <v>32 GAL CAN COMM EOW</v>
          </cell>
          <cell r="K104">
            <v>16.170000000000002</v>
          </cell>
          <cell r="L104">
            <v>16.170000000000002</v>
          </cell>
        </row>
        <row r="105">
          <cell r="A105" t="str">
            <v>VASHONCOMMERCIAL32CW1</v>
          </cell>
          <cell r="B105" t="str">
            <v>MONTHLY ARREARS</v>
          </cell>
          <cell r="C105" t="str">
            <v>2111</v>
          </cell>
          <cell r="D105" t="str">
            <v>COMMERCIAL</v>
          </cell>
          <cell r="E105" t="b">
            <v>0</v>
          </cell>
          <cell r="F105" t="b">
            <v>0</v>
          </cell>
          <cell r="G105" t="str">
            <v>VASHON</v>
          </cell>
          <cell r="H105">
            <v>3014</v>
          </cell>
          <cell r="I105" t="str">
            <v>32CW1</v>
          </cell>
          <cell r="J105" t="str">
            <v>1-32 GAL CAN WEEKLY</v>
          </cell>
          <cell r="K105">
            <v>16.170000000000002</v>
          </cell>
          <cell r="L105">
            <v>16.170000000000002</v>
          </cell>
        </row>
        <row r="106">
          <cell r="A106" t="str">
            <v>VASHONCOMMERCIAL32CW2</v>
          </cell>
          <cell r="B106" t="str">
            <v>MONTHLY ARREARS</v>
          </cell>
          <cell r="C106" t="str">
            <v>2111</v>
          </cell>
          <cell r="D106" t="str">
            <v>COMMERCIAL</v>
          </cell>
          <cell r="E106" t="b">
            <v>0</v>
          </cell>
          <cell r="F106" t="b">
            <v>0</v>
          </cell>
          <cell r="G106" t="str">
            <v>VASHON</v>
          </cell>
          <cell r="H106">
            <v>3016</v>
          </cell>
          <cell r="I106" t="str">
            <v>32CW2</v>
          </cell>
          <cell r="J106" t="str">
            <v>2-32 GAL CANS WKLY</v>
          </cell>
          <cell r="K106">
            <v>32.299999999999997</v>
          </cell>
          <cell r="L106">
            <v>32.299999999999997</v>
          </cell>
        </row>
        <row r="107">
          <cell r="A107" t="str">
            <v>VASHONCOMMERCIAL32CW3</v>
          </cell>
          <cell r="B107" t="str">
            <v>MONTHLY ARREARS</v>
          </cell>
          <cell r="C107" t="str">
            <v>2111</v>
          </cell>
          <cell r="D107" t="str">
            <v>COMMERCIAL</v>
          </cell>
          <cell r="E107" t="b">
            <v>0</v>
          </cell>
          <cell r="F107" t="b">
            <v>0</v>
          </cell>
          <cell r="G107" t="str">
            <v>VASHON</v>
          </cell>
          <cell r="H107">
            <v>3018</v>
          </cell>
          <cell r="I107" t="str">
            <v>32CW3</v>
          </cell>
          <cell r="J107" t="str">
            <v>3-32 GAL CANS WKLY</v>
          </cell>
          <cell r="K107">
            <v>48.45</v>
          </cell>
          <cell r="L107">
            <v>48.45</v>
          </cell>
        </row>
        <row r="108">
          <cell r="A108" t="str">
            <v>VASHONCOMMERCIAL32CW4</v>
          </cell>
          <cell r="B108" t="str">
            <v>MONTHLY ARREARS</v>
          </cell>
          <cell r="C108" t="str">
            <v>2111</v>
          </cell>
          <cell r="D108" t="str">
            <v>COMMERCIAL</v>
          </cell>
          <cell r="E108" t="b">
            <v>0</v>
          </cell>
          <cell r="F108" t="b">
            <v>0</v>
          </cell>
          <cell r="G108" t="str">
            <v>VASHON</v>
          </cell>
          <cell r="H108">
            <v>3019</v>
          </cell>
          <cell r="I108" t="str">
            <v>32CW4</v>
          </cell>
          <cell r="J108" t="str">
            <v>4-32 GAL CANS WKLY</v>
          </cell>
          <cell r="K108">
            <v>64.599999999999994</v>
          </cell>
          <cell r="L108">
            <v>64.599999999999994</v>
          </cell>
        </row>
        <row r="109">
          <cell r="A109" t="str">
            <v>VASHONCOMMERCIAL32CW5</v>
          </cell>
          <cell r="B109" t="str">
            <v>MONTHLY ARREARS</v>
          </cell>
          <cell r="C109" t="str">
            <v>2111</v>
          </cell>
          <cell r="D109" t="str">
            <v>COMMERCIAL</v>
          </cell>
          <cell r="E109" t="b">
            <v>0</v>
          </cell>
          <cell r="F109" t="b">
            <v>0</v>
          </cell>
          <cell r="G109" t="str">
            <v>VASHON</v>
          </cell>
          <cell r="H109">
            <v>2221</v>
          </cell>
          <cell r="I109" t="str">
            <v>32CW5</v>
          </cell>
          <cell r="J109" t="str">
            <v>5-32 GAL CANS WKLY SVC</v>
          </cell>
          <cell r="K109">
            <v>80.75</v>
          </cell>
          <cell r="L109">
            <v>80.75</v>
          </cell>
        </row>
        <row r="110">
          <cell r="A110" t="str">
            <v>VASHONRESIDENTIAL32RE1</v>
          </cell>
          <cell r="B110" t="str">
            <v>BI-MONTHLY SPLIT ODD</v>
          </cell>
          <cell r="C110" t="str">
            <v>2111</v>
          </cell>
          <cell r="D110" t="str">
            <v>RESIDENTIAL</v>
          </cell>
          <cell r="E110" t="b">
            <v>0</v>
          </cell>
          <cell r="F110" t="b">
            <v>0</v>
          </cell>
          <cell r="G110" t="str">
            <v>VASHON</v>
          </cell>
          <cell r="H110">
            <v>2107</v>
          </cell>
          <cell r="I110" t="str">
            <v>32RE1</v>
          </cell>
          <cell r="J110" t="str">
            <v>1-32 GAL CAN EOW</v>
          </cell>
          <cell r="K110">
            <v>30.52</v>
          </cell>
          <cell r="L110">
            <v>15.26</v>
          </cell>
        </row>
        <row r="111">
          <cell r="A111" t="str">
            <v>VASHONRESIDENTIAL32RM1</v>
          </cell>
          <cell r="B111" t="str">
            <v>MONTHLY ARREARS</v>
          </cell>
          <cell r="C111" t="str">
            <v>2111</v>
          </cell>
          <cell r="D111" t="str">
            <v>RESIDENTIAL</v>
          </cell>
          <cell r="E111" t="b">
            <v>0</v>
          </cell>
          <cell r="F111" t="b">
            <v>0</v>
          </cell>
          <cell r="G111" t="str">
            <v>VASHON</v>
          </cell>
          <cell r="H111">
            <v>2111</v>
          </cell>
          <cell r="I111" t="str">
            <v>32RM1</v>
          </cell>
          <cell r="J111" t="str">
            <v>1-32 GAL CAN MONTHLY</v>
          </cell>
          <cell r="K111">
            <v>12.38</v>
          </cell>
          <cell r="L111">
            <v>12.38</v>
          </cell>
        </row>
        <row r="112">
          <cell r="A112" t="str">
            <v>VASHONRESIDENTIAL32ROCPU</v>
          </cell>
          <cell r="B112" t="str">
            <v>ONCALL</v>
          </cell>
          <cell r="C112" t="str">
            <v>2111</v>
          </cell>
          <cell r="D112" t="str">
            <v>RESIDENTIAL</v>
          </cell>
          <cell r="E112" t="b">
            <v>1</v>
          </cell>
          <cell r="F112" t="b">
            <v>0</v>
          </cell>
          <cell r="G112" t="str">
            <v>VASHON</v>
          </cell>
          <cell r="H112">
            <v>2141</v>
          </cell>
          <cell r="I112" t="str">
            <v>32ROCPU</v>
          </cell>
          <cell r="J112" t="str">
            <v>1-32 GAL CART-ON CALL</v>
          </cell>
          <cell r="K112">
            <v>6.13</v>
          </cell>
          <cell r="L112">
            <v>6.13</v>
          </cell>
        </row>
        <row r="113">
          <cell r="A113" t="str">
            <v>VASHONRESIDENTIAL32RW1</v>
          </cell>
          <cell r="B113" t="str">
            <v>BI-MONTHLY SPLIT ODD</v>
          </cell>
          <cell r="C113" t="str">
            <v>2111</v>
          </cell>
          <cell r="D113" t="str">
            <v>RESIDENTIAL</v>
          </cell>
          <cell r="E113" t="b">
            <v>0</v>
          </cell>
          <cell r="F113" t="b">
            <v>0</v>
          </cell>
          <cell r="G113" t="str">
            <v>VASHON</v>
          </cell>
          <cell r="H113">
            <v>2101</v>
          </cell>
          <cell r="I113" t="str">
            <v>32RW1</v>
          </cell>
          <cell r="J113" t="str">
            <v>1-32 GAL CAN WEEKLY</v>
          </cell>
          <cell r="K113">
            <v>39.299999999999997</v>
          </cell>
          <cell r="L113">
            <v>19.649999999999999</v>
          </cell>
        </row>
        <row r="114">
          <cell r="A114" t="str">
            <v>VASHONRESIDENTIAL32RW2</v>
          </cell>
          <cell r="B114" t="str">
            <v>BI-MONTHLY SPLIT ODD</v>
          </cell>
          <cell r="C114" t="str">
            <v>2111</v>
          </cell>
          <cell r="D114" t="str">
            <v>RESIDENTIAL</v>
          </cell>
          <cell r="E114" t="b">
            <v>0</v>
          </cell>
          <cell r="F114" t="b">
            <v>0</v>
          </cell>
          <cell r="G114" t="str">
            <v>VASHON</v>
          </cell>
          <cell r="H114">
            <v>2102</v>
          </cell>
          <cell r="I114" t="str">
            <v>32RW2</v>
          </cell>
          <cell r="J114" t="str">
            <v>2-32 GAL CANS WEEKLY</v>
          </cell>
          <cell r="K114">
            <v>55.14</v>
          </cell>
          <cell r="L114">
            <v>27.57</v>
          </cell>
        </row>
        <row r="115">
          <cell r="A115" t="str">
            <v>VASHONRESIDENTIAL32RW3</v>
          </cell>
          <cell r="B115" t="str">
            <v>BI-MONTHLY SPLIT ODD</v>
          </cell>
          <cell r="C115" t="str">
            <v>2111</v>
          </cell>
          <cell r="D115" t="str">
            <v>RESIDENTIAL</v>
          </cell>
          <cell r="E115" t="b">
            <v>0</v>
          </cell>
          <cell r="F115" t="b">
            <v>0</v>
          </cell>
          <cell r="G115" t="str">
            <v>VASHON</v>
          </cell>
          <cell r="H115">
            <v>2103</v>
          </cell>
          <cell r="I115" t="str">
            <v>32RW3</v>
          </cell>
          <cell r="J115" t="str">
            <v>3-32 GAL CANS WEEKLY</v>
          </cell>
          <cell r="K115">
            <v>74.8</v>
          </cell>
          <cell r="L115">
            <v>37.4</v>
          </cell>
        </row>
        <row r="116">
          <cell r="A116" t="str">
            <v>VASHONRESIDENTIAL32RW4</v>
          </cell>
          <cell r="B116" t="str">
            <v>BI-MONTHLY SPLIT ODD</v>
          </cell>
          <cell r="C116" t="str">
            <v>2111</v>
          </cell>
          <cell r="D116" t="str">
            <v>RESIDENTIAL</v>
          </cell>
          <cell r="E116" t="b">
            <v>0</v>
          </cell>
          <cell r="F116" t="b">
            <v>0</v>
          </cell>
          <cell r="G116" t="str">
            <v>VASHON</v>
          </cell>
          <cell r="H116">
            <v>2104</v>
          </cell>
          <cell r="I116" t="str">
            <v>32RW4</v>
          </cell>
          <cell r="J116" t="str">
            <v>4-32 GAL CANS WEEKLY</v>
          </cell>
          <cell r="K116">
            <v>93.66</v>
          </cell>
          <cell r="L116">
            <v>46.83</v>
          </cell>
        </row>
        <row r="117">
          <cell r="A117" t="str">
            <v>M-EDGEWOODCOMMERCIAL35CW1</v>
          </cell>
          <cell r="B117" t="str">
            <v>MONTHLY ARREARS</v>
          </cell>
          <cell r="C117" t="str">
            <v>2111</v>
          </cell>
          <cell r="D117" t="str">
            <v>COMMERCIAL</v>
          </cell>
          <cell r="E117" t="b">
            <v>0</v>
          </cell>
          <cell r="F117" t="b">
            <v>0</v>
          </cell>
          <cell r="G117" t="str">
            <v>M-EDGEWOOD</v>
          </cell>
          <cell r="H117">
            <v>3544</v>
          </cell>
          <cell r="I117" t="str">
            <v>35CW1</v>
          </cell>
          <cell r="J117" t="str">
            <v>1-35 GAL CART WKLY</v>
          </cell>
          <cell r="K117">
            <v>21.64</v>
          </cell>
          <cell r="L117">
            <v>21.64</v>
          </cell>
        </row>
        <row r="118">
          <cell r="A118" t="str">
            <v>M-FIFECOMMERCIAL35CW1</v>
          </cell>
          <cell r="B118" t="str">
            <v>MONTHLY ARREARS</v>
          </cell>
          <cell r="C118" t="str">
            <v>2111</v>
          </cell>
          <cell r="D118" t="str">
            <v>COMMERCIAL</v>
          </cell>
          <cell r="E118" t="b">
            <v>0</v>
          </cell>
          <cell r="F118" t="b">
            <v>0</v>
          </cell>
          <cell r="G118" t="str">
            <v>M-FIFE</v>
          </cell>
          <cell r="H118">
            <v>3544</v>
          </cell>
          <cell r="I118" t="str">
            <v>35CW1</v>
          </cell>
          <cell r="J118" t="str">
            <v>1-35 GAL CART WKLY</v>
          </cell>
          <cell r="K118">
            <v>21.64</v>
          </cell>
          <cell r="L118">
            <v>21.64</v>
          </cell>
        </row>
        <row r="119">
          <cell r="A119" t="str">
            <v>MURREYSCOMMERCIAL35CW1</v>
          </cell>
          <cell r="B119" t="str">
            <v>MONTHLY ARREARS</v>
          </cell>
          <cell r="C119" t="str">
            <v>2111</v>
          </cell>
          <cell r="D119" t="str">
            <v>COMMERCIAL</v>
          </cell>
          <cell r="E119" t="b">
            <v>0</v>
          </cell>
          <cell r="F119" t="b">
            <v>0</v>
          </cell>
          <cell r="G119" t="str">
            <v>MURREYS</v>
          </cell>
          <cell r="H119">
            <v>3544</v>
          </cell>
          <cell r="I119" t="str">
            <v>35CW1</v>
          </cell>
          <cell r="J119" t="str">
            <v>1-35 GAL CART WKLY</v>
          </cell>
          <cell r="K119">
            <v>21.64</v>
          </cell>
          <cell r="L119">
            <v>21.64</v>
          </cell>
        </row>
        <row r="120">
          <cell r="A120" t="str">
            <v>RUSTONCOMMERCIAL35CW1</v>
          </cell>
          <cell r="B120" t="str">
            <v>MONTHLY ARREARS</v>
          </cell>
          <cell r="C120" t="str">
            <v>2111</v>
          </cell>
          <cell r="D120" t="str">
            <v>COMMERCIAL</v>
          </cell>
          <cell r="E120" t="b">
            <v>0</v>
          </cell>
          <cell r="F120" t="b">
            <v>0</v>
          </cell>
          <cell r="G120" t="str">
            <v>RUSTON</v>
          </cell>
          <cell r="H120">
            <v>3544</v>
          </cell>
          <cell r="I120" t="str">
            <v>35CW1</v>
          </cell>
          <cell r="J120" t="str">
            <v>1-35 GAL CART WKLY</v>
          </cell>
          <cell r="K120">
            <v>30.38</v>
          </cell>
          <cell r="L120">
            <v>30.38</v>
          </cell>
        </row>
        <row r="121">
          <cell r="A121" t="str">
            <v>SUMNERCOMMERCIAL35CW1</v>
          </cell>
          <cell r="B121" t="str">
            <v>MONTHLY ARREARS</v>
          </cell>
          <cell r="C121" t="str">
            <v>2111</v>
          </cell>
          <cell r="D121" t="str">
            <v>COMMERCIAL</v>
          </cell>
          <cell r="E121" t="b">
            <v>0</v>
          </cell>
          <cell r="F121" t="b">
            <v>0</v>
          </cell>
          <cell r="G121" t="str">
            <v>SUMNER</v>
          </cell>
          <cell r="H121">
            <v>3544</v>
          </cell>
          <cell r="I121" t="str">
            <v>35CW1</v>
          </cell>
          <cell r="J121" t="str">
            <v>1-35 GAL CART WKLY</v>
          </cell>
          <cell r="K121">
            <v>30.98</v>
          </cell>
          <cell r="L121">
            <v>30.98</v>
          </cell>
        </row>
        <row r="122">
          <cell r="A122" t="str">
            <v>M-EDGEWOODMULTI-FAMILY35MOCPU</v>
          </cell>
          <cell r="B122" t="str">
            <v>ONCALL</v>
          </cell>
          <cell r="C122" t="str">
            <v>2111</v>
          </cell>
          <cell r="D122" t="str">
            <v>MULTI-FAMILY</v>
          </cell>
          <cell r="E122" t="b">
            <v>1</v>
          </cell>
          <cell r="F122" t="b">
            <v>0</v>
          </cell>
          <cell r="G122" t="str">
            <v>M-EDGEWOOD</v>
          </cell>
          <cell r="H122">
            <v>3533</v>
          </cell>
          <cell r="I122" t="str">
            <v>35MOCPU</v>
          </cell>
          <cell r="J122" t="str">
            <v>MF 1-35 GAL  CART ON CALL</v>
          </cell>
          <cell r="K122">
            <v>19.84</v>
          </cell>
          <cell r="L122">
            <v>19.84</v>
          </cell>
        </row>
        <row r="123">
          <cell r="A123" t="str">
            <v>M-FIFEMULTI-FAMILY35MOCPU</v>
          </cell>
          <cell r="B123" t="str">
            <v>ONCALL</v>
          </cell>
          <cell r="C123" t="str">
            <v>2111</v>
          </cell>
          <cell r="D123" t="str">
            <v>MULTI-FAMILY</v>
          </cell>
          <cell r="E123" t="b">
            <v>1</v>
          </cell>
          <cell r="F123" t="b">
            <v>0</v>
          </cell>
          <cell r="G123" t="str">
            <v>M-FIFE</v>
          </cell>
          <cell r="H123">
            <v>3533</v>
          </cell>
          <cell r="I123" t="str">
            <v>35MOCPU</v>
          </cell>
          <cell r="J123" t="str">
            <v>MF 1-35 GAL  CART ON CALL</v>
          </cell>
          <cell r="K123">
            <v>19.84</v>
          </cell>
          <cell r="L123">
            <v>19.84</v>
          </cell>
        </row>
        <row r="124">
          <cell r="A124" t="str">
            <v>MURREYSMULTI-FAMILY35MOCPU</v>
          </cell>
          <cell r="B124" t="str">
            <v>ONCALL</v>
          </cell>
          <cell r="C124" t="str">
            <v>2111</v>
          </cell>
          <cell r="D124" t="str">
            <v>MULTI-FAMILY</v>
          </cell>
          <cell r="E124" t="b">
            <v>1</v>
          </cell>
          <cell r="F124" t="b">
            <v>0</v>
          </cell>
          <cell r="G124" t="str">
            <v>MURREYS</v>
          </cell>
          <cell r="H124">
            <v>3533</v>
          </cell>
          <cell r="I124" t="str">
            <v>35MOCPU</v>
          </cell>
          <cell r="J124" t="str">
            <v>MF 1-35 GAL  CART ON CALL</v>
          </cell>
          <cell r="K124">
            <v>19.84</v>
          </cell>
          <cell r="L124">
            <v>19.84</v>
          </cell>
        </row>
        <row r="125">
          <cell r="A125" t="str">
            <v>M-EDGEWOODMULTI-FAMILY35MW1</v>
          </cell>
          <cell r="B125" t="str">
            <v>MONTHLY ARREARS</v>
          </cell>
          <cell r="C125" t="str">
            <v>2111</v>
          </cell>
          <cell r="D125" t="str">
            <v>MULTI-FAMILY</v>
          </cell>
          <cell r="E125" t="b">
            <v>0</v>
          </cell>
          <cell r="F125" t="b">
            <v>0</v>
          </cell>
          <cell r="G125" t="str">
            <v>M-EDGEWOOD</v>
          </cell>
          <cell r="H125">
            <v>3527</v>
          </cell>
          <cell r="I125" t="str">
            <v>35MW1</v>
          </cell>
          <cell r="J125" t="str">
            <v>MF 1-35 GAL CART</v>
          </cell>
          <cell r="K125">
            <v>23.13</v>
          </cell>
          <cell r="L125">
            <v>23.13</v>
          </cell>
        </row>
        <row r="126">
          <cell r="A126" t="str">
            <v>M-FIFEMULTI-FAMILY35MW1</v>
          </cell>
          <cell r="B126" t="str">
            <v>MONTHLY ARREARS</v>
          </cell>
          <cell r="C126" t="str">
            <v>2111</v>
          </cell>
          <cell r="D126" t="str">
            <v>MULTI-FAMILY</v>
          </cell>
          <cell r="E126" t="b">
            <v>0</v>
          </cell>
          <cell r="F126" t="b">
            <v>0</v>
          </cell>
          <cell r="G126" t="str">
            <v>M-FIFE</v>
          </cell>
          <cell r="H126">
            <v>3527</v>
          </cell>
          <cell r="I126" t="str">
            <v>35MW1</v>
          </cell>
          <cell r="J126" t="str">
            <v>MF 1-35 GAL CART</v>
          </cell>
          <cell r="K126">
            <v>23.13</v>
          </cell>
          <cell r="L126">
            <v>23.13</v>
          </cell>
        </row>
        <row r="127">
          <cell r="A127" t="str">
            <v>MURREYSMULTI-FAMILY35MW1</v>
          </cell>
          <cell r="B127" t="str">
            <v>MONTHLY ARREARS</v>
          </cell>
          <cell r="C127" t="str">
            <v>2111</v>
          </cell>
          <cell r="D127" t="str">
            <v>MULTI-FAMILY</v>
          </cell>
          <cell r="E127" t="b">
            <v>0</v>
          </cell>
          <cell r="F127" t="b">
            <v>0</v>
          </cell>
          <cell r="G127" t="str">
            <v>MURREYS</v>
          </cell>
          <cell r="H127">
            <v>3527</v>
          </cell>
          <cell r="I127" t="str">
            <v>35MW1</v>
          </cell>
          <cell r="J127" t="str">
            <v>MF 1-35 GAL CART</v>
          </cell>
          <cell r="K127">
            <v>23.13</v>
          </cell>
          <cell r="L127">
            <v>23.13</v>
          </cell>
        </row>
        <row r="128">
          <cell r="A128" t="str">
            <v>M-EDGEWOODMULTI-FAMILY35MW1N</v>
          </cell>
          <cell r="B128" t="str">
            <v>MONTHLY ARREARS</v>
          </cell>
          <cell r="C128" t="str">
            <v>2111</v>
          </cell>
          <cell r="D128" t="str">
            <v>MULTI-FAMILY</v>
          </cell>
          <cell r="E128" t="b">
            <v>0</v>
          </cell>
          <cell r="F128" t="b">
            <v>0</v>
          </cell>
          <cell r="G128" t="str">
            <v>M-EDGEWOOD</v>
          </cell>
          <cell r="H128">
            <v>3526</v>
          </cell>
          <cell r="I128" t="str">
            <v>35MW1N</v>
          </cell>
          <cell r="J128" t="str">
            <v>MF 1-35 GAL CART NONREC</v>
          </cell>
          <cell r="K128">
            <v>23.88</v>
          </cell>
          <cell r="L128">
            <v>23.88</v>
          </cell>
        </row>
        <row r="129">
          <cell r="A129" t="str">
            <v>M-FIFEMULTI-FAMILY35MW1N</v>
          </cell>
          <cell r="B129" t="str">
            <v>MONTHLY ARREARS</v>
          </cell>
          <cell r="C129" t="str">
            <v>2111</v>
          </cell>
          <cell r="D129" t="str">
            <v>MULTI-FAMILY</v>
          </cell>
          <cell r="E129" t="b">
            <v>0</v>
          </cell>
          <cell r="F129" t="b">
            <v>0</v>
          </cell>
          <cell r="G129" t="str">
            <v>M-FIFE</v>
          </cell>
          <cell r="H129">
            <v>3526</v>
          </cell>
          <cell r="I129" t="str">
            <v>35MW1N</v>
          </cell>
          <cell r="J129" t="str">
            <v>MF 1-35 GAL CART NONREC</v>
          </cell>
          <cell r="K129">
            <v>23.88</v>
          </cell>
          <cell r="L129">
            <v>23.88</v>
          </cell>
        </row>
        <row r="130">
          <cell r="A130" t="str">
            <v>MURREYSMULTI-FAMILY35MW1N</v>
          </cell>
          <cell r="B130" t="str">
            <v>MONTHLY ARREARS</v>
          </cell>
          <cell r="C130" t="str">
            <v>2111</v>
          </cell>
          <cell r="D130" t="str">
            <v>MULTI-FAMILY</v>
          </cell>
          <cell r="E130" t="b">
            <v>0</v>
          </cell>
          <cell r="F130" t="b">
            <v>0</v>
          </cell>
          <cell r="G130" t="str">
            <v>MURREYS</v>
          </cell>
          <cell r="H130">
            <v>3526</v>
          </cell>
          <cell r="I130" t="str">
            <v>35MW1N</v>
          </cell>
          <cell r="J130" t="str">
            <v>MF 1-35 GAL CART NONREC</v>
          </cell>
          <cell r="K130">
            <v>23.88</v>
          </cell>
          <cell r="L130">
            <v>23.88</v>
          </cell>
        </row>
        <row r="131">
          <cell r="A131" t="str">
            <v>M-EDGEWOODRESIDENTIAL35RM1</v>
          </cell>
          <cell r="B131" t="str">
            <v>BI-MONTHLY SPLIT ODD</v>
          </cell>
          <cell r="C131" t="str">
            <v>2111</v>
          </cell>
          <cell r="D131" t="str">
            <v>RESIDENTIAL</v>
          </cell>
          <cell r="E131" t="b">
            <v>0</v>
          </cell>
          <cell r="F131" t="b">
            <v>0</v>
          </cell>
          <cell r="G131" t="str">
            <v>M-EDGEWOOD</v>
          </cell>
          <cell r="H131">
            <v>3548</v>
          </cell>
          <cell r="I131" t="str">
            <v>35RM1</v>
          </cell>
          <cell r="J131" t="str">
            <v>1-35 GAL CART MONTHLY</v>
          </cell>
          <cell r="K131">
            <v>25.24</v>
          </cell>
          <cell r="L131">
            <v>12.62</v>
          </cell>
        </row>
        <row r="132">
          <cell r="A132" t="str">
            <v>M-FIFERESIDENTIAL35RM1</v>
          </cell>
          <cell r="B132" t="str">
            <v>BI-MONTHLY SPLIT ODD</v>
          </cell>
          <cell r="C132" t="str">
            <v>2111</v>
          </cell>
          <cell r="D132" t="str">
            <v>RESIDENTIAL</v>
          </cell>
          <cell r="E132" t="b">
            <v>0</v>
          </cell>
          <cell r="F132" t="b">
            <v>0</v>
          </cell>
          <cell r="G132" t="str">
            <v>M-FIFE</v>
          </cell>
          <cell r="H132">
            <v>3548</v>
          </cell>
          <cell r="I132" t="str">
            <v>35RM1</v>
          </cell>
          <cell r="J132" t="str">
            <v>1-35 GAL CART MONTHLY</v>
          </cell>
          <cell r="K132">
            <v>25.24</v>
          </cell>
          <cell r="L132">
            <v>12.62</v>
          </cell>
        </row>
        <row r="133">
          <cell r="A133" t="str">
            <v>MURREYSRESIDENTIAL35RM1</v>
          </cell>
          <cell r="B133" t="str">
            <v>BI-MONTHLY SPLIT ODD</v>
          </cell>
          <cell r="C133" t="str">
            <v>2111</v>
          </cell>
          <cell r="D133" t="str">
            <v>RESIDENTIAL</v>
          </cell>
          <cell r="E133" t="b">
            <v>0</v>
          </cell>
          <cell r="F133" t="b">
            <v>0</v>
          </cell>
          <cell r="G133" t="str">
            <v>MURREYS</v>
          </cell>
          <cell r="H133">
            <v>3548</v>
          </cell>
          <cell r="I133" t="str">
            <v>35RM1</v>
          </cell>
          <cell r="J133" t="str">
            <v>1-35 GAL CART MONTHLY</v>
          </cell>
          <cell r="K133">
            <v>25.24</v>
          </cell>
          <cell r="L133">
            <v>12.62</v>
          </cell>
        </row>
        <row r="134">
          <cell r="A134" t="str">
            <v>M-EDGEWOODRESIDENTIAL35ROCPU</v>
          </cell>
          <cell r="B134" t="str">
            <v>ONCALL</v>
          </cell>
          <cell r="C134" t="str">
            <v>2111</v>
          </cell>
          <cell r="D134" t="str">
            <v>RESIDENTIAL</v>
          </cell>
          <cell r="E134" t="b">
            <v>1</v>
          </cell>
          <cell r="F134" t="b">
            <v>0</v>
          </cell>
          <cell r="G134" t="str">
            <v>M-EDGEWOOD</v>
          </cell>
          <cell r="H134">
            <v>3553</v>
          </cell>
          <cell r="I134" t="str">
            <v>35ROCPU</v>
          </cell>
          <cell r="J134" t="str">
            <v>1-35 GAL CART ON CALL</v>
          </cell>
          <cell r="K134">
            <v>14.04</v>
          </cell>
          <cell r="L134">
            <v>14.04</v>
          </cell>
        </row>
        <row r="135">
          <cell r="A135" t="str">
            <v>M-FIFERESIDENTIAL35ROCPU</v>
          </cell>
          <cell r="B135" t="str">
            <v>ONCALL</v>
          </cell>
          <cell r="C135" t="str">
            <v>2111</v>
          </cell>
          <cell r="D135" t="str">
            <v>RESIDENTIAL</v>
          </cell>
          <cell r="E135" t="b">
            <v>1</v>
          </cell>
          <cell r="F135" t="b">
            <v>0</v>
          </cell>
          <cell r="G135" t="str">
            <v>M-FIFE</v>
          </cell>
          <cell r="H135">
            <v>3553</v>
          </cell>
          <cell r="I135" t="str">
            <v>35ROCPU</v>
          </cell>
          <cell r="J135" t="str">
            <v>1-35 GAL CART ON CALL</v>
          </cell>
          <cell r="K135">
            <v>14.04</v>
          </cell>
          <cell r="L135">
            <v>14.04</v>
          </cell>
        </row>
        <row r="136">
          <cell r="A136" t="str">
            <v>MURREYSRESIDENTIAL35ROCPU</v>
          </cell>
          <cell r="B136" t="str">
            <v>ONCALL</v>
          </cell>
          <cell r="C136" t="str">
            <v>2111</v>
          </cell>
          <cell r="D136" t="str">
            <v>RESIDENTIAL</v>
          </cell>
          <cell r="E136" t="b">
            <v>1</v>
          </cell>
          <cell r="F136" t="b">
            <v>0</v>
          </cell>
          <cell r="G136" t="str">
            <v>MURREYS</v>
          </cell>
          <cell r="H136">
            <v>3553</v>
          </cell>
          <cell r="I136" t="str">
            <v>35ROCPU</v>
          </cell>
          <cell r="J136" t="str">
            <v>1-35 GAL CART ON CALL</v>
          </cell>
          <cell r="K136">
            <v>14.04</v>
          </cell>
          <cell r="L136">
            <v>14.04</v>
          </cell>
        </row>
        <row r="137">
          <cell r="A137" t="str">
            <v>BONNEY LAKERESIDENTIAL35RW1N</v>
          </cell>
          <cell r="B137" t="str">
            <v>BI-MONTHLY ADVANCED ODD</v>
          </cell>
          <cell r="C137" t="str">
            <v>2111</v>
          </cell>
          <cell r="D137" t="str">
            <v>RESIDENTIAL</v>
          </cell>
          <cell r="E137" t="b">
            <v>0</v>
          </cell>
          <cell r="F137" t="b">
            <v>0</v>
          </cell>
          <cell r="G137" t="str">
            <v>BONNEY LAKE</v>
          </cell>
          <cell r="H137">
            <v>511</v>
          </cell>
          <cell r="I137" t="str">
            <v>35RW1N</v>
          </cell>
          <cell r="J137" t="str">
            <v>1-35 GAL CART WKLY NONREC</v>
          </cell>
          <cell r="K137">
            <v>61.52</v>
          </cell>
          <cell r="L137">
            <v>30.76</v>
          </cell>
        </row>
        <row r="138">
          <cell r="A138" t="str">
            <v>BUCKLEYRESIDENTIAL35RW1N</v>
          </cell>
          <cell r="B138" t="str">
            <v>BI-MONTHLY ADVANCED ODD</v>
          </cell>
          <cell r="C138" t="str">
            <v>2111</v>
          </cell>
          <cell r="D138" t="str">
            <v>RESIDENTIAL</v>
          </cell>
          <cell r="E138" t="b">
            <v>0</v>
          </cell>
          <cell r="F138" t="b">
            <v>0</v>
          </cell>
          <cell r="G138" t="str">
            <v>BUCKLEY</v>
          </cell>
          <cell r="H138">
            <v>511</v>
          </cell>
          <cell r="I138" t="str">
            <v>35RW1N</v>
          </cell>
          <cell r="J138" t="str">
            <v>1-35 GAL CART WKLY NONREC</v>
          </cell>
          <cell r="K138">
            <v>58.7</v>
          </cell>
          <cell r="L138">
            <v>29.35</v>
          </cell>
        </row>
        <row r="139">
          <cell r="A139" t="str">
            <v>CARBONADORESIDENTIAL35RW1N</v>
          </cell>
          <cell r="B139" t="str">
            <v>BI-MONTHLY ADVANCED ODD</v>
          </cell>
          <cell r="C139" t="str">
            <v>2111</v>
          </cell>
          <cell r="D139" t="str">
            <v>RESIDENTIAL</v>
          </cell>
          <cell r="E139" t="b">
            <v>0</v>
          </cell>
          <cell r="F139" t="b">
            <v>0</v>
          </cell>
          <cell r="G139" t="str">
            <v>CARBONADO</v>
          </cell>
          <cell r="H139">
            <v>511</v>
          </cell>
          <cell r="I139" t="str">
            <v>35RW1N</v>
          </cell>
          <cell r="J139" t="str">
            <v>1-35 GAL CART WKLY NONREC</v>
          </cell>
          <cell r="K139">
            <v>26.35</v>
          </cell>
          <cell r="L139">
            <v>13.175000000000001</v>
          </cell>
        </row>
        <row r="140">
          <cell r="A140" t="str">
            <v>M-EDGEWOODRESIDENTIAL35RW1N</v>
          </cell>
          <cell r="B140" t="str">
            <v>BI-MONTHLY ADVANCED ODD</v>
          </cell>
          <cell r="C140" t="str">
            <v>2111</v>
          </cell>
          <cell r="D140" t="str">
            <v>RESIDENTIAL</v>
          </cell>
          <cell r="E140" t="b">
            <v>0</v>
          </cell>
          <cell r="F140" t="b">
            <v>0</v>
          </cell>
          <cell r="G140" t="str">
            <v>M-EDGEWOOD</v>
          </cell>
          <cell r="H140">
            <v>511</v>
          </cell>
          <cell r="I140" t="str">
            <v>35RW1N</v>
          </cell>
          <cell r="J140" t="str">
            <v>1-35 GAL CART WKLY NONREC</v>
          </cell>
          <cell r="K140">
            <v>44.72</v>
          </cell>
          <cell r="L140">
            <v>22.36</v>
          </cell>
        </row>
        <row r="141">
          <cell r="A141" t="str">
            <v>M-FIFERESIDENTIAL35RW1N</v>
          </cell>
          <cell r="B141" t="str">
            <v>BI-MONTHLY ADVANCED ODD</v>
          </cell>
          <cell r="C141" t="str">
            <v>2111</v>
          </cell>
          <cell r="D141" t="str">
            <v>RESIDENTIAL</v>
          </cell>
          <cell r="E141" t="b">
            <v>0</v>
          </cell>
          <cell r="F141" t="b">
            <v>0</v>
          </cell>
          <cell r="G141" t="str">
            <v>M-FIFE</v>
          </cell>
          <cell r="H141">
            <v>511</v>
          </cell>
          <cell r="I141" t="str">
            <v>35RW1N</v>
          </cell>
          <cell r="J141" t="str">
            <v>1-35 GAL CART WKLY NONREC</v>
          </cell>
          <cell r="K141">
            <v>44.72</v>
          </cell>
          <cell r="L141">
            <v>22.36</v>
          </cell>
        </row>
        <row r="142">
          <cell r="A142" t="str">
            <v>MILTONRESIDENTIAL35RW1N</v>
          </cell>
          <cell r="B142" t="str">
            <v>BI-MONTHLY ADVANCED ODD</v>
          </cell>
          <cell r="C142" t="str">
            <v>2111</v>
          </cell>
          <cell r="D142" t="str">
            <v>RESIDENTIAL</v>
          </cell>
          <cell r="E142" t="b">
            <v>0</v>
          </cell>
          <cell r="F142" t="b">
            <v>0</v>
          </cell>
          <cell r="G142" t="str">
            <v>MILTON</v>
          </cell>
          <cell r="H142">
            <v>511</v>
          </cell>
          <cell r="I142" t="str">
            <v>35RW1N</v>
          </cell>
          <cell r="J142" t="str">
            <v>1-35 GAL CART WKLY NONREC</v>
          </cell>
          <cell r="K142">
            <v>57.16</v>
          </cell>
          <cell r="L142">
            <v>28.58</v>
          </cell>
        </row>
        <row r="143">
          <cell r="A143" t="str">
            <v>MURREYSRESIDENTIAL35RW1N</v>
          </cell>
          <cell r="B143" t="str">
            <v>BI-MONTHLY ADVANCED ODD</v>
          </cell>
          <cell r="C143" t="str">
            <v>2111</v>
          </cell>
          <cell r="D143" t="str">
            <v>RESIDENTIAL</v>
          </cell>
          <cell r="E143" t="b">
            <v>0</v>
          </cell>
          <cell r="F143" t="b">
            <v>0</v>
          </cell>
          <cell r="G143" t="str">
            <v>MURREYS</v>
          </cell>
          <cell r="H143">
            <v>511</v>
          </cell>
          <cell r="I143" t="str">
            <v>35RW1N</v>
          </cell>
          <cell r="J143" t="str">
            <v>1-35 GAL CART WKLY NONREC</v>
          </cell>
          <cell r="K143">
            <v>44.72</v>
          </cell>
          <cell r="L143">
            <v>22.36</v>
          </cell>
        </row>
        <row r="144">
          <cell r="A144" t="str">
            <v>ORTINGRESIDENTIAL35RW1N</v>
          </cell>
          <cell r="B144" t="str">
            <v>BI-MONTHLY ADVANCED ODD</v>
          </cell>
          <cell r="C144" t="str">
            <v>2111</v>
          </cell>
          <cell r="D144" t="str">
            <v>RESIDENTIAL</v>
          </cell>
          <cell r="E144" t="b">
            <v>0</v>
          </cell>
          <cell r="F144" t="b">
            <v>0</v>
          </cell>
          <cell r="G144" t="str">
            <v>ORTING</v>
          </cell>
          <cell r="H144">
            <v>511</v>
          </cell>
          <cell r="I144" t="str">
            <v>35RW1N</v>
          </cell>
          <cell r="J144" t="str">
            <v>1-35 GAL CART WKLY NONREC</v>
          </cell>
          <cell r="K144">
            <v>50.52</v>
          </cell>
          <cell r="L144">
            <v>25.26</v>
          </cell>
        </row>
        <row r="145">
          <cell r="A145" t="str">
            <v>PUYALLUPRESIDENTIAL35RW1N</v>
          </cell>
          <cell r="B145" t="str">
            <v>BI-MONTHLY ADVANCED ODD</v>
          </cell>
          <cell r="C145" t="str">
            <v>2111</v>
          </cell>
          <cell r="D145" t="str">
            <v>RESIDENTIAL</v>
          </cell>
          <cell r="E145" t="b">
            <v>0</v>
          </cell>
          <cell r="F145" t="b">
            <v>0</v>
          </cell>
          <cell r="G145" t="str">
            <v>PUYALLUP</v>
          </cell>
          <cell r="H145">
            <v>511</v>
          </cell>
          <cell r="I145" t="str">
            <v>35RW1N</v>
          </cell>
          <cell r="J145" t="str">
            <v>1-35 GAL CART WKLY NONREC</v>
          </cell>
          <cell r="K145">
            <v>68.48</v>
          </cell>
          <cell r="L145">
            <v>34.24</v>
          </cell>
        </row>
        <row r="146">
          <cell r="A146" t="str">
            <v>RUSTONRESIDENTIAL35RW1N</v>
          </cell>
          <cell r="B146" t="str">
            <v>BI-MONTHLY ADVANCED ODD</v>
          </cell>
          <cell r="C146" t="str">
            <v>2111</v>
          </cell>
          <cell r="D146" t="str">
            <v>RESIDENTIAL</v>
          </cell>
          <cell r="E146" t="b">
            <v>0</v>
          </cell>
          <cell r="F146" t="b">
            <v>0</v>
          </cell>
          <cell r="G146" t="str">
            <v>RUSTON</v>
          </cell>
          <cell r="H146">
            <v>511</v>
          </cell>
          <cell r="I146" t="str">
            <v>35RW1N</v>
          </cell>
          <cell r="J146" t="str">
            <v>1-35 GAL CART WKLY NONREC</v>
          </cell>
          <cell r="K146">
            <v>71.459999999999994</v>
          </cell>
          <cell r="L146">
            <v>35.729999999999997</v>
          </cell>
        </row>
        <row r="147">
          <cell r="A147" t="str">
            <v>SOUTH PRAIRIERESIDENTIAL35RW1N</v>
          </cell>
          <cell r="B147" t="str">
            <v>BI-MONTHLY ADVANCED ODD</v>
          </cell>
          <cell r="C147" t="str">
            <v>2111</v>
          </cell>
          <cell r="D147" t="str">
            <v>RESIDENTIAL</v>
          </cell>
          <cell r="E147" t="b">
            <v>0</v>
          </cell>
          <cell r="F147" t="b">
            <v>0</v>
          </cell>
          <cell r="G147" t="str">
            <v>SOUTH PRAIRIE</v>
          </cell>
          <cell r="H147">
            <v>511</v>
          </cell>
          <cell r="I147" t="str">
            <v>35RW1N</v>
          </cell>
          <cell r="J147" t="str">
            <v>1-35 GAL CART WKLY NONREC</v>
          </cell>
          <cell r="K147">
            <v>61.38</v>
          </cell>
          <cell r="L147">
            <v>30.69</v>
          </cell>
        </row>
        <row r="148">
          <cell r="A148" t="str">
            <v>SUMNERRESIDENTIAL35RW1N</v>
          </cell>
          <cell r="B148" t="str">
            <v>BI-MONTHLY ADVANCED ODD</v>
          </cell>
          <cell r="C148" t="str">
            <v>2111</v>
          </cell>
          <cell r="D148" t="str">
            <v>RESIDENTIAL</v>
          </cell>
          <cell r="E148" t="b">
            <v>0</v>
          </cell>
          <cell r="F148" t="b">
            <v>0</v>
          </cell>
          <cell r="G148" t="str">
            <v>SUMNER</v>
          </cell>
          <cell r="H148">
            <v>511</v>
          </cell>
          <cell r="I148" t="str">
            <v>35RW1N</v>
          </cell>
          <cell r="J148" t="str">
            <v>1-35 GAL CART WKLY NONREC</v>
          </cell>
          <cell r="K148">
            <v>61.96</v>
          </cell>
          <cell r="L148">
            <v>30.98</v>
          </cell>
        </row>
        <row r="149">
          <cell r="A149" t="str">
            <v>BONNEY LAKERESIDENTIAL35RW1R</v>
          </cell>
          <cell r="B149" t="str">
            <v>BI-MONTHLY ADVANCED ODD</v>
          </cell>
          <cell r="C149" t="str">
            <v>2111</v>
          </cell>
          <cell r="D149" t="str">
            <v>RESIDENTIAL</v>
          </cell>
          <cell r="E149" t="b">
            <v>0</v>
          </cell>
          <cell r="F149" t="b">
            <v>0</v>
          </cell>
          <cell r="G149" t="str">
            <v>BONNEY LAKE</v>
          </cell>
          <cell r="H149">
            <v>504</v>
          </cell>
          <cell r="I149" t="str">
            <v>35RW1R</v>
          </cell>
          <cell r="J149" t="str">
            <v>1-35 GAL CART WKLY W/REC</v>
          </cell>
          <cell r="K149">
            <v>61.52</v>
          </cell>
          <cell r="L149">
            <v>30.76</v>
          </cell>
        </row>
        <row r="150">
          <cell r="A150" t="str">
            <v>BUCKLEYRESIDENTIAL35RW1R</v>
          </cell>
          <cell r="B150" t="str">
            <v>BI-MONTHLY ADVANCED ODD</v>
          </cell>
          <cell r="C150" t="str">
            <v>2111</v>
          </cell>
          <cell r="D150" t="str">
            <v>RESIDENTIAL</v>
          </cell>
          <cell r="E150" t="b">
            <v>0</v>
          </cell>
          <cell r="F150" t="b">
            <v>0</v>
          </cell>
          <cell r="G150" t="str">
            <v>BUCKLEY</v>
          </cell>
          <cell r="H150">
            <v>504</v>
          </cell>
          <cell r="I150" t="str">
            <v>35RW1R</v>
          </cell>
          <cell r="J150" t="str">
            <v>1-35 GAL CART WKLY W/REC</v>
          </cell>
          <cell r="K150">
            <v>58.7</v>
          </cell>
          <cell r="L150">
            <v>29.35</v>
          </cell>
        </row>
        <row r="151">
          <cell r="A151" t="str">
            <v>CARBONADORESIDENTIAL35RW1R</v>
          </cell>
          <cell r="B151" t="str">
            <v>BI-MONTHLY ADVANCED ODD</v>
          </cell>
          <cell r="C151" t="str">
            <v>2111</v>
          </cell>
          <cell r="D151" t="str">
            <v>RESIDENTIAL</v>
          </cell>
          <cell r="E151" t="b">
            <v>0</v>
          </cell>
          <cell r="F151" t="b">
            <v>0</v>
          </cell>
          <cell r="G151" t="str">
            <v>CARBONADO</v>
          </cell>
          <cell r="H151">
            <v>504</v>
          </cell>
          <cell r="I151" t="str">
            <v>35RW1R</v>
          </cell>
          <cell r="J151" t="str">
            <v>1-35 GAL CART WKLY W/REC</v>
          </cell>
          <cell r="K151">
            <v>26.35</v>
          </cell>
          <cell r="L151">
            <v>13.175000000000001</v>
          </cell>
        </row>
        <row r="152">
          <cell r="A152" t="str">
            <v>M-EDGEWOODRESIDENTIAL35RW1R</v>
          </cell>
          <cell r="B152" t="str">
            <v>BI-MONTHLY ADVANCED ODD</v>
          </cell>
          <cell r="C152" t="str">
            <v>2111</v>
          </cell>
          <cell r="D152" t="str">
            <v>RESIDENTIAL</v>
          </cell>
          <cell r="E152" t="b">
            <v>0</v>
          </cell>
          <cell r="F152" t="b">
            <v>0</v>
          </cell>
          <cell r="G152" t="str">
            <v>M-EDGEWOOD</v>
          </cell>
          <cell r="H152">
            <v>504</v>
          </cell>
          <cell r="I152" t="str">
            <v>35RW1R</v>
          </cell>
          <cell r="J152" t="str">
            <v>1-35 GAL CART WKLY W/REC</v>
          </cell>
          <cell r="K152">
            <v>42.72</v>
          </cell>
          <cell r="L152">
            <v>21.36</v>
          </cell>
        </row>
        <row r="153">
          <cell r="A153" t="str">
            <v>M-FIFERESIDENTIAL35RW1R</v>
          </cell>
          <cell r="B153" t="str">
            <v>BI-MONTHLY ADVANCED ODD</v>
          </cell>
          <cell r="C153" t="str">
            <v>2111</v>
          </cell>
          <cell r="D153" t="str">
            <v>RESIDENTIAL</v>
          </cell>
          <cell r="E153" t="b">
            <v>0</v>
          </cell>
          <cell r="F153" t="b">
            <v>0</v>
          </cell>
          <cell r="G153" t="str">
            <v>M-FIFE</v>
          </cell>
          <cell r="H153">
            <v>504</v>
          </cell>
          <cell r="I153" t="str">
            <v>35RW1R</v>
          </cell>
          <cell r="J153" t="str">
            <v>1-35 GAL CART WKLY W/REC</v>
          </cell>
          <cell r="K153">
            <v>42.72</v>
          </cell>
          <cell r="L153">
            <v>21.36</v>
          </cell>
        </row>
        <row r="154">
          <cell r="A154" t="str">
            <v>MILTONRESIDENTIAL35RW1R</v>
          </cell>
          <cell r="B154" t="str">
            <v>BI-MONTHLY ADVANCED ODD</v>
          </cell>
          <cell r="C154" t="str">
            <v>2111</v>
          </cell>
          <cell r="D154" t="str">
            <v>RESIDENTIAL</v>
          </cell>
          <cell r="E154" t="b">
            <v>0</v>
          </cell>
          <cell r="F154" t="b">
            <v>0</v>
          </cell>
          <cell r="G154" t="str">
            <v>MILTON</v>
          </cell>
          <cell r="H154">
            <v>504</v>
          </cell>
          <cell r="I154" t="str">
            <v>35RW1R</v>
          </cell>
          <cell r="J154" t="str">
            <v>1-35 GAL CART WKLY W/REC</v>
          </cell>
          <cell r="K154">
            <v>57.16</v>
          </cell>
          <cell r="L154">
            <v>28.58</v>
          </cell>
        </row>
        <row r="155">
          <cell r="A155" t="str">
            <v>MURREYSRESIDENTIAL35RW1R</v>
          </cell>
          <cell r="B155" t="str">
            <v>BI-MONTHLY ADVANCED ODD</v>
          </cell>
          <cell r="C155" t="str">
            <v>2111</v>
          </cell>
          <cell r="D155" t="str">
            <v>RESIDENTIAL</v>
          </cell>
          <cell r="E155" t="b">
            <v>0</v>
          </cell>
          <cell r="F155" t="b">
            <v>0</v>
          </cell>
          <cell r="G155" t="str">
            <v>MURREYS</v>
          </cell>
          <cell r="H155">
            <v>504</v>
          </cell>
          <cell r="I155" t="str">
            <v>35RW1R</v>
          </cell>
          <cell r="J155" t="str">
            <v>1-35 GAL CART WKLY W/REC</v>
          </cell>
          <cell r="K155">
            <v>42.72</v>
          </cell>
          <cell r="L155">
            <v>21.36</v>
          </cell>
        </row>
        <row r="156">
          <cell r="A156" t="str">
            <v>ORTINGRESIDENTIAL35RW1R</v>
          </cell>
          <cell r="B156" t="str">
            <v>BI-MONTHLY ADVANCED ODD</v>
          </cell>
          <cell r="C156" t="str">
            <v>2111</v>
          </cell>
          <cell r="D156" t="str">
            <v>RESIDENTIAL</v>
          </cell>
          <cell r="E156" t="b">
            <v>0</v>
          </cell>
          <cell r="F156" t="b">
            <v>0</v>
          </cell>
          <cell r="G156" t="str">
            <v>ORTING</v>
          </cell>
          <cell r="H156">
            <v>504</v>
          </cell>
          <cell r="I156" t="str">
            <v>35RW1R</v>
          </cell>
          <cell r="J156" t="str">
            <v>1-35 GAL CART WKLY W/REC</v>
          </cell>
          <cell r="K156">
            <v>50.52</v>
          </cell>
          <cell r="L156">
            <v>25.26</v>
          </cell>
        </row>
        <row r="157">
          <cell r="A157" t="str">
            <v>PUYALLUPRESIDENTIAL35RW1R</v>
          </cell>
          <cell r="B157" t="str">
            <v>BI-MONTHLY ADVANCED ODD</v>
          </cell>
          <cell r="C157" t="str">
            <v>2111</v>
          </cell>
          <cell r="D157" t="str">
            <v>RESIDENTIAL</v>
          </cell>
          <cell r="E157" t="b">
            <v>0</v>
          </cell>
          <cell r="F157" t="b">
            <v>0</v>
          </cell>
          <cell r="G157" t="str">
            <v>PUYALLUP</v>
          </cell>
          <cell r="H157">
            <v>504</v>
          </cell>
          <cell r="I157" t="str">
            <v>35RW1R</v>
          </cell>
          <cell r="J157" t="str">
            <v>1-35 GAL CART WKLY W/REC</v>
          </cell>
          <cell r="K157">
            <v>59.96</v>
          </cell>
          <cell r="L157">
            <v>29.98</v>
          </cell>
        </row>
        <row r="158">
          <cell r="A158" t="str">
            <v>RUSTONRESIDENTIAL35RW1R</v>
          </cell>
          <cell r="B158" t="str">
            <v>BI-MONTHLY ADVANCED ODD</v>
          </cell>
          <cell r="C158" t="str">
            <v>2111</v>
          </cell>
          <cell r="D158" t="str">
            <v>RESIDENTIAL</v>
          </cell>
          <cell r="E158" t="b">
            <v>0</v>
          </cell>
          <cell r="F158" t="b">
            <v>0</v>
          </cell>
          <cell r="G158" t="str">
            <v>RUSTON</v>
          </cell>
          <cell r="H158">
            <v>504</v>
          </cell>
          <cell r="I158" t="str">
            <v>35RW1R</v>
          </cell>
          <cell r="J158" t="str">
            <v>1-35 GAL CART WKLY W/REC</v>
          </cell>
          <cell r="K158">
            <v>71.459999999999994</v>
          </cell>
          <cell r="L158">
            <v>35.729999999999997</v>
          </cell>
        </row>
        <row r="159">
          <cell r="A159" t="str">
            <v>SOUTH PRAIRIERESIDENTIAL35RW1R</v>
          </cell>
          <cell r="B159" t="str">
            <v>BI-MONTHLY ADVANCED ODD</v>
          </cell>
          <cell r="C159" t="str">
            <v>2111</v>
          </cell>
          <cell r="D159" t="str">
            <v>RESIDENTIAL</v>
          </cell>
          <cell r="E159" t="b">
            <v>0</v>
          </cell>
          <cell r="F159" t="b">
            <v>0</v>
          </cell>
          <cell r="G159" t="str">
            <v>SOUTH PRAIRIE</v>
          </cell>
          <cell r="H159">
            <v>504</v>
          </cell>
          <cell r="I159" t="str">
            <v>35RW1R</v>
          </cell>
          <cell r="J159" t="str">
            <v>1-35 GAL CART WKLY W/REC</v>
          </cell>
          <cell r="K159">
            <v>61.38</v>
          </cell>
          <cell r="L159">
            <v>30.69</v>
          </cell>
        </row>
        <row r="160">
          <cell r="A160" t="str">
            <v>SUMNERRESIDENTIAL35RW1R</v>
          </cell>
          <cell r="B160" t="str">
            <v>BI-MONTHLY ADVANCED ODD</v>
          </cell>
          <cell r="C160" t="str">
            <v>2111</v>
          </cell>
          <cell r="D160" t="str">
            <v>RESIDENTIAL</v>
          </cell>
          <cell r="E160" t="b">
            <v>0</v>
          </cell>
          <cell r="F160" t="b">
            <v>0</v>
          </cell>
          <cell r="G160" t="str">
            <v>SUMNER</v>
          </cell>
          <cell r="H160">
            <v>504</v>
          </cell>
          <cell r="I160" t="str">
            <v>35RW1R</v>
          </cell>
          <cell r="J160" t="str">
            <v>1-35 GAL CART WKLY W/REC</v>
          </cell>
          <cell r="K160">
            <v>61.96</v>
          </cell>
          <cell r="L160">
            <v>30.98</v>
          </cell>
        </row>
        <row r="161">
          <cell r="A161" t="str">
            <v>DMRCOMMERCIAL RECYCLE65COM1W</v>
          </cell>
          <cell r="B161" t="e">
            <v>#N/A</v>
          </cell>
          <cell r="C161" t="str">
            <v>2111</v>
          </cell>
          <cell r="D161" t="str">
            <v>COMMERCIAL RECYCLE</v>
          </cell>
          <cell r="E161" t="b">
            <v>0</v>
          </cell>
          <cell r="F161" t="b">
            <v>0</v>
          </cell>
          <cell r="G161" t="str">
            <v>DMR</v>
          </cell>
          <cell r="H161">
            <v>3583</v>
          </cell>
          <cell r="I161" t="str">
            <v>65COM1W</v>
          </cell>
          <cell r="J161" t="str">
            <v>65 GAL COMMINGLED 1 X WK</v>
          </cell>
          <cell r="K161">
            <v>27</v>
          </cell>
          <cell r="L161">
            <v>27</v>
          </cell>
        </row>
        <row r="162">
          <cell r="A162" t="str">
            <v>M-EDGEWOODCOMMERCIAL65CW1</v>
          </cell>
          <cell r="B162" t="str">
            <v>MONTHLY ARREARS</v>
          </cell>
          <cell r="C162" t="str">
            <v>2111</v>
          </cell>
          <cell r="D162" t="str">
            <v>COMMERCIAL</v>
          </cell>
          <cell r="E162" t="b">
            <v>0</v>
          </cell>
          <cell r="F162" t="b">
            <v>0</v>
          </cell>
          <cell r="G162" t="str">
            <v>M-EDGEWOOD</v>
          </cell>
          <cell r="H162">
            <v>3545</v>
          </cell>
          <cell r="I162" t="str">
            <v>65CW1</v>
          </cell>
          <cell r="J162" t="str">
            <v>1-65 GAL CART WKLY</v>
          </cell>
          <cell r="K162">
            <v>32.31</v>
          </cell>
          <cell r="L162">
            <v>32.31</v>
          </cell>
        </row>
        <row r="163">
          <cell r="A163" t="str">
            <v>M-FIFECOMMERCIAL65CW1</v>
          </cell>
          <cell r="B163" t="str">
            <v>MONTHLY ARREARS</v>
          </cell>
          <cell r="C163" t="str">
            <v>2111</v>
          </cell>
          <cell r="D163" t="str">
            <v>COMMERCIAL</v>
          </cell>
          <cell r="E163" t="b">
            <v>0</v>
          </cell>
          <cell r="F163" t="b">
            <v>0</v>
          </cell>
          <cell r="G163" t="str">
            <v>M-FIFE</v>
          </cell>
          <cell r="H163">
            <v>3545</v>
          </cell>
          <cell r="I163" t="str">
            <v>65CW1</v>
          </cell>
          <cell r="J163" t="str">
            <v>1-65 GAL CART WKLY</v>
          </cell>
          <cell r="K163">
            <v>32.31</v>
          </cell>
          <cell r="L163">
            <v>32.31</v>
          </cell>
        </row>
        <row r="164">
          <cell r="A164" t="str">
            <v>MURREYSCOMMERCIAL65CW1</v>
          </cell>
          <cell r="B164" t="str">
            <v>MONTHLY ARREARS</v>
          </cell>
          <cell r="C164" t="str">
            <v>2111</v>
          </cell>
          <cell r="D164" t="str">
            <v>COMMERCIAL</v>
          </cell>
          <cell r="E164" t="b">
            <v>0</v>
          </cell>
          <cell r="F164" t="b">
            <v>0</v>
          </cell>
          <cell r="G164" t="str">
            <v>MURREYS</v>
          </cell>
          <cell r="H164">
            <v>3545</v>
          </cell>
          <cell r="I164" t="str">
            <v>65CW1</v>
          </cell>
          <cell r="J164" t="str">
            <v>1-65 GAL CART WKLY</v>
          </cell>
          <cell r="K164">
            <v>32.31</v>
          </cell>
          <cell r="L164">
            <v>32.31</v>
          </cell>
        </row>
        <row r="165">
          <cell r="A165" t="str">
            <v>RUSTONCOMMERCIAL65CW1</v>
          </cell>
          <cell r="B165" t="str">
            <v>MONTHLY ARREARS</v>
          </cell>
          <cell r="C165" t="str">
            <v>2111</v>
          </cell>
          <cell r="D165" t="str">
            <v>COMMERCIAL</v>
          </cell>
          <cell r="E165" t="b">
            <v>0</v>
          </cell>
          <cell r="F165" t="b">
            <v>0</v>
          </cell>
          <cell r="G165" t="str">
            <v>RUSTON</v>
          </cell>
          <cell r="H165">
            <v>3545</v>
          </cell>
          <cell r="I165" t="str">
            <v>65CW1</v>
          </cell>
          <cell r="J165" t="str">
            <v>1-65 GAL CART WKLY</v>
          </cell>
          <cell r="K165">
            <v>37.92</v>
          </cell>
          <cell r="L165">
            <v>37.92</v>
          </cell>
        </row>
        <row r="166">
          <cell r="A166" t="str">
            <v>SUMNERCOMMERCIAL65CW1</v>
          </cell>
          <cell r="B166" t="str">
            <v>MONTHLY ARREARS</v>
          </cell>
          <cell r="C166" t="str">
            <v>2111</v>
          </cell>
          <cell r="D166" t="str">
            <v>COMMERCIAL</v>
          </cell>
          <cell r="E166" t="b">
            <v>0</v>
          </cell>
          <cell r="F166" t="b">
            <v>0</v>
          </cell>
          <cell r="G166" t="str">
            <v>SUMNER</v>
          </cell>
          <cell r="H166">
            <v>3545</v>
          </cell>
          <cell r="I166" t="str">
            <v>65CW1</v>
          </cell>
          <cell r="J166" t="str">
            <v>1-65 GAL CART WKLY</v>
          </cell>
          <cell r="K166">
            <v>43.2</v>
          </cell>
          <cell r="L166">
            <v>43.2</v>
          </cell>
        </row>
        <row r="167">
          <cell r="A167" t="str">
            <v>M-EDGEWOODMULTI-FAMILY65MOCPU</v>
          </cell>
          <cell r="B167" t="str">
            <v>ONCALL</v>
          </cell>
          <cell r="C167" t="str">
            <v>2111</v>
          </cell>
          <cell r="D167" t="str">
            <v>MULTI-FAMILY</v>
          </cell>
          <cell r="E167" t="b">
            <v>1</v>
          </cell>
          <cell r="F167" t="b">
            <v>0</v>
          </cell>
          <cell r="G167" t="str">
            <v>M-EDGEWOOD</v>
          </cell>
          <cell r="H167">
            <v>3534</v>
          </cell>
          <cell r="I167" t="str">
            <v>65MOCPU</v>
          </cell>
          <cell r="J167" t="str">
            <v>MF 1-65 GAL CART ON CALL</v>
          </cell>
          <cell r="K167">
            <v>29.69</v>
          </cell>
          <cell r="L167">
            <v>29.69</v>
          </cell>
        </row>
        <row r="168">
          <cell r="A168" t="str">
            <v>M-FIFEMULTI-FAMILY65MOCPU</v>
          </cell>
          <cell r="B168" t="str">
            <v>ONCALL</v>
          </cell>
          <cell r="C168" t="str">
            <v>2111</v>
          </cell>
          <cell r="D168" t="str">
            <v>MULTI-FAMILY</v>
          </cell>
          <cell r="E168" t="b">
            <v>1</v>
          </cell>
          <cell r="F168" t="b">
            <v>0</v>
          </cell>
          <cell r="G168" t="str">
            <v>M-FIFE</v>
          </cell>
          <cell r="H168">
            <v>3534</v>
          </cell>
          <cell r="I168" t="str">
            <v>65MOCPU</v>
          </cell>
          <cell r="J168" t="str">
            <v>MF 1-65 GAL CART ON CALL</v>
          </cell>
          <cell r="K168">
            <v>29.69</v>
          </cell>
          <cell r="L168">
            <v>29.69</v>
          </cell>
        </row>
        <row r="169">
          <cell r="A169" t="str">
            <v>MURREYSMULTI-FAMILY65MOCPU</v>
          </cell>
          <cell r="B169" t="str">
            <v>ONCALL</v>
          </cell>
          <cell r="C169" t="str">
            <v>2111</v>
          </cell>
          <cell r="D169" t="str">
            <v>MULTI-FAMILY</v>
          </cell>
          <cell r="E169" t="b">
            <v>1</v>
          </cell>
          <cell r="F169" t="b">
            <v>0</v>
          </cell>
          <cell r="G169" t="str">
            <v>MURREYS</v>
          </cell>
          <cell r="H169">
            <v>3534</v>
          </cell>
          <cell r="I169" t="str">
            <v>65MOCPU</v>
          </cell>
          <cell r="J169" t="str">
            <v>MF 1-65 GAL CART ON CALL</v>
          </cell>
          <cell r="K169">
            <v>29.69</v>
          </cell>
          <cell r="L169">
            <v>29.69</v>
          </cell>
        </row>
        <row r="170">
          <cell r="A170" t="str">
            <v>M-EDGEWOODMULTI-FAMILY65MW1</v>
          </cell>
          <cell r="B170" t="str">
            <v>MONTHLY ARREARS</v>
          </cell>
          <cell r="C170" t="str">
            <v>2111</v>
          </cell>
          <cell r="D170" t="str">
            <v>MULTI-FAMILY</v>
          </cell>
          <cell r="E170" t="b">
            <v>0</v>
          </cell>
          <cell r="F170" t="b">
            <v>0</v>
          </cell>
          <cell r="G170" t="str">
            <v>M-EDGEWOOD</v>
          </cell>
          <cell r="H170">
            <v>3529</v>
          </cell>
          <cell r="I170" t="str">
            <v>65MW1</v>
          </cell>
          <cell r="J170" t="str">
            <v>MF 1-65 GAL CART</v>
          </cell>
          <cell r="K170">
            <v>36.130000000000003</v>
          </cell>
          <cell r="L170">
            <v>36.130000000000003</v>
          </cell>
        </row>
        <row r="171">
          <cell r="A171" t="str">
            <v>M-FIFEMULTI-FAMILY65MW1</v>
          </cell>
          <cell r="B171" t="str">
            <v>MONTHLY ARREARS</v>
          </cell>
          <cell r="C171" t="str">
            <v>2111</v>
          </cell>
          <cell r="D171" t="str">
            <v>MULTI-FAMILY</v>
          </cell>
          <cell r="E171" t="b">
            <v>0</v>
          </cell>
          <cell r="F171" t="b">
            <v>0</v>
          </cell>
          <cell r="G171" t="str">
            <v>M-FIFE</v>
          </cell>
          <cell r="H171">
            <v>3529</v>
          </cell>
          <cell r="I171" t="str">
            <v>65MW1</v>
          </cell>
          <cell r="J171" t="str">
            <v>MF 1-65 GAL CART</v>
          </cell>
          <cell r="K171">
            <v>36.130000000000003</v>
          </cell>
          <cell r="L171">
            <v>36.130000000000003</v>
          </cell>
        </row>
        <row r="172">
          <cell r="A172" t="str">
            <v>MURREYSMULTI-FAMILY65MW1</v>
          </cell>
          <cell r="B172" t="str">
            <v>MONTHLY ARREARS</v>
          </cell>
          <cell r="C172" t="str">
            <v>2111</v>
          </cell>
          <cell r="D172" t="str">
            <v>MULTI-FAMILY</v>
          </cell>
          <cell r="E172" t="b">
            <v>0</v>
          </cell>
          <cell r="F172" t="b">
            <v>0</v>
          </cell>
          <cell r="G172" t="str">
            <v>MURREYS</v>
          </cell>
          <cell r="H172">
            <v>3529</v>
          </cell>
          <cell r="I172" t="str">
            <v>65MW1</v>
          </cell>
          <cell r="J172" t="str">
            <v>MF 1-65 GAL CART</v>
          </cell>
          <cell r="K172">
            <v>36.130000000000003</v>
          </cell>
          <cell r="L172">
            <v>36.130000000000003</v>
          </cell>
        </row>
        <row r="173">
          <cell r="A173" t="str">
            <v>M-EDGEWOODMULTI-FAMILY65MW1N</v>
          </cell>
          <cell r="B173" t="str">
            <v>MONTHLY ARREARS</v>
          </cell>
          <cell r="C173" t="str">
            <v>2111</v>
          </cell>
          <cell r="D173" t="str">
            <v>MULTI-FAMILY</v>
          </cell>
          <cell r="E173" t="b">
            <v>0</v>
          </cell>
          <cell r="F173" t="b">
            <v>0</v>
          </cell>
          <cell r="G173" t="str">
            <v>M-EDGEWOOD</v>
          </cell>
          <cell r="H173">
            <v>3528</v>
          </cell>
          <cell r="I173" t="str">
            <v>65MW1N</v>
          </cell>
          <cell r="J173" t="str">
            <v>MF 1-65 GAL CART NONREC</v>
          </cell>
          <cell r="K173">
            <v>36.880000000000003</v>
          </cell>
          <cell r="L173">
            <v>36.880000000000003</v>
          </cell>
        </row>
        <row r="174">
          <cell r="A174" t="str">
            <v>M-FIFEMULTI-FAMILY65MW1N</v>
          </cell>
          <cell r="B174" t="str">
            <v>MONTHLY ARREARS</v>
          </cell>
          <cell r="C174" t="str">
            <v>2111</v>
          </cell>
          <cell r="D174" t="str">
            <v>MULTI-FAMILY</v>
          </cell>
          <cell r="E174" t="b">
            <v>0</v>
          </cell>
          <cell r="F174" t="b">
            <v>0</v>
          </cell>
          <cell r="G174" t="str">
            <v>M-FIFE</v>
          </cell>
          <cell r="H174">
            <v>3528</v>
          </cell>
          <cell r="I174" t="str">
            <v>65MW1N</v>
          </cell>
          <cell r="J174" t="str">
            <v>MF 1-65 GAL CART NONREC</v>
          </cell>
          <cell r="K174">
            <v>36.880000000000003</v>
          </cell>
          <cell r="L174">
            <v>36.880000000000003</v>
          </cell>
        </row>
        <row r="175">
          <cell r="A175" t="str">
            <v>MURREYSMULTI-FAMILY65MW1N</v>
          </cell>
          <cell r="B175" t="str">
            <v>MONTHLY ARREARS</v>
          </cell>
          <cell r="C175" t="str">
            <v>2111</v>
          </cell>
          <cell r="D175" t="str">
            <v>MULTI-FAMILY</v>
          </cell>
          <cell r="E175" t="b">
            <v>0</v>
          </cell>
          <cell r="F175" t="b">
            <v>0</v>
          </cell>
          <cell r="G175" t="str">
            <v>MURREYS</v>
          </cell>
          <cell r="H175">
            <v>3528</v>
          </cell>
          <cell r="I175" t="str">
            <v>65MW1N</v>
          </cell>
          <cell r="J175" t="str">
            <v>MF 1-65 GAL CART NONREC</v>
          </cell>
          <cell r="K175">
            <v>36.880000000000003</v>
          </cell>
          <cell r="L175">
            <v>36.880000000000003</v>
          </cell>
        </row>
        <row r="176">
          <cell r="A176" t="str">
            <v>M-EDGEWOODRESIDENTIAL65RM1</v>
          </cell>
          <cell r="B176" t="str">
            <v>BI-MONTHLY SPLIT ODD</v>
          </cell>
          <cell r="C176" t="str">
            <v>2111</v>
          </cell>
          <cell r="D176" t="str">
            <v>RESIDENTIAL</v>
          </cell>
          <cell r="E176" t="b">
            <v>0</v>
          </cell>
          <cell r="F176" t="b">
            <v>0</v>
          </cell>
          <cell r="G176" t="str">
            <v>M-EDGEWOOD</v>
          </cell>
          <cell r="H176">
            <v>3550</v>
          </cell>
          <cell r="I176" t="str">
            <v>65RM1</v>
          </cell>
          <cell r="J176" t="str">
            <v>1-65 GAL CART MONTHLY</v>
          </cell>
          <cell r="K176">
            <v>37.700000000000003</v>
          </cell>
          <cell r="L176">
            <v>18.850000000000001</v>
          </cell>
        </row>
        <row r="177">
          <cell r="A177" t="str">
            <v>M-FIFERESIDENTIAL65RM1</v>
          </cell>
          <cell r="B177" t="str">
            <v>BI-MONTHLY SPLIT ODD</v>
          </cell>
          <cell r="C177" t="str">
            <v>2111</v>
          </cell>
          <cell r="D177" t="str">
            <v>RESIDENTIAL</v>
          </cell>
          <cell r="E177" t="b">
            <v>0</v>
          </cell>
          <cell r="F177" t="b">
            <v>0</v>
          </cell>
          <cell r="G177" t="str">
            <v>M-FIFE</v>
          </cell>
          <cell r="H177">
            <v>3550</v>
          </cell>
          <cell r="I177" t="str">
            <v>65RM1</v>
          </cell>
          <cell r="J177" t="str">
            <v>1-65 GAL CART MONTHLY</v>
          </cell>
          <cell r="K177">
            <v>37.700000000000003</v>
          </cell>
          <cell r="L177">
            <v>18.850000000000001</v>
          </cell>
        </row>
        <row r="178">
          <cell r="A178" t="str">
            <v>MURREYSRESIDENTIAL65RM1</v>
          </cell>
          <cell r="B178" t="str">
            <v>BI-MONTHLY SPLIT ODD</v>
          </cell>
          <cell r="C178" t="str">
            <v>2111</v>
          </cell>
          <cell r="D178" t="str">
            <v>RESIDENTIAL</v>
          </cell>
          <cell r="E178" t="b">
            <v>0</v>
          </cell>
          <cell r="F178" t="b">
            <v>0</v>
          </cell>
          <cell r="G178" t="str">
            <v>MURREYS</v>
          </cell>
          <cell r="H178">
            <v>3550</v>
          </cell>
          <cell r="I178" t="str">
            <v>65RM1</v>
          </cell>
          <cell r="J178" t="str">
            <v>1-65 GAL CART MONTHLY</v>
          </cell>
          <cell r="K178">
            <v>37.700000000000003</v>
          </cell>
          <cell r="L178">
            <v>18.850000000000001</v>
          </cell>
        </row>
        <row r="179">
          <cell r="A179" t="str">
            <v>M-EDGEWOODRESIDENTIAL65ROCPU</v>
          </cell>
          <cell r="B179" t="str">
            <v>ONCALL</v>
          </cell>
          <cell r="C179" t="str">
            <v>2111</v>
          </cell>
          <cell r="D179" t="str">
            <v>RESIDENTIAL</v>
          </cell>
          <cell r="E179" t="b">
            <v>1</v>
          </cell>
          <cell r="F179" t="b">
            <v>0</v>
          </cell>
          <cell r="G179" t="str">
            <v>M-EDGEWOOD</v>
          </cell>
          <cell r="H179">
            <v>3555</v>
          </cell>
          <cell r="I179" t="str">
            <v>65ROCPU</v>
          </cell>
          <cell r="J179" t="str">
            <v>1-65 GAL CART ON CALL</v>
          </cell>
          <cell r="K179">
            <v>20.98</v>
          </cell>
          <cell r="L179">
            <v>20.98</v>
          </cell>
        </row>
        <row r="180">
          <cell r="A180" t="str">
            <v>M-FIFERESIDENTIAL65ROCPU</v>
          </cell>
          <cell r="B180" t="str">
            <v>ONCALL</v>
          </cell>
          <cell r="C180" t="str">
            <v>2111</v>
          </cell>
          <cell r="D180" t="str">
            <v>RESIDENTIAL</v>
          </cell>
          <cell r="E180" t="b">
            <v>1</v>
          </cell>
          <cell r="F180" t="b">
            <v>0</v>
          </cell>
          <cell r="G180" t="str">
            <v>M-FIFE</v>
          </cell>
          <cell r="H180">
            <v>3555</v>
          </cell>
          <cell r="I180" t="str">
            <v>65ROCPU</v>
          </cell>
          <cell r="J180" t="str">
            <v>1-65 GAL CART ON CALL</v>
          </cell>
          <cell r="K180">
            <v>20.98</v>
          </cell>
          <cell r="L180">
            <v>20.98</v>
          </cell>
        </row>
        <row r="181">
          <cell r="A181" t="str">
            <v>MURREYSRESIDENTIAL65ROCPU</v>
          </cell>
          <cell r="B181" t="str">
            <v>ONCALL</v>
          </cell>
          <cell r="C181" t="str">
            <v>2111</v>
          </cell>
          <cell r="D181" t="str">
            <v>RESIDENTIAL</v>
          </cell>
          <cell r="E181" t="b">
            <v>1</v>
          </cell>
          <cell r="F181" t="b">
            <v>0</v>
          </cell>
          <cell r="G181" t="str">
            <v>MURREYS</v>
          </cell>
          <cell r="H181">
            <v>3555</v>
          </cell>
          <cell r="I181" t="str">
            <v>65ROCPU</v>
          </cell>
          <cell r="J181" t="str">
            <v>1-65 GAL CART ON CALL</v>
          </cell>
          <cell r="K181">
            <v>20.98</v>
          </cell>
          <cell r="L181">
            <v>20.98</v>
          </cell>
        </row>
        <row r="182">
          <cell r="A182" t="str">
            <v>BONNEY LAKERESIDENTIAL65RW1N</v>
          </cell>
          <cell r="B182" t="str">
            <v>BI-MONTHLY ADVANCED ODD</v>
          </cell>
          <cell r="C182" t="str">
            <v>2111</v>
          </cell>
          <cell r="D182" t="str">
            <v>RESIDENTIAL</v>
          </cell>
          <cell r="E182" t="b">
            <v>0</v>
          </cell>
          <cell r="F182" t="b">
            <v>0</v>
          </cell>
          <cell r="G182" t="str">
            <v>BONNEY LAKE</v>
          </cell>
          <cell r="H182">
            <v>3477</v>
          </cell>
          <cell r="I182" t="str">
            <v>65RW1N</v>
          </cell>
          <cell r="J182" t="str">
            <v>1-65 GAL CART WKLY NONREC</v>
          </cell>
          <cell r="K182">
            <v>90.2</v>
          </cell>
          <cell r="L182">
            <v>45.1</v>
          </cell>
        </row>
        <row r="183">
          <cell r="A183" t="str">
            <v>BUCKLEYRESIDENTIAL65RW1N</v>
          </cell>
          <cell r="B183" t="str">
            <v>BI-MONTHLY ADVANCED ODD</v>
          </cell>
          <cell r="C183" t="str">
            <v>2111</v>
          </cell>
          <cell r="D183" t="str">
            <v>RESIDENTIAL</v>
          </cell>
          <cell r="E183" t="b">
            <v>0</v>
          </cell>
          <cell r="F183" t="b">
            <v>0</v>
          </cell>
          <cell r="G183" t="str">
            <v>BUCKLEY</v>
          </cell>
          <cell r="H183">
            <v>3477</v>
          </cell>
          <cell r="I183" t="str">
            <v>65RW1N</v>
          </cell>
          <cell r="J183" t="str">
            <v>1-65 GAL CART WKLY NONREC</v>
          </cell>
          <cell r="K183">
            <v>100</v>
          </cell>
          <cell r="L183">
            <v>50</v>
          </cell>
        </row>
        <row r="184">
          <cell r="A184" t="str">
            <v>CARBONADORESIDENTIAL65RW1N</v>
          </cell>
          <cell r="B184" t="str">
            <v>BI-MONTHLY ADVANCED ODD</v>
          </cell>
          <cell r="C184" t="str">
            <v>2111</v>
          </cell>
          <cell r="D184" t="str">
            <v>RESIDENTIAL</v>
          </cell>
          <cell r="E184" t="b">
            <v>0</v>
          </cell>
          <cell r="F184" t="b">
            <v>0</v>
          </cell>
          <cell r="G184" t="str">
            <v>CARBONADO</v>
          </cell>
          <cell r="H184">
            <v>3477</v>
          </cell>
          <cell r="I184" t="str">
            <v>65RW1N</v>
          </cell>
          <cell r="J184" t="str">
            <v>1-65 GAL CART WKLY NONREC</v>
          </cell>
          <cell r="K184">
            <v>39.43</v>
          </cell>
          <cell r="L184">
            <v>19.715</v>
          </cell>
        </row>
        <row r="185">
          <cell r="A185" t="str">
            <v>M-EDGEWOODRESIDENTIAL65RW1N</v>
          </cell>
          <cell r="B185" t="str">
            <v>BI-MONTHLY ADVANCED ODD</v>
          </cell>
          <cell r="C185" t="str">
            <v>2111</v>
          </cell>
          <cell r="D185" t="str">
            <v>RESIDENTIAL</v>
          </cell>
          <cell r="E185" t="b">
            <v>0</v>
          </cell>
          <cell r="F185" t="b">
            <v>0</v>
          </cell>
          <cell r="G185" t="str">
            <v>M-EDGEWOOD</v>
          </cell>
          <cell r="H185">
            <v>3477</v>
          </cell>
          <cell r="I185" t="str">
            <v>65RW1N</v>
          </cell>
          <cell r="J185" t="str">
            <v>1-65 GAL CART WKLY NONREC</v>
          </cell>
          <cell r="K185">
            <v>66.680000000000007</v>
          </cell>
          <cell r="L185">
            <v>33.340000000000003</v>
          </cell>
        </row>
        <row r="186">
          <cell r="A186" t="str">
            <v>M-FIFERESIDENTIAL65RW1N</v>
          </cell>
          <cell r="B186" t="str">
            <v>BI-MONTHLY ADVANCED ODD</v>
          </cell>
          <cell r="C186" t="str">
            <v>2111</v>
          </cell>
          <cell r="D186" t="str">
            <v>RESIDENTIAL</v>
          </cell>
          <cell r="E186" t="b">
            <v>0</v>
          </cell>
          <cell r="F186" t="b">
            <v>0</v>
          </cell>
          <cell r="G186" t="str">
            <v>M-FIFE</v>
          </cell>
          <cell r="H186">
            <v>3477</v>
          </cell>
          <cell r="I186" t="str">
            <v>65RW1N</v>
          </cell>
          <cell r="J186" t="str">
            <v>1-65 GAL CART WKLY NONREC</v>
          </cell>
          <cell r="K186">
            <v>66.680000000000007</v>
          </cell>
          <cell r="L186">
            <v>33.340000000000003</v>
          </cell>
        </row>
        <row r="187">
          <cell r="A187" t="str">
            <v>MILTONRESIDENTIAL65RW1N</v>
          </cell>
          <cell r="B187" t="str">
            <v>BI-MONTHLY ADVANCED ODD</v>
          </cell>
          <cell r="C187" t="str">
            <v>2111</v>
          </cell>
          <cell r="D187" t="str">
            <v>RESIDENTIAL</v>
          </cell>
          <cell r="E187" t="b">
            <v>0</v>
          </cell>
          <cell r="F187" t="b">
            <v>0</v>
          </cell>
          <cell r="G187" t="str">
            <v>MILTON</v>
          </cell>
          <cell r="H187">
            <v>3477</v>
          </cell>
          <cell r="I187" t="str">
            <v>65RW1N</v>
          </cell>
          <cell r="J187" t="str">
            <v>1-65 GAL CART WKLY NONREC</v>
          </cell>
          <cell r="K187">
            <v>87.56</v>
          </cell>
          <cell r="L187">
            <v>43.78</v>
          </cell>
        </row>
        <row r="188">
          <cell r="A188" t="str">
            <v>MURREYSRESIDENTIAL65RW1N</v>
          </cell>
          <cell r="B188" t="str">
            <v>BI-MONTHLY ADVANCED ODD</v>
          </cell>
          <cell r="C188" t="str">
            <v>2111</v>
          </cell>
          <cell r="D188" t="str">
            <v>RESIDENTIAL</v>
          </cell>
          <cell r="E188" t="b">
            <v>0</v>
          </cell>
          <cell r="F188" t="b">
            <v>0</v>
          </cell>
          <cell r="G188" t="str">
            <v>MURREYS</v>
          </cell>
          <cell r="H188">
            <v>3477</v>
          </cell>
          <cell r="I188" t="str">
            <v>65RW1N</v>
          </cell>
          <cell r="J188" t="str">
            <v>1-65 GAL CART WKLY NONREC</v>
          </cell>
          <cell r="K188">
            <v>66.680000000000007</v>
          </cell>
          <cell r="L188">
            <v>33.340000000000003</v>
          </cell>
        </row>
        <row r="189">
          <cell r="A189" t="str">
            <v>ORTINGRESIDENTIAL65RW1N</v>
          </cell>
          <cell r="B189" t="str">
            <v>BI-MONTHLY ADVANCED ODD</v>
          </cell>
          <cell r="C189" t="str">
            <v>2111</v>
          </cell>
          <cell r="D189" t="str">
            <v>RESIDENTIAL</v>
          </cell>
          <cell r="E189" t="b">
            <v>0</v>
          </cell>
          <cell r="F189" t="b">
            <v>0</v>
          </cell>
          <cell r="G189" t="str">
            <v>ORTING</v>
          </cell>
          <cell r="H189">
            <v>3477</v>
          </cell>
          <cell r="I189" t="str">
            <v>65RW1N</v>
          </cell>
          <cell r="J189" t="str">
            <v>1-65 GAL CART WKLY NONREC</v>
          </cell>
          <cell r="K189">
            <v>80</v>
          </cell>
          <cell r="L189">
            <v>40</v>
          </cell>
        </row>
        <row r="190">
          <cell r="A190" t="str">
            <v>PUYALLUPRESIDENTIAL65RW1N</v>
          </cell>
          <cell r="B190" t="str">
            <v>BI-MONTHLY ADVANCED ODD</v>
          </cell>
          <cell r="C190" t="str">
            <v>2111</v>
          </cell>
          <cell r="D190" t="str">
            <v>RESIDENTIAL</v>
          </cell>
          <cell r="E190" t="b">
            <v>0</v>
          </cell>
          <cell r="F190" t="b">
            <v>0</v>
          </cell>
          <cell r="G190" t="str">
            <v>PUYALLUP</v>
          </cell>
          <cell r="H190">
            <v>3477</v>
          </cell>
          <cell r="I190" t="str">
            <v>65RW1N</v>
          </cell>
          <cell r="J190" t="str">
            <v>1-65 GAL CART WKLY NONREC</v>
          </cell>
          <cell r="K190">
            <v>108.08</v>
          </cell>
          <cell r="L190">
            <v>54.04</v>
          </cell>
        </row>
        <row r="191">
          <cell r="A191" t="str">
            <v>RUSTONRESIDENTIAL65RW1N</v>
          </cell>
          <cell r="B191" t="str">
            <v>BI-MONTHLY ADVANCED ODD</v>
          </cell>
          <cell r="C191" t="str">
            <v>2111</v>
          </cell>
          <cell r="D191" t="str">
            <v>RESIDENTIAL</v>
          </cell>
          <cell r="E191" t="b">
            <v>0</v>
          </cell>
          <cell r="F191" t="b">
            <v>0</v>
          </cell>
          <cell r="G191" t="str">
            <v>RUSTON</v>
          </cell>
          <cell r="H191">
            <v>3477</v>
          </cell>
          <cell r="I191" t="str">
            <v>65RW1N</v>
          </cell>
          <cell r="J191" t="str">
            <v>1-65 GAL CART WKLY NONREC</v>
          </cell>
          <cell r="K191">
            <v>93.18</v>
          </cell>
          <cell r="L191">
            <v>46.59</v>
          </cell>
        </row>
        <row r="192">
          <cell r="A192" t="str">
            <v>SOUTH PRAIRIERESIDENTIAL65RW1N</v>
          </cell>
          <cell r="B192" t="str">
            <v>BI-MONTHLY ADVANCED ODD</v>
          </cell>
          <cell r="C192" t="str">
            <v>2111</v>
          </cell>
          <cell r="D192" t="str">
            <v>RESIDENTIAL</v>
          </cell>
          <cell r="E192" t="b">
            <v>0</v>
          </cell>
          <cell r="F192" t="b">
            <v>0</v>
          </cell>
          <cell r="G192" t="str">
            <v>SOUTH PRAIRIE</v>
          </cell>
          <cell r="H192">
            <v>3477</v>
          </cell>
          <cell r="I192" t="str">
            <v>65RW1N</v>
          </cell>
          <cell r="J192" t="str">
            <v>1-65 GAL CART WKLY NONREC</v>
          </cell>
          <cell r="K192">
            <v>81.239999999999995</v>
          </cell>
          <cell r="L192">
            <v>40.619999999999997</v>
          </cell>
        </row>
        <row r="193">
          <cell r="A193" t="str">
            <v>SUMNERRESIDENTIAL65RW1N</v>
          </cell>
          <cell r="B193" t="str">
            <v>BI-MONTHLY ADVANCED ODD</v>
          </cell>
          <cell r="C193" t="str">
            <v>2111</v>
          </cell>
          <cell r="D193" t="str">
            <v>RESIDENTIAL</v>
          </cell>
          <cell r="E193" t="b">
            <v>0</v>
          </cell>
          <cell r="F193" t="b">
            <v>0</v>
          </cell>
          <cell r="G193" t="str">
            <v>SUMNER</v>
          </cell>
          <cell r="H193">
            <v>3477</v>
          </cell>
          <cell r="I193" t="str">
            <v>65RW1N</v>
          </cell>
          <cell r="J193" t="str">
            <v>1-65 GAL CART WKLY NONREC</v>
          </cell>
          <cell r="K193">
            <v>86.4</v>
          </cell>
          <cell r="L193">
            <v>43.2</v>
          </cell>
        </row>
        <row r="194">
          <cell r="A194" t="str">
            <v>BONNEY LAKERESIDENTIAL65RW1R</v>
          </cell>
          <cell r="B194" t="str">
            <v>BI-MONTHLY ADVANCED ODD</v>
          </cell>
          <cell r="C194" t="str">
            <v>2111</v>
          </cell>
          <cell r="D194" t="str">
            <v>RESIDENTIAL</v>
          </cell>
          <cell r="E194" t="b">
            <v>0</v>
          </cell>
          <cell r="F194" t="b">
            <v>0</v>
          </cell>
          <cell r="G194" t="str">
            <v>BONNEY LAKE</v>
          </cell>
          <cell r="H194">
            <v>3478</v>
          </cell>
          <cell r="I194" t="str">
            <v>65RW1R</v>
          </cell>
          <cell r="J194" t="str">
            <v>1-65 GAL CART WKLY W/REC</v>
          </cell>
          <cell r="K194">
            <v>90.2</v>
          </cell>
          <cell r="L194">
            <v>45.1</v>
          </cell>
        </row>
        <row r="195">
          <cell r="A195" t="str">
            <v>BUCKLEYRESIDENTIAL65RW1R</v>
          </cell>
          <cell r="B195" t="str">
            <v>BI-MONTHLY ADVANCED ODD</v>
          </cell>
          <cell r="C195" t="str">
            <v>2111</v>
          </cell>
          <cell r="D195" t="str">
            <v>RESIDENTIAL</v>
          </cell>
          <cell r="E195" t="b">
            <v>0</v>
          </cell>
          <cell r="F195" t="b">
            <v>0</v>
          </cell>
          <cell r="G195" t="str">
            <v>BUCKLEY</v>
          </cell>
          <cell r="H195">
            <v>3478</v>
          </cell>
          <cell r="I195" t="str">
            <v>65RW1R</v>
          </cell>
          <cell r="J195" t="str">
            <v>1-65 GAL CART WKLY W/REC</v>
          </cell>
          <cell r="K195">
            <v>100</v>
          </cell>
          <cell r="L195">
            <v>50</v>
          </cell>
        </row>
        <row r="196">
          <cell r="A196" t="str">
            <v>CARBONADORESIDENTIAL65RW1R</v>
          </cell>
          <cell r="B196" t="str">
            <v>BI-MONTHLY ADVANCED ODD</v>
          </cell>
          <cell r="C196" t="str">
            <v>2111</v>
          </cell>
          <cell r="D196" t="str">
            <v>RESIDENTIAL</v>
          </cell>
          <cell r="E196" t="b">
            <v>0</v>
          </cell>
          <cell r="F196" t="b">
            <v>0</v>
          </cell>
          <cell r="G196" t="str">
            <v>CARBONADO</v>
          </cell>
          <cell r="H196">
            <v>3478</v>
          </cell>
          <cell r="I196" t="str">
            <v>65RW1R</v>
          </cell>
          <cell r="J196" t="str">
            <v>1-65 GAL CART WKLY W/REC</v>
          </cell>
          <cell r="K196">
            <v>39.43</v>
          </cell>
          <cell r="L196">
            <v>19.715</v>
          </cell>
        </row>
        <row r="197">
          <cell r="A197" t="str">
            <v>M-EDGEWOODRESIDENTIAL65RW1R</v>
          </cell>
          <cell r="B197" t="str">
            <v>BI-MONTHLY ADVANCED ODD</v>
          </cell>
          <cell r="C197" t="str">
            <v>2111</v>
          </cell>
          <cell r="D197" t="str">
            <v>RESIDENTIAL</v>
          </cell>
          <cell r="E197" t="b">
            <v>0</v>
          </cell>
          <cell r="F197" t="b">
            <v>0</v>
          </cell>
          <cell r="G197" t="str">
            <v>M-EDGEWOOD</v>
          </cell>
          <cell r="H197">
            <v>3478</v>
          </cell>
          <cell r="I197" t="str">
            <v>65RW1R</v>
          </cell>
          <cell r="J197" t="str">
            <v>1-65 GAL CART WKLY W/REC</v>
          </cell>
          <cell r="K197">
            <v>62.68</v>
          </cell>
          <cell r="L197">
            <v>31.34</v>
          </cell>
        </row>
        <row r="198">
          <cell r="A198" t="str">
            <v>M-FIFERESIDENTIAL65RW1R</v>
          </cell>
          <cell r="B198" t="str">
            <v>BI-MONTHLY ADVANCED ODD</v>
          </cell>
          <cell r="C198" t="str">
            <v>2111</v>
          </cell>
          <cell r="D198" t="str">
            <v>RESIDENTIAL</v>
          </cell>
          <cell r="E198" t="b">
            <v>0</v>
          </cell>
          <cell r="F198" t="b">
            <v>0</v>
          </cell>
          <cell r="G198" t="str">
            <v>M-FIFE</v>
          </cell>
          <cell r="H198">
            <v>3478</v>
          </cell>
          <cell r="I198" t="str">
            <v>65RW1R</v>
          </cell>
          <cell r="J198" t="str">
            <v>1-65 GAL CART WKLY W/REC</v>
          </cell>
          <cell r="K198">
            <v>62.68</v>
          </cell>
          <cell r="L198">
            <v>31.34</v>
          </cell>
        </row>
        <row r="199">
          <cell r="A199" t="str">
            <v>MILTONRESIDENTIAL65RW1R</v>
          </cell>
          <cell r="B199" t="str">
            <v>BI-MONTHLY ADVANCED ODD</v>
          </cell>
          <cell r="C199" t="str">
            <v>2111</v>
          </cell>
          <cell r="D199" t="str">
            <v>RESIDENTIAL</v>
          </cell>
          <cell r="E199" t="b">
            <v>0</v>
          </cell>
          <cell r="F199" t="b">
            <v>0</v>
          </cell>
          <cell r="G199" t="str">
            <v>MILTON</v>
          </cell>
          <cell r="H199">
            <v>3478</v>
          </cell>
          <cell r="I199" t="str">
            <v>65RW1R</v>
          </cell>
          <cell r="J199" t="str">
            <v>1-65 GAL CART WKLY W/REC</v>
          </cell>
          <cell r="K199">
            <v>87.56</v>
          </cell>
          <cell r="L199">
            <v>43.78</v>
          </cell>
        </row>
        <row r="200">
          <cell r="A200" t="str">
            <v>MURREYSRESIDENTIAL65RW1R</v>
          </cell>
          <cell r="B200" t="str">
            <v>BI-MONTHLY ADVANCED ODD</v>
          </cell>
          <cell r="C200" t="str">
            <v>2111</v>
          </cell>
          <cell r="D200" t="str">
            <v>RESIDENTIAL</v>
          </cell>
          <cell r="E200" t="b">
            <v>0</v>
          </cell>
          <cell r="F200" t="b">
            <v>0</v>
          </cell>
          <cell r="G200" t="str">
            <v>MURREYS</v>
          </cell>
          <cell r="H200">
            <v>3478</v>
          </cell>
          <cell r="I200" t="str">
            <v>65RW1R</v>
          </cell>
          <cell r="J200" t="str">
            <v>1-65 GAL CART WKLY W/REC</v>
          </cell>
          <cell r="K200">
            <v>62.68</v>
          </cell>
          <cell r="L200">
            <v>31.34</v>
          </cell>
        </row>
        <row r="201">
          <cell r="A201" t="str">
            <v>ORTINGRESIDENTIAL65RW1R</v>
          </cell>
          <cell r="B201" t="str">
            <v>BI-MONTHLY ADVANCED ODD</v>
          </cell>
          <cell r="C201" t="str">
            <v>2111</v>
          </cell>
          <cell r="D201" t="str">
            <v>RESIDENTIAL</v>
          </cell>
          <cell r="E201" t="b">
            <v>0</v>
          </cell>
          <cell r="F201" t="b">
            <v>0</v>
          </cell>
          <cell r="G201" t="str">
            <v>ORTING</v>
          </cell>
          <cell r="H201">
            <v>3478</v>
          </cell>
          <cell r="I201" t="str">
            <v>65RW1R</v>
          </cell>
          <cell r="J201" t="str">
            <v>1-65 GAL CART WKLY W/REC</v>
          </cell>
          <cell r="K201">
            <v>80</v>
          </cell>
          <cell r="L201">
            <v>40</v>
          </cell>
        </row>
        <row r="202">
          <cell r="A202" t="str">
            <v>PUYALLUPRESIDENTIAL65RW1R</v>
          </cell>
          <cell r="B202" t="str">
            <v>BI-MONTHLY ADVANCED ODD</v>
          </cell>
          <cell r="C202" t="str">
            <v>2111</v>
          </cell>
          <cell r="D202" t="str">
            <v>RESIDENTIAL</v>
          </cell>
          <cell r="E202" t="b">
            <v>0</v>
          </cell>
          <cell r="F202" t="b">
            <v>0</v>
          </cell>
          <cell r="G202" t="str">
            <v>PUYALLUP</v>
          </cell>
          <cell r="H202">
            <v>3478</v>
          </cell>
          <cell r="I202" t="str">
            <v>65RW1R</v>
          </cell>
          <cell r="J202" t="str">
            <v>1-65 GAL CART WKLY W/REC</v>
          </cell>
          <cell r="K202">
            <v>99.6</v>
          </cell>
          <cell r="L202">
            <v>49.8</v>
          </cell>
        </row>
        <row r="203">
          <cell r="A203" t="str">
            <v>RUSTONRESIDENTIAL65RW1R</v>
          </cell>
          <cell r="B203" t="str">
            <v>BI-MONTHLY ADVANCED ODD</v>
          </cell>
          <cell r="C203" t="str">
            <v>2111</v>
          </cell>
          <cell r="D203" t="str">
            <v>RESIDENTIAL</v>
          </cell>
          <cell r="E203" t="b">
            <v>0</v>
          </cell>
          <cell r="F203" t="b">
            <v>0</v>
          </cell>
          <cell r="G203" t="str">
            <v>RUSTON</v>
          </cell>
          <cell r="H203">
            <v>3478</v>
          </cell>
          <cell r="I203" t="str">
            <v>65RW1R</v>
          </cell>
          <cell r="J203" t="str">
            <v>1-65 GAL CART WKLY W/REC</v>
          </cell>
          <cell r="K203">
            <v>93.18</v>
          </cell>
          <cell r="L203">
            <v>46.59</v>
          </cell>
        </row>
        <row r="204">
          <cell r="A204" t="str">
            <v>SOUTH PRAIRIERESIDENTIAL65RW1R</v>
          </cell>
          <cell r="B204" t="str">
            <v>BI-MONTHLY ADVANCED ODD</v>
          </cell>
          <cell r="C204" t="str">
            <v>2111</v>
          </cell>
          <cell r="D204" t="str">
            <v>RESIDENTIAL</v>
          </cell>
          <cell r="E204" t="b">
            <v>0</v>
          </cell>
          <cell r="F204" t="b">
            <v>0</v>
          </cell>
          <cell r="G204" t="str">
            <v>SOUTH PRAIRIE</v>
          </cell>
          <cell r="H204">
            <v>3478</v>
          </cell>
          <cell r="I204" t="str">
            <v>65RW1R</v>
          </cell>
          <cell r="J204" t="str">
            <v>1-65 GAL CART WKLY W/REC</v>
          </cell>
          <cell r="K204">
            <v>81.239999999999995</v>
          </cell>
          <cell r="L204">
            <v>40.619999999999997</v>
          </cell>
        </row>
        <row r="205">
          <cell r="A205" t="str">
            <v>SUMNERRESIDENTIAL65RW1R</v>
          </cell>
          <cell r="B205" t="str">
            <v>BI-MONTHLY ADVANCED ODD</v>
          </cell>
          <cell r="C205" t="str">
            <v>2111</v>
          </cell>
          <cell r="D205" t="str">
            <v>RESIDENTIAL</v>
          </cell>
          <cell r="E205" t="b">
            <v>0</v>
          </cell>
          <cell r="F205" t="b">
            <v>0</v>
          </cell>
          <cell r="G205" t="str">
            <v>SUMNER</v>
          </cell>
          <cell r="H205">
            <v>3478</v>
          </cell>
          <cell r="I205" t="str">
            <v>65RW1R</v>
          </cell>
          <cell r="J205" t="str">
            <v>1-65 GAL CART WKLY W/REC</v>
          </cell>
          <cell r="K205">
            <v>86.4</v>
          </cell>
          <cell r="L205">
            <v>43.2</v>
          </cell>
        </row>
        <row r="206">
          <cell r="A206" t="str">
            <v>DMRCOMMERCIAL RECYCLE6YDCOM1W</v>
          </cell>
          <cell r="B206" t="str">
            <v>MONTHLY ARREARS</v>
          </cell>
          <cell r="C206" t="str">
            <v>2111</v>
          </cell>
          <cell r="D206" t="str">
            <v>COMMERCIAL RECYCLE</v>
          </cell>
          <cell r="E206" t="b">
            <v>0</v>
          </cell>
          <cell r="F206" t="b">
            <v>0</v>
          </cell>
          <cell r="G206" t="str">
            <v>DMR</v>
          </cell>
          <cell r="H206">
            <v>3419</v>
          </cell>
          <cell r="I206" t="str">
            <v>6YDCOM1W</v>
          </cell>
          <cell r="J206" t="str">
            <v>6YDCOMMINGLED 1X WK</v>
          </cell>
          <cell r="K206">
            <v>375</v>
          </cell>
          <cell r="L206">
            <v>375</v>
          </cell>
        </row>
        <row r="207">
          <cell r="A207" t="str">
            <v>DMR-BLCOMMERCIAL RECYCLE6YDCOM1W</v>
          </cell>
          <cell r="B207" t="str">
            <v>MONTHLY ARREARS</v>
          </cell>
          <cell r="C207" t="str">
            <v>2111</v>
          </cell>
          <cell r="D207" t="str">
            <v>COMMERCIAL RECYCLE</v>
          </cell>
          <cell r="E207" t="b">
            <v>0</v>
          </cell>
          <cell r="F207" t="b">
            <v>0</v>
          </cell>
          <cell r="G207" t="str">
            <v>DMR-BL</v>
          </cell>
          <cell r="H207">
            <v>3419</v>
          </cell>
          <cell r="I207" t="str">
            <v>6YDCOM1W</v>
          </cell>
          <cell r="J207" t="str">
            <v>6YDCOMMINGLED 1X WK</v>
          </cell>
          <cell r="K207">
            <v>165.17</v>
          </cell>
          <cell r="L207">
            <v>165.17</v>
          </cell>
        </row>
        <row r="208">
          <cell r="A208" t="str">
            <v>DMR-CPCOMMERCIAL RECYCLE6YDCOM1W</v>
          </cell>
          <cell r="B208" t="str">
            <v>MONTHLY ARREARS</v>
          </cell>
          <cell r="C208" t="str">
            <v>2111</v>
          </cell>
          <cell r="D208" t="str">
            <v>COMMERCIAL RECYCLE</v>
          </cell>
          <cell r="E208" t="b">
            <v>0</v>
          </cell>
          <cell r="F208" t="b">
            <v>0</v>
          </cell>
          <cell r="G208" t="str">
            <v>DMR-CP</v>
          </cell>
          <cell r="H208">
            <v>3419</v>
          </cell>
          <cell r="I208" t="str">
            <v>6YDCOM1W</v>
          </cell>
          <cell r="J208" t="str">
            <v>6YDCOMMINGLED 1X WK</v>
          </cell>
          <cell r="K208">
            <v>158.97</v>
          </cell>
          <cell r="L208">
            <v>158.97</v>
          </cell>
        </row>
        <row r="209">
          <cell r="A209" t="str">
            <v>DMR-MILCOMMERCIAL RECYCLE6YDCOM1W</v>
          </cell>
          <cell r="B209" t="str">
            <v>MONTHLY ARREARS</v>
          </cell>
          <cell r="C209" t="str">
            <v>2111</v>
          </cell>
          <cell r="D209" t="str">
            <v>COMMERCIAL RECYCLE</v>
          </cell>
          <cell r="E209" t="b">
            <v>0</v>
          </cell>
          <cell r="F209" t="b">
            <v>0</v>
          </cell>
          <cell r="G209" t="str">
            <v>DMR-MIL</v>
          </cell>
          <cell r="H209">
            <v>3419</v>
          </cell>
          <cell r="I209" t="str">
            <v>6YDCOM1W</v>
          </cell>
          <cell r="J209" t="str">
            <v>6YDCOMMINGLED 1X WK</v>
          </cell>
          <cell r="K209">
            <v>149.06</v>
          </cell>
          <cell r="L209">
            <v>149.06</v>
          </cell>
        </row>
        <row r="210">
          <cell r="A210" t="str">
            <v>DMRCOMMERCIAL RECYCLE6YDCOM2W</v>
          </cell>
          <cell r="B210" t="str">
            <v>MONTHLY ARREARS</v>
          </cell>
          <cell r="C210" t="str">
            <v>2111</v>
          </cell>
          <cell r="D210" t="str">
            <v>COMMERCIAL RECYCLE</v>
          </cell>
          <cell r="E210" t="b">
            <v>0</v>
          </cell>
          <cell r="F210" t="b">
            <v>0</v>
          </cell>
          <cell r="G210" t="str">
            <v>DMR</v>
          </cell>
          <cell r="H210">
            <v>3420</v>
          </cell>
          <cell r="I210" t="str">
            <v>6YDCOM2W</v>
          </cell>
          <cell r="J210" t="str">
            <v>6YDCOMMINGLED 2X WK</v>
          </cell>
          <cell r="K210">
            <v>560</v>
          </cell>
          <cell r="L210">
            <v>560</v>
          </cell>
        </row>
        <row r="211">
          <cell r="A211" t="str">
            <v>DMR-BLCOMMERCIAL RECYCLE6YDCOM2W</v>
          </cell>
          <cell r="B211" t="str">
            <v>MONTHLY ARREARS</v>
          </cell>
          <cell r="C211" t="str">
            <v>2111</v>
          </cell>
          <cell r="D211" t="str">
            <v>COMMERCIAL RECYCLE</v>
          </cell>
          <cell r="E211" t="b">
            <v>0</v>
          </cell>
          <cell r="F211" t="b">
            <v>0</v>
          </cell>
          <cell r="G211" t="str">
            <v>DMR-BL</v>
          </cell>
          <cell r="H211">
            <v>3420</v>
          </cell>
          <cell r="I211" t="str">
            <v>6YDCOM2W</v>
          </cell>
          <cell r="J211" t="str">
            <v>6YDCOMMINGLED 2X WK</v>
          </cell>
          <cell r="K211">
            <v>279.57</v>
          </cell>
          <cell r="L211">
            <v>279.57</v>
          </cell>
        </row>
        <row r="212">
          <cell r="A212" t="str">
            <v>DMR-CPCOMMERCIAL RECYCLE6YDCOM2W</v>
          </cell>
          <cell r="B212" t="str">
            <v>MONTHLY ARREARS</v>
          </cell>
          <cell r="C212" t="str">
            <v>2111</v>
          </cell>
          <cell r="D212" t="str">
            <v>COMMERCIAL RECYCLE</v>
          </cell>
          <cell r="E212" t="b">
            <v>0</v>
          </cell>
          <cell r="F212" t="b">
            <v>0</v>
          </cell>
          <cell r="G212" t="str">
            <v>DMR-CP</v>
          </cell>
          <cell r="H212">
            <v>3420</v>
          </cell>
          <cell r="I212" t="str">
            <v>6YDCOM2W</v>
          </cell>
          <cell r="J212" t="str">
            <v>6YDCOMMINGLED 2X WK</v>
          </cell>
          <cell r="K212">
            <v>269.13</v>
          </cell>
          <cell r="L212">
            <v>269.13</v>
          </cell>
        </row>
        <row r="213">
          <cell r="A213" t="str">
            <v>DMR-MILCOMMERCIAL RECYCLE6YDCOM2W</v>
          </cell>
          <cell r="B213" t="str">
            <v>MONTHLY ARREARS</v>
          </cell>
          <cell r="C213" t="str">
            <v>2111</v>
          </cell>
          <cell r="D213" t="str">
            <v>COMMERCIAL RECYCLE</v>
          </cell>
          <cell r="E213" t="b">
            <v>0</v>
          </cell>
          <cell r="F213" t="b">
            <v>0</v>
          </cell>
          <cell r="G213" t="str">
            <v>DMR-MIL</v>
          </cell>
          <cell r="H213">
            <v>3420</v>
          </cell>
          <cell r="I213" t="str">
            <v>6YDCOM2W</v>
          </cell>
          <cell r="J213" t="str">
            <v>6YDCOMMINGLED 2X WK</v>
          </cell>
          <cell r="K213">
            <v>186.33</v>
          </cell>
          <cell r="L213">
            <v>186.33</v>
          </cell>
        </row>
        <row r="214">
          <cell r="A214" t="str">
            <v>DMRCOMMERCIAL RECYCLE6YDCOM3W</v>
          </cell>
          <cell r="B214" t="str">
            <v>MONTHLY ARREARS</v>
          </cell>
          <cell r="C214" t="str">
            <v>2111</v>
          </cell>
          <cell r="D214" t="str">
            <v>COMMERCIAL RECYCLE</v>
          </cell>
          <cell r="E214" t="b">
            <v>0</v>
          </cell>
          <cell r="F214" t="b">
            <v>0</v>
          </cell>
          <cell r="G214" t="str">
            <v>DMR</v>
          </cell>
          <cell r="H214">
            <v>3421</v>
          </cell>
          <cell r="I214" t="str">
            <v>6YDCOM3W</v>
          </cell>
          <cell r="J214" t="str">
            <v>6YDCOMMINGLED 3X WK</v>
          </cell>
          <cell r="K214">
            <v>840</v>
          </cell>
          <cell r="L214">
            <v>840</v>
          </cell>
        </row>
        <row r="215">
          <cell r="A215" t="str">
            <v>DMR-BLCOMMERCIAL RECYCLE6YDCOM3W</v>
          </cell>
          <cell r="B215" t="str">
            <v>MONTHLY ARREARS</v>
          </cell>
          <cell r="C215" t="str">
            <v>2111</v>
          </cell>
          <cell r="D215" t="str">
            <v>COMMERCIAL RECYCLE</v>
          </cell>
          <cell r="E215" t="b">
            <v>0</v>
          </cell>
          <cell r="F215" t="b">
            <v>0</v>
          </cell>
          <cell r="G215" t="str">
            <v>DMR-BL</v>
          </cell>
          <cell r="H215">
            <v>3421</v>
          </cell>
          <cell r="I215" t="str">
            <v>6YDCOM3W</v>
          </cell>
          <cell r="J215" t="str">
            <v>6YDCOMMINGLED 3X WK</v>
          </cell>
          <cell r="K215">
            <v>400.5</v>
          </cell>
          <cell r="L215">
            <v>400.5</v>
          </cell>
        </row>
        <row r="216">
          <cell r="A216" t="str">
            <v>DMR-CPCOMMERCIAL RECYCLE6YDCOM3W</v>
          </cell>
          <cell r="B216" t="str">
            <v>MONTHLY ARREARS</v>
          </cell>
          <cell r="C216" t="str">
            <v>2111</v>
          </cell>
          <cell r="D216" t="str">
            <v>COMMERCIAL RECYCLE</v>
          </cell>
          <cell r="E216" t="b">
            <v>0</v>
          </cell>
          <cell r="F216" t="b">
            <v>0</v>
          </cell>
          <cell r="G216" t="str">
            <v>DMR-CP</v>
          </cell>
          <cell r="H216">
            <v>3421</v>
          </cell>
          <cell r="I216" t="str">
            <v>6YDCOM3W</v>
          </cell>
          <cell r="J216" t="str">
            <v>6YDCOMMINGLED 3X WK</v>
          </cell>
          <cell r="K216">
            <v>385.55</v>
          </cell>
          <cell r="L216">
            <v>385.55</v>
          </cell>
        </row>
        <row r="217">
          <cell r="A217" t="str">
            <v>DMRCOMMERCIAL RECYCLE6YDCOM4W</v>
          </cell>
          <cell r="B217" t="str">
            <v>MONTHLY ARREARS</v>
          </cell>
          <cell r="C217" t="str">
            <v>2111</v>
          </cell>
          <cell r="D217" t="str">
            <v>COMMERCIAL RECYCLE</v>
          </cell>
          <cell r="E217" t="b">
            <v>0</v>
          </cell>
          <cell r="F217" t="b">
            <v>0</v>
          </cell>
          <cell r="G217" t="str">
            <v>DMR</v>
          </cell>
          <cell r="H217">
            <v>3509</v>
          </cell>
          <cell r="I217" t="str">
            <v>6YDCOM4W</v>
          </cell>
          <cell r="J217" t="str">
            <v>6 YD COMMINGLED 4X WK</v>
          </cell>
          <cell r="K217">
            <v>1120</v>
          </cell>
          <cell r="L217">
            <v>1120</v>
          </cell>
        </row>
        <row r="218">
          <cell r="A218" t="str">
            <v>DMR-CPCOMMERCIAL RECYCLE6YDCOM4W</v>
          </cell>
          <cell r="B218" t="str">
            <v>MONTHLY ARREARS</v>
          </cell>
          <cell r="C218" t="str">
            <v>2111</v>
          </cell>
          <cell r="D218" t="str">
            <v>COMMERCIAL RECYCLE</v>
          </cell>
          <cell r="E218" t="b">
            <v>0</v>
          </cell>
          <cell r="F218" t="b">
            <v>0</v>
          </cell>
          <cell r="G218" t="str">
            <v>DMR-CP</v>
          </cell>
          <cell r="H218">
            <v>3509</v>
          </cell>
          <cell r="I218" t="str">
            <v>6YDCOM4W</v>
          </cell>
          <cell r="J218" t="str">
            <v>6 YD COMMINGLED 4X WK</v>
          </cell>
          <cell r="K218">
            <v>503.59</v>
          </cell>
          <cell r="L218">
            <v>503.59</v>
          </cell>
        </row>
        <row r="219">
          <cell r="A219" t="str">
            <v>DMRCOMMERCIAL RECYCLE6YDCOM5W</v>
          </cell>
          <cell r="B219" t="str">
            <v>MONTHLY ARREARS</v>
          </cell>
          <cell r="C219" t="str">
            <v>2111</v>
          </cell>
          <cell r="D219" t="str">
            <v>COMMERCIAL RECYCLE</v>
          </cell>
          <cell r="E219" t="b">
            <v>0</v>
          </cell>
          <cell r="F219" t="b">
            <v>0</v>
          </cell>
          <cell r="G219" t="str">
            <v>DMR</v>
          </cell>
          <cell r="H219">
            <v>3494</v>
          </cell>
          <cell r="I219" t="str">
            <v>6YDCOM5W</v>
          </cell>
          <cell r="J219" t="str">
            <v>6YD COMMINGLED 5X WK</v>
          </cell>
          <cell r="K219">
            <v>1400</v>
          </cell>
          <cell r="L219">
            <v>1400</v>
          </cell>
        </row>
        <row r="220">
          <cell r="A220" t="str">
            <v>DMR-BLCOMMERCIAL RECYCLE6YDCOM5W</v>
          </cell>
          <cell r="B220" t="str">
            <v>MONTHLY ARREARS</v>
          </cell>
          <cell r="C220" t="str">
            <v>2111</v>
          </cell>
          <cell r="D220" t="str">
            <v>COMMERCIAL RECYCLE</v>
          </cell>
          <cell r="E220" t="b">
            <v>0</v>
          </cell>
          <cell r="F220" t="b">
            <v>0</v>
          </cell>
          <cell r="G220" t="str">
            <v>DMR-BL</v>
          </cell>
          <cell r="H220">
            <v>3494</v>
          </cell>
          <cell r="I220" t="str">
            <v>6YDCOM5W</v>
          </cell>
          <cell r="J220" t="str">
            <v>6YD COMMINGLED 5X WK</v>
          </cell>
          <cell r="K220">
            <v>670.37</v>
          </cell>
          <cell r="L220">
            <v>670.37</v>
          </cell>
        </row>
        <row r="221">
          <cell r="A221" t="str">
            <v>DMR-CPCOMMERCIAL RECYCLE6YDCOM5W</v>
          </cell>
          <cell r="B221" t="str">
            <v>MONTHLY ARREARS</v>
          </cell>
          <cell r="C221" t="str">
            <v>2111</v>
          </cell>
          <cell r="D221" t="str">
            <v>COMMERCIAL RECYCLE</v>
          </cell>
          <cell r="E221" t="b">
            <v>0</v>
          </cell>
          <cell r="F221" t="b">
            <v>0</v>
          </cell>
          <cell r="G221" t="str">
            <v>DMR-CP</v>
          </cell>
          <cell r="H221">
            <v>3494</v>
          </cell>
          <cell r="I221" t="str">
            <v>6YDCOM5W</v>
          </cell>
          <cell r="J221" t="str">
            <v>6YD COMMINGLED 5X WK</v>
          </cell>
          <cell r="K221">
            <v>645.33000000000004</v>
          </cell>
          <cell r="L221">
            <v>645.33000000000004</v>
          </cell>
        </row>
        <row r="222">
          <cell r="A222" t="str">
            <v>DMRCOMMERCIAL RECYCLE6YDCOMEW</v>
          </cell>
          <cell r="B222" t="str">
            <v>MONTHLY ARREARS</v>
          </cell>
          <cell r="C222" t="str">
            <v>2111</v>
          </cell>
          <cell r="D222" t="str">
            <v>COMMERCIAL RECYCLE</v>
          </cell>
          <cell r="E222" t="b">
            <v>0</v>
          </cell>
          <cell r="F222" t="b">
            <v>0</v>
          </cell>
          <cell r="G222" t="str">
            <v>DMR</v>
          </cell>
          <cell r="H222">
            <v>3443</v>
          </cell>
          <cell r="I222" t="str">
            <v>6YDCOMEW</v>
          </cell>
          <cell r="J222" t="str">
            <v>6YD COMMINGLE EOW</v>
          </cell>
          <cell r="K222">
            <v>273</v>
          </cell>
          <cell r="L222">
            <v>273</v>
          </cell>
        </row>
        <row r="223">
          <cell r="A223" t="str">
            <v>DMR-BLCOMMERCIAL RECYCLE6YDCOMEW</v>
          </cell>
          <cell r="B223" t="str">
            <v>MONTHLY ARREARS</v>
          </cell>
          <cell r="C223" t="str">
            <v>2111</v>
          </cell>
          <cell r="D223" t="str">
            <v>COMMERCIAL RECYCLE</v>
          </cell>
          <cell r="E223" t="b">
            <v>0</v>
          </cell>
          <cell r="F223" t="b">
            <v>0</v>
          </cell>
          <cell r="G223" t="str">
            <v>DMR-BL</v>
          </cell>
          <cell r="H223">
            <v>3443</v>
          </cell>
          <cell r="I223" t="str">
            <v>6YDCOMEW</v>
          </cell>
          <cell r="J223" t="str">
            <v>6YD COMMINGLE EOW</v>
          </cell>
          <cell r="K223">
            <v>165.17</v>
          </cell>
          <cell r="L223">
            <v>165.17</v>
          </cell>
        </row>
        <row r="224">
          <cell r="A224" t="str">
            <v>DMR-CPCOMMERCIAL RECYCLE6YDCOMEW</v>
          </cell>
          <cell r="B224" t="str">
            <v>MONTHLY ARREARS</v>
          </cell>
          <cell r="C224" t="str">
            <v>2111</v>
          </cell>
          <cell r="D224" t="str">
            <v>COMMERCIAL RECYCLE</v>
          </cell>
          <cell r="E224" t="b">
            <v>0</v>
          </cell>
          <cell r="F224" t="b">
            <v>0</v>
          </cell>
          <cell r="G224" t="str">
            <v>DMR-CP</v>
          </cell>
          <cell r="H224">
            <v>3443</v>
          </cell>
          <cell r="I224" t="str">
            <v>6YDCOMEW</v>
          </cell>
          <cell r="J224" t="str">
            <v>6YD COMMINGLE EOW</v>
          </cell>
          <cell r="K224">
            <v>103.17</v>
          </cell>
          <cell r="L224">
            <v>103.17</v>
          </cell>
        </row>
        <row r="225">
          <cell r="A225" t="str">
            <v>DMR-MILCOMMERCIAL RECYCLE6YDCOMEW</v>
          </cell>
          <cell r="B225" t="str">
            <v>MONTHLY ARREARS</v>
          </cell>
          <cell r="C225" t="str">
            <v>2111</v>
          </cell>
          <cell r="D225" t="str">
            <v>COMMERCIAL RECYCLE</v>
          </cell>
          <cell r="E225" t="b">
            <v>0</v>
          </cell>
          <cell r="F225" t="b">
            <v>0</v>
          </cell>
          <cell r="G225" t="str">
            <v>DMR-MIL</v>
          </cell>
          <cell r="H225">
            <v>3443</v>
          </cell>
          <cell r="I225" t="str">
            <v>6YDCOMEW</v>
          </cell>
          <cell r="J225" t="str">
            <v>6YD COMMINGLE EOW</v>
          </cell>
          <cell r="K225">
            <v>74.53</v>
          </cell>
          <cell r="L225">
            <v>74.53</v>
          </cell>
        </row>
        <row r="226">
          <cell r="A226" t="str">
            <v>DMRCOMMERCIAL RECYCLE6YDOCC1W</v>
          </cell>
          <cell r="B226" t="str">
            <v>MONTHLY ARREARS</v>
          </cell>
          <cell r="C226" t="str">
            <v>2111</v>
          </cell>
          <cell r="D226" t="str">
            <v>COMMERCIAL RECYCLE</v>
          </cell>
          <cell r="E226" t="b">
            <v>0</v>
          </cell>
          <cell r="F226" t="b">
            <v>0</v>
          </cell>
          <cell r="G226" t="str">
            <v>DMR</v>
          </cell>
          <cell r="H226">
            <v>2711</v>
          </cell>
          <cell r="I226" t="str">
            <v>6YDOCC1W</v>
          </cell>
          <cell r="J226" t="str">
            <v>6YD OCC CAGE 1X WEEKLY</v>
          </cell>
          <cell r="K226">
            <v>198</v>
          </cell>
          <cell r="L226">
            <v>198</v>
          </cell>
        </row>
        <row r="227">
          <cell r="A227" t="str">
            <v>DMR-BLCOMMERCIAL RECYCLE6YDOCC1W</v>
          </cell>
          <cell r="B227" t="str">
            <v>MONTHLY ARREARS</v>
          </cell>
          <cell r="C227" t="str">
            <v>2111</v>
          </cell>
          <cell r="D227" t="str">
            <v>COMMERCIAL RECYCLE</v>
          </cell>
          <cell r="E227" t="b">
            <v>0</v>
          </cell>
          <cell r="F227" t="b">
            <v>0</v>
          </cell>
          <cell r="G227" t="str">
            <v>DMR-BL</v>
          </cell>
          <cell r="H227">
            <v>2711</v>
          </cell>
          <cell r="I227" t="str">
            <v>6YDOCC1W</v>
          </cell>
          <cell r="J227" t="str">
            <v>6YD OCC CAGE 1X WEEKLY</v>
          </cell>
          <cell r="K227">
            <v>72.47</v>
          </cell>
          <cell r="L227">
            <v>72.47</v>
          </cell>
        </row>
        <row r="228">
          <cell r="A228" t="str">
            <v>DMR-CPCOMMERCIAL RECYCLE6YDOCC1W</v>
          </cell>
          <cell r="B228" t="str">
            <v>MONTHLY ARREARS</v>
          </cell>
          <cell r="C228" t="str">
            <v>2111</v>
          </cell>
          <cell r="D228" t="str">
            <v>COMMERCIAL RECYCLE</v>
          </cell>
          <cell r="E228" t="b">
            <v>0</v>
          </cell>
          <cell r="F228" t="b">
            <v>0</v>
          </cell>
          <cell r="G228" t="str">
            <v>DMR-CP</v>
          </cell>
          <cell r="H228">
            <v>2711</v>
          </cell>
          <cell r="I228" t="str">
            <v>6YDOCC1W</v>
          </cell>
          <cell r="J228" t="str">
            <v>6YD OCC CAGE 1X WEEKLY</v>
          </cell>
          <cell r="K228">
            <v>69.77</v>
          </cell>
          <cell r="L228">
            <v>69.77</v>
          </cell>
        </row>
        <row r="229">
          <cell r="A229" t="str">
            <v>DMR-MILCOMMERCIAL RECYCLE6YDOCC1W</v>
          </cell>
          <cell r="B229" t="str">
            <v>MONTHLY ARREARS</v>
          </cell>
          <cell r="C229" t="str">
            <v>2111</v>
          </cell>
          <cell r="D229" t="str">
            <v>COMMERCIAL RECYCLE</v>
          </cell>
          <cell r="E229" t="b">
            <v>0</v>
          </cell>
          <cell r="F229" t="b">
            <v>0</v>
          </cell>
          <cell r="G229" t="str">
            <v>DMR-MIL</v>
          </cell>
          <cell r="H229">
            <v>2711</v>
          </cell>
          <cell r="I229" t="str">
            <v>6YDOCC1W</v>
          </cell>
          <cell r="J229" t="str">
            <v>6YD OCC CAGE 1X WEEKLY</v>
          </cell>
          <cell r="K229">
            <v>149.06</v>
          </cell>
          <cell r="L229">
            <v>149.06</v>
          </cell>
        </row>
        <row r="230">
          <cell r="A230" t="str">
            <v>DMRCOMMERCIAL RECYCLE6YDOCC2W</v>
          </cell>
          <cell r="B230" t="str">
            <v>MONTHLY ARREARS</v>
          </cell>
          <cell r="C230" t="str">
            <v>2111</v>
          </cell>
          <cell r="D230" t="str">
            <v>COMMERCIAL RECYCLE</v>
          </cell>
          <cell r="E230" t="b">
            <v>0</v>
          </cell>
          <cell r="F230" t="b">
            <v>0</v>
          </cell>
          <cell r="G230" t="str">
            <v>DMR</v>
          </cell>
          <cell r="H230">
            <v>2712</v>
          </cell>
          <cell r="I230" t="str">
            <v>6YDOCC2W</v>
          </cell>
          <cell r="J230" t="str">
            <v>6YD OCC CAGE 2X WEEKLY</v>
          </cell>
          <cell r="K230">
            <v>327</v>
          </cell>
          <cell r="L230">
            <v>327</v>
          </cell>
        </row>
        <row r="231">
          <cell r="A231" t="str">
            <v>DMR-BLCOMMERCIAL RECYCLE6YDOCC2W</v>
          </cell>
          <cell r="B231" t="str">
            <v>MONTHLY ARREARS</v>
          </cell>
          <cell r="C231" t="str">
            <v>2111</v>
          </cell>
          <cell r="D231" t="str">
            <v>COMMERCIAL RECYCLE</v>
          </cell>
          <cell r="E231" t="b">
            <v>0</v>
          </cell>
          <cell r="F231" t="b">
            <v>0</v>
          </cell>
          <cell r="G231" t="str">
            <v>DMR-BL</v>
          </cell>
          <cell r="H231">
            <v>2712</v>
          </cell>
          <cell r="I231" t="str">
            <v>6YDOCC2W</v>
          </cell>
          <cell r="J231" t="str">
            <v>6YD OCC CAGE 2X WEEKLY</v>
          </cell>
          <cell r="K231">
            <v>94.22</v>
          </cell>
          <cell r="L231">
            <v>94.22</v>
          </cell>
        </row>
        <row r="232">
          <cell r="A232" t="str">
            <v>DMR-CPCOMMERCIAL RECYCLE6YDOCC2W</v>
          </cell>
          <cell r="B232" t="str">
            <v>MONTHLY ARREARS</v>
          </cell>
          <cell r="C232" t="str">
            <v>2111</v>
          </cell>
          <cell r="D232" t="str">
            <v>COMMERCIAL RECYCLE</v>
          </cell>
          <cell r="E232" t="b">
            <v>0</v>
          </cell>
          <cell r="F232" t="b">
            <v>0</v>
          </cell>
          <cell r="G232" t="str">
            <v>DMR-CP</v>
          </cell>
          <cell r="H232">
            <v>2712</v>
          </cell>
          <cell r="I232" t="str">
            <v>6YDOCC2W</v>
          </cell>
          <cell r="J232" t="str">
            <v>6YD OCC CAGE 2X WEEKLY</v>
          </cell>
          <cell r="K232">
            <v>90.7</v>
          </cell>
          <cell r="L232">
            <v>90.7</v>
          </cell>
        </row>
        <row r="233">
          <cell r="A233" t="str">
            <v>DMR-MILCOMMERCIAL RECYCLE6YDOCC2W</v>
          </cell>
          <cell r="B233" t="str">
            <v>MONTHLY ARREARS</v>
          </cell>
          <cell r="C233" t="str">
            <v>2111</v>
          </cell>
          <cell r="D233" t="str">
            <v>COMMERCIAL RECYCLE</v>
          </cell>
          <cell r="E233" t="b">
            <v>0</v>
          </cell>
          <cell r="F233" t="b">
            <v>0</v>
          </cell>
          <cell r="G233" t="str">
            <v>DMR-MIL</v>
          </cell>
          <cell r="H233">
            <v>2712</v>
          </cell>
          <cell r="I233" t="str">
            <v>6YDOCC2W</v>
          </cell>
          <cell r="J233" t="str">
            <v>6YD OCC CAGE 2X WEEKLY</v>
          </cell>
          <cell r="K233">
            <v>186.33</v>
          </cell>
          <cell r="L233">
            <v>186.33</v>
          </cell>
        </row>
        <row r="234">
          <cell r="A234" t="str">
            <v>DMRCOMMERCIAL RECYCLE6YDOCC3W</v>
          </cell>
          <cell r="B234" t="str">
            <v>MONTHLY ARREARS</v>
          </cell>
          <cell r="C234" t="str">
            <v>2111</v>
          </cell>
          <cell r="D234" t="str">
            <v>COMMERCIAL RECYCLE</v>
          </cell>
          <cell r="E234" t="b">
            <v>0</v>
          </cell>
          <cell r="F234" t="b">
            <v>0</v>
          </cell>
          <cell r="G234" t="str">
            <v>DMR</v>
          </cell>
          <cell r="H234">
            <v>2713</v>
          </cell>
          <cell r="I234" t="str">
            <v>6YDOCC3W</v>
          </cell>
          <cell r="J234" t="str">
            <v>6YD OCC CAGE 3X WEEKLY</v>
          </cell>
          <cell r="K234">
            <v>490</v>
          </cell>
          <cell r="L234">
            <v>490</v>
          </cell>
        </row>
        <row r="235">
          <cell r="A235" t="str">
            <v>DMR-BLCOMMERCIAL RECYCLE6YDOCC3W</v>
          </cell>
          <cell r="B235" t="str">
            <v>MONTHLY ARREARS</v>
          </cell>
          <cell r="C235" t="str">
            <v>2111</v>
          </cell>
          <cell r="D235" t="str">
            <v>COMMERCIAL RECYCLE</v>
          </cell>
          <cell r="E235" t="b">
            <v>0</v>
          </cell>
          <cell r="F235" t="b">
            <v>0</v>
          </cell>
          <cell r="G235" t="str">
            <v>DMR-BL</v>
          </cell>
          <cell r="H235">
            <v>2713</v>
          </cell>
          <cell r="I235" t="str">
            <v>6YDOCC3W</v>
          </cell>
          <cell r="J235" t="str">
            <v>6YD OCC CAGE 3X WEEKLY</v>
          </cell>
          <cell r="K235">
            <v>122.46</v>
          </cell>
          <cell r="L235">
            <v>122.46</v>
          </cell>
        </row>
        <row r="236">
          <cell r="A236" t="str">
            <v>DMR-CPCOMMERCIAL RECYCLE6YDOCC3W</v>
          </cell>
          <cell r="B236" t="str">
            <v>MONTHLY ARREARS</v>
          </cell>
          <cell r="C236" t="str">
            <v>2111</v>
          </cell>
          <cell r="D236" t="str">
            <v>COMMERCIAL RECYCLE</v>
          </cell>
          <cell r="E236" t="b">
            <v>0</v>
          </cell>
          <cell r="F236" t="b">
            <v>0</v>
          </cell>
          <cell r="G236" t="str">
            <v>DMR-CP</v>
          </cell>
          <cell r="H236">
            <v>2713</v>
          </cell>
          <cell r="I236" t="str">
            <v>6YDOCC3W</v>
          </cell>
          <cell r="J236" t="str">
            <v>6YD OCC CAGE 3X WEEKLY</v>
          </cell>
          <cell r="K236">
            <v>117.89</v>
          </cell>
          <cell r="L236">
            <v>117.89</v>
          </cell>
        </row>
        <row r="237">
          <cell r="A237" t="str">
            <v>DMR-MILCOMMERCIAL RECYCLE6YDOCC3W</v>
          </cell>
          <cell r="B237" t="str">
            <v>MONTHLY ARREARS</v>
          </cell>
          <cell r="C237" t="str">
            <v>2111</v>
          </cell>
          <cell r="D237" t="str">
            <v>COMMERCIAL RECYCLE</v>
          </cell>
          <cell r="E237" t="b">
            <v>0</v>
          </cell>
          <cell r="F237" t="b">
            <v>0</v>
          </cell>
          <cell r="G237" t="str">
            <v>DMR-MIL</v>
          </cell>
          <cell r="H237">
            <v>2713</v>
          </cell>
          <cell r="I237" t="str">
            <v>6YDOCC3W</v>
          </cell>
          <cell r="J237" t="str">
            <v>6YD OCC CAGE 3X WEEKLY</v>
          </cell>
          <cell r="K237">
            <v>232.91</v>
          </cell>
          <cell r="L237">
            <v>232.91</v>
          </cell>
        </row>
        <row r="238">
          <cell r="A238" t="str">
            <v>DMRCOMMERCIAL RECYCLE6YDOCC4W</v>
          </cell>
          <cell r="B238" t="str">
            <v>MONTHLY ARREARS</v>
          </cell>
          <cell r="C238" t="str">
            <v>2111</v>
          </cell>
          <cell r="D238" t="str">
            <v>COMMERCIAL RECYCLE</v>
          </cell>
          <cell r="E238" t="b">
            <v>0</v>
          </cell>
          <cell r="F238" t="b">
            <v>0</v>
          </cell>
          <cell r="G238" t="str">
            <v>DMR</v>
          </cell>
          <cell r="H238">
            <v>2714</v>
          </cell>
          <cell r="I238" t="str">
            <v>6YDOCC4W</v>
          </cell>
          <cell r="J238" t="str">
            <v>6YD OCC CAGE 4X WEEKLY</v>
          </cell>
          <cell r="K238">
            <v>653</v>
          </cell>
          <cell r="L238">
            <v>653</v>
          </cell>
        </row>
        <row r="239">
          <cell r="A239" t="str">
            <v>DMR-BLCOMMERCIAL RECYCLE6YDOCC4W</v>
          </cell>
          <cell r="B239" t="str">
            <v>MONTHLY ARREARS</v>
          </cell>
          <cell r="C239" t="str">
            <v>2111</v>
          </cell>
          <cell r="D239" t="str">
            <v>COMMERCIAL RECYCLE</v>
          </cell>
          <cell r="E239" t="b">
            <v>0</v>
          </cell>
          <cell r="F239" t="b">
            <v>0</v>
          </cell>
          <cell r="G239" t="str">
            <v>DMR-BL</v>
          </cell>
          <cell r="H239">
            <v>2714</v>
          </cell>
          <cell r="I239" t="str">
            <v>6YDOCC4W</v>
          </cell>
          <cell r="J239" t="str">
            <v>6YD OCC CAGE 4X WEEKLY</v>
          </cell>
          <cell r="K239">
            <v>159.22</v>
          </cell>
          <cell r="L239">
            <v>159.22</v>
          </cell>
        </row>
        <row r="240">
          <cell r="A240" t="str">
            <v>DMR-CPCOMMERCIAL RECYCLE6YDOCC4W</v>
          </cell>
          <cell r="B240" t="str">
            <v>MONTHLY ARREARS</v>
          </cell>
          <cell r="C240" t="str">
            <v>2111</v>
          </cell>
          <cell r="D240" t="str">
            <v>COMMERCIAL RECYCLE</v>
          </cell>
          <cell r="E240" t="b">
            <v>0</v>
          </cell>
          <cell r="F240" t="b">
            <v>0</v>
          </cell>
          <cell r="G240" t="str">
            <v>DMR-CP</v>
          </cell>
          <cell r="H240">
            <v>2714</v>
          </cell>
          <cell r="I240" t="str">
            <v>6YDOCC4W</v>
          </cell>
          <cell r="J240" t="str">
            <v>6YD OCC CAGE 4X WEEKLY</v>
          </cell>
          <cell r="K240">
            <v>153.27000000000001</v>
          </cell>
          <cell r="L240">
            <v>153.27000000000001</v>
          </cell>
        </row>
        <row r="241">
          <cell r="A241" t="str">
            <v>DMRCOMMERCIAL RECYCLE6YDOCC5W</v>
          </cell>
          <cell r="B241" t="str">
            <v>MONTHLY ARREARS</v>
          </cell>
          <cell r="C241" t="str">
            <v>2111</v>
          </cell>
          <cell r="D241" t="str">
            <v>COMMERCIAL RECYCLE</v>
          </cell>
          <cell r="E241" t="b">
            <v>0</v>
          </cell>
          <cell r="F241" t="b">
            <v>0</v>
          </cell>
          <cell r="G241" t="str">
            <v>DMR</v>
          </cell>
          <cell r="H241">
            <v>2716</v>
          </cell>
          <cell r="I241" t="str">
            <v>6YDOCC5W</v>
          </cell>
          <cell r="J241" t="str">
            <v>6YD OCC CAGE 5X WEEKLY</v>
          </cell>
          <cell r="K241">
            <v>817</v>
          </cell>
          <cell r="L241">
            <v>817</v>
          </cell>
        </row>
        <row r="242">
          <cell r="A242" t="str">
            <v>DMR-BLCOMMERCIAL RECYCLE6YDOCC5W</v>
          </cell>
          <cell r="B242" t="str">
            <v>MONTHLY ARREARS</v>
          </cell>
          <cell r="C242" t="str">
            <v>2111</v>
          </cell>
          <cell r="D242" t="str">
            <v>COMMERCIAL RECYCLE</v>
          </cell>
          <cell r="E242" t="b">
            <v>0</v>
          </cell>
          <cell r="F242" t="b">
            <v>0</v>
          </cell>
          <cell r="G242" t="str">
            <v>DMR-BL</v>
          </cell>
          <cell r="H242">
            <v>2716</v>
          </cell>
          <cell r="I242" t="str">
            <v>6YDOCC5W</v>
          </cell>
          <cell r="J242" t="str">
            <v>6YD OCC CAGE 5X WEEKLY</v>
          </cell>
          <cell r="K242">
            <v>206.95</v>
          </cell>
          <cell r="L242">
            <v>206.95</v>
          </cell>
        </row>
        <row r="243">
          <cell r="A243" t="str">
            <v>DMR-CPCOMMERCIAL RECYCLE6YDOCC5W</v>
          </cell>
          <cell r="B243" t="str">
            <v>MONTHLY ARREARS</v>
          </cell>
          <cell r="C243" t="str">
            <v>2111</v>
          </cell>
          <cell r="D243" t="str">
            <v>COMMERCIAL RECYCLE</v>
          </cell>
          <cell r="E243" t="b">
            <v>0</v>
          </cell>
          <cell r="F243" t="b">
            <v>0</v>
          </cell>
          <cell r="G243" t="str">
            <v>DMR-CP</v>
          </cell>
          <cell r="H243">
            <v>2716</v>
          </cell>
          <cell r="I243" t="str">
            <v>6YDOCC5W</v>
          </cell>
          <cell r="J243" t="str">
            <v>6YD OCC CAGE 5X WEEKLY</v>
          </cell>
          <cell r="K243">
            <v>199.22</v>
          </cell>
          <cell r="L243">
            <v>199.22</v>
          </cell>
        </row>
        <row r="244">
          <cell r="A244" t="str">
            <v>DMRCOMMERCIAL RECYCLE6YDOCCEW</v>
          </cell>
          <cell r="B244" t="str">
            <v>MONTHLY ARREARS</v>
          </cell>
          <cell r="C244" t="str">
            <v>2111</v>
          </cell>
          <cell r="D244" t="str">
            <v>COMMERCIAL RECYCLE</v>
          </cell>
          <cell r="E244" t="b">
            <v>0</v>
          </cell>
          <cell r="F244" t="b">
            <v>0</v>
          </cell>
          <cell r="G244" t="str">
            <v>DMR</v>
          </cell>
          <cell r="H244">
            <v>3442</v>
          </cell>
          <cell r="I244" t="str">
            <v>6YDOCCEW</v>
          </cell>
          <cell r="J244" t="str">
            <v>6YD OCC CAGE EOW</v>
          </cell>
          <cell r="K244">
            <v>145</v>
          </cell>
          <cell r="L244">
            <v>145</v>
          </cell>
        </row>
        <row r="245">
          <cell r="A245" t="str">
            <v>DMR-CPCOMMERCIAL RECYCLE6YDOCCEW</v>
          </cell>
          <cell r="B245" t="str">
            <v>MONTHLY ARREARS</v>
          </cell>
          <cell r="C245" t="str">
            <v>2111</v>
          </cell>
          <cell r="D245" t="str">
            <v>COMMERCIAL RECYCLE</v>
          </cell>
          <cell r="E245" t="b">
            <v>0</v>
          </cell>
          <cell r="F245" t="b">
            <v>0</v>
          </cell>
          <cell r="G245" t="str">
            <v>DMR-CP</v>
          </cell>
          <cell r="H245">
            <v>3442</v>
          </cell>
          <cell r="I245" t="str">
            <v>6YDOCCEW</v>
          </cell>
          <cell r="J245" t="str">
            <v>6YD OCC CAGE EOW</v>
          </cell>
          <cell r="K245">
            <v>49.1</v>
          </cell>
          <cell r="L245">
            <v>49.1</v>
          </cell>
        </row>
        <row r="246">
          <cell r="A246" t="str">
            <v>DMRCOMMERCIAL RECYCLE90COM1E</v>
          </cell>
          <cell r="B246" t="str">
            <v>MONTHLY ARREARS</v>
          </cell>
          <cell r="C246" t="str">
            <v>2111</v>
          </cell>
          <cell r="D246" t="str">
            <v>COMMERCIAL RECYCLE</v>
          </cell>
          <cell r="E246" t="b">
            <v>0</v>
          </cell>
          <cell r="F246" t="b">
            <v>0</v>
          </cell>
          <cell r="G246" t="str">
            <v>DMR</v>
          </cell>
          <cell r="H246">
            <v>3348</v>
          </cell>
          <cell r="I246" t="str">
            <v>90COM1E</v>
          </cell>
          <cell r="J246" t="str">
            <v>90 GAL COMMINGLED EOW</v>
          </cell>
          <cell r="K246">
            <v>27</v>
          </cell>
          <cell r="L246">
            <v>27</v>
          </cell>
        </row>
        <row r="247">
          <cell r="A247" t="str">
            <v>DMR-BCOMMERCIAL RECYCLE90COM1E</v>
          </cell>
          <cell r="B247" t="str">
            <v>MONTHLY ARREARS</v>
          </cell>
          <cell r="C247" t="str">
            <v>2111</v>
          </cell>
          <cell r="D247" t="str">
            <v>COMMERCIAL RECYCLE</v>
          </cell>
          <cell r="E247" t="b">
            <v>0</v>
          </cell>
          <cell r="F247" t="b">
            <v>0</v>
          </cell>
          <cell r="G247" t="str">
            <v>DMR-B</v>
          </cell>
          <cell r="H247">
            <v>3348</v>
          </cell>
          <cell r="I247" t="str">
            <v>90COM1E</v>
          </cell>
          <cell r="J247" t="str">
            <v>90 GAL COMMINGLED EOW</v>
          </cell>
          <cell r="K247">
            <v>11.6</v>
          </cell>
          <cell r="L247">
            <v>11.6</v>
          </cell>
        </row>
        <row r="248">
          <cell r="A248" t="str">
            <v>DMR-BLCOMMERCIAL RECYCLE90COM1E</v>
          </cell>
          <cell r="B248" t="str">
            <v>MONTHLY ARREARS</v>
          </cell>
          <cell r="C248" t="str">
            <v>2111</v>
          </cell>
          <cell r="D248" t="str">
            <v>COMMERCIAL RECYCLE</v>
          </cell>
          <cell r="E248" t="b">
            <v>0</v>
          </cell>
          <cell r="F248" t="b">
            <v>0</v>
          </cell>
          <cell r="G248" t="str">
            <v>DMR-BL</v>
          </cell>
          <cell r="H248">
            <v>3348</v>
          </cell>
          <cell r="I248" t="str">
            <v>90COM1E</v>
          </cell>
          <cell r="J248" t="str">
            <v>90 GAL COMMINGLED EOW</v>
          </cell>
          <cell r="K248">
            <v>15.82</v>
          </cell>
          <cell r="L248">
            <v>15.82</v>
          </cell>
        </row>
        <row r="249">
          <cell r="A249" t="str">
            <v>DMR-CPCOMMERCIAL RECYCLE90COM1E</v>
          </cell>
          <cell r="B249" t="str">
            <v>MONTHLY ARREARS</v>
          </cell>
          <cell r="C249" t="str">
            <v>2111</v>
          </cell>
          <cell r="D249" t="str">
            <v>COMMERCIAL RECYCLE</v>
          </cell>
          <cell r="E249" t="b">
            <v>0</v>
          </cell>
          <cell r="F249" t="b">
            <v>0</v>
          </cell>
          <cell r="G249" t="str">
            <v>DMR-CP</v>
          </cell>
          <cell r="H249">
            <v>3348</v>
          </cell>
          <cell r="I249" t="str">
            <v>90COM1E</v>
          </cell>
          <cell r="J249" t="str">
            <v>90 GAL COMMINGLED EOW</v>
          </cell>
          <cell r="K249">
            <v>15.22</v>
          </cell>
          <cell r="L249">
            <v>15.22</v>
          </cell>
        </row>
        <row r="250">
          <cell r="A250" t="str">
            <v>DMR-MILCOMMERCIAL RECYCLE90COM1E</v>
          </cell>
          <cell r="B250" t="str">
            <v>MONTHLY ARREARS</v>
          </cell>
          <cell r="C250" t="str">
            <v>2111</v>
          </cell>
          <cell r="D250" t="str">
            <v>COMMERCIAL RECYCLE</v>
          </cell>
          <cell r="E250" t="b">
            <v>0</v>
          </cell>
          <cell r="F250" t="b">
            <v>0</v>
          </cell>
          <cell r="G250" t="str">
            <v>DMR-MIL</v>
          </cell>
          <cell r="H250">
            <v>3348</v>
          </cell>
          <cell r="I250" t="str">
            <v>90COM1E</v>
          </cell>
          <cell r="J250" t="str">
            <v>90 GAL COMMINGLED EOW</v>
          </cell>
          <cell r="K250">
            <v>14.52</v>
          </cell>
          <cell r="L250">
            <v>14.52</v>
          </cell>
        </row>
        <row r="251">
          <cell r="A251" t="str">
            <v>DMRCOMMERCIAL RECYCLE90COM1W</v>
          </cell>
          <cell r="B251" t="str">
            <v>MONTHLY ARREARS</v>
          </cell>
          <cell r="C251" t="str">
            <v>2111</v>
          </cell>
          <cell r="D251" t="str">
            <v>COMMERCIAL RECYCLE</v>
          </cell>
          <cell r="E251" t="b">
            <v>0</v>
          </cell>
          <cell r="F251" t="b">
            <v>0</v>
          </cell>
          <cell r="G251" t="str">
            <v>DMR</v>
          </cell>
          <cell r="H251">
            <v>3347</v>
          </cell>
          <cell r="I251" t="str">
            <v>90COM1W</v>
          </cell>
          <cell r="J251" t="str">
            <v>90 GAL COMMINGLED 1 X WK</v>
          </cell>
          <cell r="K251">
            <v>36</v>
          </cell>
          <cell r="L251">
            <v>36</v>
          </cell>
        </row>
        <row r="252">
          <cell r="A252" t="str">
            <v>DMR-BCOMMERCIAL RECYCLE90COM1W</v>
          </cell>
          <cell r="B252" t="str">
            <v>MONTHLY ARREARS</v>
          </cell>
          <cell r="C252" t="str">
            <v>2111</v>
          </cell>
          <cell r="D252" t="str">
            <v>COMMERCIAL RECYCLE</v>
          </cell>
          <cell r="E252" t="b">
            <v>0</v>
          </cell>
          <cell r="F252" t="b">
            <v>0</v>
          </cell>
          <cell r="G252" t="str">
            <v>DMR-B</v>
          </cell>
          <cell r="H252">
            <v>3347</v>
          </cell>
          <cell r="I252" t="str">
            <v>90COM1W</v>
          </cell>
          <cell r="J252" t="str">
            <v>90 GAL COMMINGLED 1 X WK</v>
          </cell>
          <cell r="K252">
            <v>11.6</v>
          </cell>
          <cell r="L252">
            <v>11.6</v>
          </cell>
        </row>
        <row r="253">
          <cell r="A253" t="str">
            <v>DMR-BLCOMMERCIAL RECYCLE90COM1W</v>
          </cell>
          <cell r="B253" t="str">
            <v>MONTHLY ARREARS</v>
          </cell>
          <cell r="C253" t="str">
            <v>2111</v>
          </cell>
          <cell r="D253" t="str">
            <v>COMMERCIAL RECYCLE</v>
          </cell>
          <cell r="E253" t="b">
            <v>0</v>
          </cell>
          <cell r="F253" t="b">
            <v>0</v>
          </cell>
          <cell r="G253" t="str">
            <v>DMR-BL</v>
          </cell>
          <cell r="H253">
            <v>3347</v>
          </cell>
          <cell r="I253" t="str">
            <v>90COM1W</v>
          </cell>
          <cell r="J253" t="str">
            <v>90 GAL COMMINGLED 1 X WK</v>
          </cell>
          <cell r="K253">
            <v>22.84</v>
          </cell>
          <cell r="L253">
            <v>22.84</v>
          </cell>
        </row>
        <row r="254">
          <cell r="A254" t="str">
            <v>DMR-CPCOMMERCIAL RECYCLE90COM1W</v>
          </cell>
          <cell r="B254" t="str">
            <v>MONTHLY ARREARS</v>
          </cell>
          <cell r="C254" t="str">
            <v>2111</v>
          </cell>
          <cell r="D254" t="str">
            <v>COMMERCIAL RECYCLE</v>
          </cell>
          <cell r="E254" t="b">
            <v>0</v>
          </cell>
          <cell r="F254" t="b">
            <v>0</v>
          </cell>
          <cell r="G254" t="str">
            <v>DMR-CP</v>
          </cell>
          <cell r="H254">
            <v>3347</v>
          </cell>
          <cell r="I254" t="str">
            <v>90COM1W</v>
          </cell>
          <cell r="J254" t="str">
            <v>90 GAL COMMINGLED 1 X WK</v>
          </cell>
          <cell r="K254">
            <v>21.98</v>
          </cell>
          <cell r="L254">
            <v>21.98</v>
          </cell>
        </row>
        <row r="255">
          <cell r="A255" t="str">
            <v>DMR-MILCOMMERCIAL RECYCLE90COM1W</v>
          </cell>
          <cell r="B255" t="str">
            <v>MONTHLY ARREARS</v>
          </cell>
          <cell r="C255" t="str">
            <v>2111</v>
          </cell>
          <cell r="D255" t="str">
            <v>COMMERCIAL RECYCLE</v>
          </cell>
          <cell r="E255" t="b">
            <v>0</v>
          </cell>
          <cell r="F255" t="b">
            <v>0</v>
          </cell>
          <cell r="G255" t="str">
            <v>DMR-MIL</v>
          </cell>
          <cell r="H255">
            <v>3347</v>
          </cell>
          <cell r="I255" t="str">
            <v>90COM1W</v>
          </cell>
          <cell r="J255" t="str">
            <v>90 GAL COMMINGLED 1 X WK</v>
          </cell>
          <cell r="K255">
            <v>14.52</v>
          </cell>
          <cell r="L255">
            <v>14.52</v>
          </cell>
        </row>
        <row r="256">
          <cell r="A256" t="str">
            <v>DMRCOMMERCIAL RECYCLE90COM2W</v>
          </cell>
          <cell r="B256" t="str">
            <v>MONTHLY ARREARS</v>
          </cell>
          <cell r="C256" t="str">
            <v>2111</v>
          </cell>
          <cell r="D256" t="str">
            <v>COMMERCIAL RECYCLE</v>
          </cell>
          <cell r="E256" t="b">
            <v>0</v>
          </cell>
          <cell r="F256" t="b">
            <v>0</v>
          </cell>
          <cell r="G256" t="str">
            <v>DMR</v>
          </cell>
          <cell r="H256">
            <v>3510</v>
          </cell>
          <cell r="I256" t="str">
            <v>90COM2W</v>
          </cell>
          <cell r="J256" t="str">
            <v>90 GL COMMINGLE 2X WK</v>
          </cell>
          <cell r="K256">
            <v>66</v>
          </cell>
          <cell r="L256">
            <v>66</v>
          </cell>
        </row>
        <row r="257">
          <cell r="A257" t="str">
            <v>DMR-BLCOMMERCIAL RECYCLE90GLS1W</v>
          </cell>
          <cell r="B257" t="str">
            <v>MONTHLY ARREARS</v>
          </cell>
          <cell r="C257" t="str">
            <v>2111</v>
          </cell>
          <cell r="D257" t="str">
            <v>COMMERCIAL RECYCLE</v>
          </cell>
          <cell r="E257" t="b">
            <v>0</v>
          </cell>
          <cell r="F257" t="b">
            <v>0</v>
          </cell>
          <cell r="G257" t="str">
            <v>DMR-BL</v>
          </cell>
          <cell r="H257">
            <v>2732</v>
          </cell>
          <cell r="I257" t="str">
            <v>90GLS1W</v>
          </cell>
          <cell r="J257" t="str">
            <v>90 GAL GLASS 1X WEEKLY</v>
          </cell>
          <cell r="K257">
            <v>19.649999999999999</v>
          </cell>
          <cell r="L257">
            <v>19.649999999999999</v>
          </cell>
        </row>
        <row r="258">
          <cell r="A258" t="str">
            <v>DMRCOMMERCIAL RECYCLE90RECYEXTRA</v>
          </cell>
          <cell r="B258" t="e">
            <v>#N/A</v>
          </cell>
          <cell r="C258" t="str">
            <v>2111</v>
          </cell>
          <cell r="D258" t="str">
            <v>COMMERCIAL RECYCLE</v>
          </cell>
          <cell r="E258" t="b">
            <v>1</v>
          </cell>
          <cell r="F258" t="b">
            <v>0</v>
          </cell>
          <cell r="G258" t="str">
            <v>DMR</v>
          </cell>
          <cell r="H258">
            <v>3579</v>
          </cell>
          <cell r="I258" t="str">
            <v>90RECYEXTRA</v>
          </cell>
          <cell r="J258" t="str">
            <v>RECY CART EXTRA PICKUP</v>
          </cell>
          <cell r="K258">
            <v>24</v>
          </cell>
          <cell r="L258">
            <v>24</v>
          </cell>
        </row>
        <row r="259">
          <cell r="A259" t="str">
            <v>DMR-BCOMMERCIAL RECYCLE90RECYEXTRA</v>
          </cell>
          <cell r="B259" t="e">
            <v>#N/A</v>
          </cell>
          <cell r="C259" t="str">
            <v>2111</v>
          </cell>
          <cell r="D259" t="str">
            <v>COMMERCIAL RECYCLE</v>
          </cell>
          <cell r="E259" t="b">
            <v>1</v>
          </cell>
          <cell r="F259" t="b">
            <v>0</v>
          </cell>
          <cell r="G259" t="str">
            <v>DMR-B</v>
          </cell>
          <cell r="H259">
            <v>3579</v>
          </cell>
          <cell r="I259" t="str">
            <v>90RECYEXTRA</v>
          </cell>
          <cell r="J259" t="str">
            <v>RECY CART EXTRA PICKUP</v>
          </cell>
          <cell r="K259">
            <v>20.079999999999998</v>
          </cell>
          <cell r="L259">
            <v>20.079999999999998</v>
          </cell>
        </row>
        <row r="260">
          <cell r="A260" t="str">
            <v>DMR-BLCOMMERCIAL RECYCLE90RECYEXTRA</v>
          </cell>
          <cell r="B260" t="e">
            <v>#N/A</v>
          </cell>
          <cell r="C260" t="str">
            <v>2111</v>
          </cell>
          <cell r="D260" t="str">
            <v>COMMERCIAL RECYCLE</v>
          </cell>
          <cell r="E260" t="b">
            <v>1</v>
          </cell>
          <cell r="F260" t="b">
            <v>0</v>
          </cell>
          <cell r="G260" t="str">
            <v>DMR-BL</v>
          </cell>
          <cell r="H260">
            <v>3579</v>
          </cell>
          <cell r="I260" t="str">
            <v>90RECYEXTRA</v>
          </cell>
          <cell r="J260" t="str">
            <v>RECY CART EXTRA PICKUP</v>
          </cell>
          <cell r="K260">
            <v>19.27</v>
          </cell>
          <cell r="L260">
            <v>19.27</v>
          </cell>
        </row>
        <row r="261">
          <cell r="A261" t="str">
            <v>DMR-CPCOMMERCIAL RECYCLE90RECYEXTRA</v>
          </cell>
          <cell r="B261" t="e">
            <v>#N/A</v>
          </cell>
          <cell r="C261" t="str">
            <v>2111</v>
          </cell>
          <cell r="D261" t="str">
            <v>COMMERCIAL RECYCLE</v>
          </cell>
          <cell r="E261" t="b">
            <v>1</v>
          </cell>
          <cell r="F261" t="b">
            <v>0</v>
          </cell>
          <cell r="G261" t="str">
            <v>DMR-CP</v>
          </cell>
          <cell r="H261">
            <v>3579</v>
          </cell>
          <cell r="I261" t="str">
            <v>90RECYEXTRA</v>
          </cell>
          <cell r="J261" t="str">
            <v>RECY CART EXTRA PICKUP</v>
          </cell>
          <cell r="K261">
            <v>18.329999999999998</v>
          </cell>
          <cell r="L261">
            <v>18.329999999999998</v>
          </cell>
        </row>
        <row r="262">
          <cell r="A262" t="str">
            <v>DMR-MILCOMMERCIAL RECYCLE90RECYEXTRA</v>
          </cell>
          <cell r="B262" t="e">
            <v>#N/A</v>
          </cell>
          <cell r="C262" t="str">
            <v>2111</v>
          </cell>
          <cell r="D262" t="str">
            <v>COMMERCIAL RECYCLE</v>
          </cell>
          <cell r="E262" t="b">
            <v>1</v>
          </cell>
          <cell r="F262" t="b">
            <v>0</v>
          </cell>
          <cell r="G262" t="str">
            <v>DMR-MIL</v>
          </cell>
          <cell r="H262">
            <v>3579</v>
          </cell>
          <cell r="I262" t="str">
            <v>90RECYEXTRA</v>
          </cell>
          <cell r="J262" t="str">
            <v>RECY CART EXTRA PICKUP</v>
          </cell>
          <cell r="K262">
            <v>19.72</v>
          </cell>
          <cell r="L262">
            <v>19.72</v>
          </cell>
        </row>
        <row r="263">
          <cell r="A263" t="str">
            <v>M-EDGEWOODCOMMERCIAL95CW1</v>
          </cell>
          <cell r="B263" t="str">
            <v>MONTHLY ARREARS</v>
          </cell>
          <cell r="C263" t="str">
            <v>2111</v>
          </cell>
          <cell r="D263" t="str">
            <v>COMMERCIAL</v>
          </cell>
          <cell r="E263" t="b">
            <v>0</v>
          </cell>
          <cell r="F263" t="b">
            <v>0</v>
          </cell>
          <cell r="G263" t="str">
            <v>M-EDGEWOOD</v>
          </cell>
          <cell r="H263">
            <v>3546</v>
          </cell>
          <cell r="I263" t="str">
            <v>95CW1</v>
          </cell>
          <cell r="J263" t="str">
            <v>1-95 GAL CART WKLY</v>
          </cell>
          <cell r="K263">
            <v>45.25</v>
          </cell>
          <cell r="L263">
            <v>45.25</v>
          </cell>
        </row>
        <row r="264">
          <cell r="A264" t="str">
            <v>M-FIFECOMMERCIAL95CW1</v>
          </cell>
          <cell r="B264" t="str">
            <v>MONTHLY ARREARS</v>
          </cell>
          <cell r="C264" t="str">
            <v>2111</v>
          </cell>
          <cell r="D264" t="str">
            <v>COMMERCIAL</v>
          </cell>
          <cell r="E264" t="b">
            <v>0</v>
          </cell>
          <cell r="F264" t="b">
            <v>0</v>
          </cell>
          <cell r="G264" t="str">
            <v>M-FIFE</v>
          </cell>
          <cell r="H264">
            <v>3546</v>
          </cell>
          <cell r="I264" t="str">
            <v>95CW1</v>
          </cell>
          <cell r="J264" t="str">
            <v>1-95 GAL CART WKLY</v>
          </cell>
          <cell r="K264">
            <v>45.25</v>
          </cell>
          <cell r="L264">
            <v>45.25</v>
          </cell>
        </row>
        <row r="265">
          <cell r="A265" t="str">
            <v>MURREYSCOMMERCIAL95CW1</v>
          </cell>
          <cell r="B265" t="str">
            <v>MONTHLY ARREARS</v>
          </cell>
          <cell r="C265" t="str">
            <v>2111</v>
          </cell>
          <cell r="D265" t="str">
            <v>COMMERCIAL</v>
          </cell>
          <cell r="E265" t="b">
            <v>0</v>
          </cell>
          <cell r="F265" t="b">
            <v>0</v>
          </cell>
          <cell r="G265" t="str">
            <v>MURREYS</v>
          </cell>
          <cell r="H265">
            <v>3546</v>
          </cell>
          <cell r="I265" t="str">
            <v>95CW1</v>
          </cell>
          <cell r="J265" t="str">
            <v>1-95 GAL CART WKLY</v>
          </cell>
          <cell r="K265">
            <v>45.25</v>
          </cell>
          <cell r="L265">
            <v>45.25</v>
          </cell>
        </row>
        <row r="266">
          <cell r="A266" t="str">
            <v>RUSTONCOMMERCIAL95CW1</v>
          </cell>
          <cell r="B266" t="str">
            <v>MONTHLY ARREARS</v>
          </cell>
          <cell r="C266" t="str">
            <v>2111</v>
          </cell>
          <cell r="D266" t="str">
            <v>COMMERCIAL</v>
          </cell>
          <cell r="E266" t="b">
            <v>0</v>
          </cell>
          <cell r="F266" t="b">
            <v>0</v>
          </cell>
          <cell r="G266" t="str">
            <v>RUSTON</v>
          </cell>
          <cell r="H266">
            <v>3546</v>
          </cell>
          <cell r="I266" t="str">
            <v>95CW1</v>
          </cell>
          <cell r="J266" t="str">
            <v>1-95 GAL CART WKLY</v>
          </cell>
          <cell r="K266">
            <v>55.46</v>
          </cell>
          <cell r="L266">
            <v>55.46</v>
          </cell>
        </row>
        <row r="267">
          <cell r="A267" t="str">
            <v>SUMNERCOMMERCIAL95CW1</v>
          </cell>
          <cell r="B267" t="str">
            <v>MONTHLY ARREARS</v>
          </cell>
          <cell r="C267" t="str">
            <v>2111</v>
          </cell>
          <cell r="D267" t="str">
            <v>COMMERCIAL</v>
          </cell>
          <cell r="E267" t="b">
            <v>0</v>
          </cell>
          <cell r="F267" t="b">
            <v>0</v>
          </cell>
          <cell r="G267" t="str">
            <v>SUMNER</v>
          </cell>
          <cell r="H267">
            <v>3546</v>
          </cell>
          <cell r="I267" t="str">
            <v>95CW1</v>
          </cell>
          <cell r="J267" t="str">
            <v>1-95 GAL CART WKLY</v>
          </cell>
          <cell r="K267">
            <v>56.85</v>
          </cell>
          <cell r="L267">
            <v>56.85</v>
          </cell>
        </row>
        <row r="268">
          <cell r="A268" t="str">
            <v>M-EDGEWOODMULTI-FAMILY95MOCPU</v>
          </cell>
          <cell r="B268" t="str">
            <v>ONCALL</v>
          </cell>
          <cell r="C268" t="str">
            <v>2111</v>
          </cell>
          <cell r="D268" t="str">
            <v>MULTI-FAMILY</v>
          </cell>
          <cell r="E268" t="b">
            <v>1</v>
          </cell>
          <cell r="F268" t="b">
            <v>0</v>
          </cell>
          <cell r="G268" t="str">
            <v>M-EDGEWOOD</v>
          </cell>
          <cell r="H268">
            <v>3535</v>
          </cell>
          <cell r="I268" t="str">
            <v>95MOCPU</v>
          </cell>
          <cell r="J268" t="str">
            <v>MF 1-95 GAL CART ON CALL</v>
          </cell>
          <cell r="K268">
            <v>41.56</v>
          </cell>
          <cell r="L268">
            <v>41.56</v>
          </cell>
        </row>
        <row r="269">
          <cell r="A269" t="str">
            <v>M-FIFEMULTI-FAMILY95MOCPU</v>
          </cell>
          <cell r="B269" t="str">
            <v>ONCALL</v>
          </cell>
          <cell r="C269" t="str">
            <v>2111</v>
          </cell>
          <cell r="D269" t="str">
            <v>MULTI-FAMILY</v>
          </cell>
          <cell r="E269" t="b">
            <v>1</v>
          </cell>
          <cell r="F269" t="b">
            <v>0</v>
          </cell>
          <cell r="G269" t="str">
            <v>M-FIFE</v>
          </cell>
          <cell r="H269">
            <v>3535</v>
          </cell>
          <cell r="I269" t="str">
            <v>95MOCPU</v>
          </cell>
          <cell r="J269" t="str">
            <v>MF 1-95 GAL CART ON CALL</v>
          </cell>
          <cell r="K269">
            <v>41.56</v>
          </cell>
          <cell r="L269">
            <v>41.56</v>
          </cell>
        </row>
        <row r="270">
          <cell r="A270" t="str">
            <v>MURREYSMULTI-FAMILY95MOCPU</v>
          </cell>
          <cell r="B270" t="str">
            <v>ONCALL</v>
          </cell>
          <cell r="C270" t="str">
            <v>2111</v>
          </cell>
          <cell r="D270" t="str">
            <v>MULTI-FAMILY</v>
          </cell>
          <cell r="E270" t="b">
            <v>1</v>
          </cell>
          <cell r="F270" t="b">
            <v>0</v>
          </cell>
          <cell r="G270" t="str">
            <v>MURREYS</v>
          </cell>
          <cell r="H270">
            <v>3535</v>
          </cell>
          <cell r="I270" t="str">
            <v>95MOCPU</v>
          </cell>
          <cell r="J270" t="str">
            <v>MF 1-95 GAL CART ON CALL</v>
          </cell>
          <cell r="K270">
            <v>41.56</v>
          </cell>
          <cell r="L270">
            <v>41.56</v>
          </cell>
        </row>
        <row r="271">
          <cell r="A271" t="str">
            <v>M-EDGEWOODMULTI-FAMILY95MW1</v>
          </cell>
          <cell r="B271" t="str">
            <v>MONTHLY ARREARS</v>
          </cell>
          <cell r="C271" t="str">
            <v>2111</v>
          </cell>
          <cell r="D271" t="str">
            <v>MULTI-FAMILY</v>
          </cell>
          <cell r="E271" t="b">
            <v>0</v>
          </cell>
          <cell r="F271" t="b">
            <v>0</v>
          </cell>
          <cell r="G271" t="str">
            <v>M-EDGEWOOD</v>
          </cell>
          <cell r="H271">
            <v>3531</v>
          </cell>
          <cell r="I271" t="str">
            <v>95MW1</v>
          </cell>
          <cell r="J271" t="str">
            <v>MF 1-95 GAL CART</v>
          </cell>
          <cell r="K271">
            <v>53.19</v>
          </cell>
          <cell r="L271">
            <v>53.19</v>
          </cell>
        </row>
        <row r="272">
          <cell r="A272" t="str">
            <v>M-FIFEMULTI-FAMILY95MW1</v>
          </cell>
          <cell r="B272" t="str">
            <v>MONTHLY ARREARS</v>
          </cell>
          <cell r="C272" t="str">
            <v>2111</v>
          </cell>
          <cell r="D272" t="str">
            <v>MULTI-FAMILY</v>
          </cell>
          <cell r="E272" t="b">
            <v>0</v>
          </cell>
          <cell r="F272" t="b">
            <v>0</v>
          </cell>
          <cell r="G272" t="str">
            <v>M-FIFE</v>
          </cell>
          <cell r="H272">
            <v>3531</v>
          </cell>
          <cell r="I272" t="str">
            <v>95MW1</v>
          </cell>
          <cell r="J272" t="str">
            <v>MF 1-95 GAL CART</v>
          </cell>
          <cell r="K272">
            <v>53.19</v>
          </cell>
          <cell r="L272">
            <v>53.19</v>
          </cell>
        </row>
        <row r="273">
          <cell r="A273" t="str">
            <v>MURREYSMULTI-FAMILY95MW1</v>
          </cell>
          <cell r="B273" t="str">
            <v>MONTHLY ARREARS</v>
          </cell>
          <cell r="C273" t="str">
            <v>2111</v>
          </cell>
          <cell r="D273" t="str">
            <v>MULTI-FAMILY</v>
          </cell>
          <cell r="E273" t="b">
            <v>0</v>
          </cell>
          <cell r="F273" t="b">
            <v>0</v>
          </cell>
          <cell r="G273" t="str">
            <v>MURREYS</v>
          </cell>
          <cell r="H273">
            <v>3531</v>
          </cell>
          <cell r="I273" t="str">
            <v>95MW1</v>
          </cell>
          <cell r="J273" t="str">
            <v>MF 1-95 GAL CART</v>
          </cell>
          <cell r="K273">
            <v>53.19</v>
          </cell>
          <cell r="L273">
            <v>53.19</v>
          </cell>
        </row>
        <row r="274">
          <cell r="A274" t="str">
            <v>M-EDGEWOODMULTI-FAMILY95MW1N</v>
          </cell>
          <cell r="B274" t="str">
            <v>MONTHLY ARREARS</v>
          </cell>
          <cell r="C274" t="str">
            <v>2111</v>
          </cell>
          <cell r="D274" t="str">
            <v>MULTI-FAMILY</v>
          </cell>
          <cell r="E274" t="b">
            <v>0</v>
          </cell>
          <cell r="F274" t="b">
            <v>0</v>
          </cell>
          <cell r="G274" t="str">
            <v>M-EDGEWOOD</v>
          </cell>
          <cell r="H274">
            <v>3530</v>
          </cell>
          <cell r="I274" t="str">
            <v>95MW1N</v>
          </cell>
          <cell r="J274" t="str">
            <v>MF 1-95 GAL CART NONREC</v>
          </cell>
          <cell r="K274">
            <v>53.94</v>
          </cell>
          <cell r="L274">
            <v>53.94</v>
          </cell>
        </row>
        <row r="275">
          <cell r="A275" t="str">
            <v>M-FIFEMULTI-FAMILY95MW1N</v>
          </cell>
          <cell r="B275" t="str">
            <v>MONTHLY ARREARS</v>
          </cell>
          <cell r="C275" t="str">
            <v>2111</v>
          </cell>
          <cell r="D275" t="str">
            <v>MULTI-FAMILY</v>
          </cell>
          <cell r="E275" t="b">
            <v>0</v>
          </cell>
          <cell r="F275" t="b">
            <v>0</v>
          </cell>
          <cell r="G275" t="str">
            <v>M-FIFE</v>
          </cell>
          <cell r="H275">
            <v>3530</v>
          </cell>
          <cell r="I275" t="str">
            <v>95MW1N</v>
          </cell>
          <cell r="J275" t="str">
            <v>MF 1-95 GAL CART NONREC</v>
          </cell>
          <cell r="K275">
            <v>53.94</v>
          </cell>
          <cell r="L275">
            <v>53.94</v>
          </cell>
        </row>
        <row r="276">
          <cell r="A276" t="str">
            <v>MURREYSMULTI-FAMILY95MW1N</v>
          </cell>
          <cell r="B276" t="str">
            <v>MONTHLY ARREARS</v>
          </cell>
          <cell r="C276" t="str">
            <v>2111</v>
          </cell>
          <cell r="D276" t="str">
            <v>MULTI-FAMILY</v>
          </cell>
          <cell r="E276" t="b">
            <v>0</v>
          </cell>
          <cell r="F276" t="b">
            <v>0</v>
          </cell>
          <cell r="G276" t="str">
            <v>MURREYS</v>
          </cell>
          <cell r="H276">
            <v>3530</v>
          </cell>
          <cell r="I276" t="str">
            <v>95MW1N</v>
          </cell>
          <cell r="J276" t="str">
            <v>MF 1-95 GAL CART NONREC</v>
          </cell>
          <cell r="K276">
            <v>53.94</v>
          </cell>
          <cell r="L276">
            <v>53.94</v>
          </cell>
        </row>
        <row r="277">
          <cell r="A277" t="str">
            <v>M-EDGEWOODRESIDENTIAL95RM1</v>
          </cell>
          <cell r="B277" t="str">
            <v>BI-MONTHLY SPLIT ODD</v>
          </cell>
          <cell r="C277" t="str">
            <v>2111</v>
          </cell>
          <cell r="D277" t="str">
            <v>RESIDENTIAL</v>
          </cell>
          <cell r="E277" t="b">
            <v>0</v>
          </cell>
          <cell r="F277" t="b">
            <v>0</v>
          </cell>
          <cell r="G277" t="str">
            <v>M-EDGEWOOD</v>
          </cell>
          <cell r="H277">
            <v>3551</v>
          </cell>
          <cell r="I277" t="str">
            <v>95RM1</v>
          </cell>
          <cell r="J277" t="str">
            <v>1-95 GAL CART MONTHLY</v>
          </cell>
          <cell r="K277">
            <v>52.88</v>
          </cell>
          <cell r="L277">
            <v>26.44</v>
          </cell>
        </row>
        <row r="278">
          <cell r="A278" t="str">
            <v>M-FIFERESIDENTIAL95RM1</v>
          </cell>
          <cell r="B278" t="str">
            <v>BI-MONTHLY SPLIT ODD</v>
          </cell>
          <cell r="C278" t="str">
            <v>2111</v>
          </cell>
          <cell r="D278" t="str">
            <v>RESIDENTIAL</v>
          </cell>
          <cell r="E278" t="b">
            <v>0</v>
          </cell>
          <cell r="F278" t="b">
            <v>0</v>
          </cell>
          <cell r="G278" t="str">
            <v>M-FIFE</v>
          </cell>
          <cell r="H278">
            <v>3551</v>
          </cell>
          <cell r="I278" t="str">
            <v>95RM1</v>
          </cell>
          <cell r="J278" t="str">
            <v>1-95 GAL CART MONTHLY</v>
          </cell>
          <cell r="K278">
            <v>52.88</v>
          </cell>
          <cell r="L278">
            <v>26.44</v>
          </cell>
        </row>
        <row r="279">
          <cell r="A279" t="str">
            <v>MURREYSRESIDENTIAL95RM1</v>
          </cell>
          <cell r="B279" t="str">
            <v>BI-MONTHLY SPLIT ODD</v>
          </cell>
          <cell r="C279" t="str">
            <v>2111</v>
          </cell>
          <cell r="D279" t="str">
            <v>RESIDENTIAL</v>
          </cell>
          <cell r="E279" t="b">
            <v>0</v>
          </cell>
          <cell r="F279" t="b">
            <v>0</v>
          </cell>
          <cell r="G279" t="str">
            <v>MURREYS</v>
          </cell>
          <cell r="H279">
            <v>3551</v>
          </cell>
          <cell r="I279" t="str">
            <v>95RM1</v>
          </cell>
          <cell r="J279" t="str">
            <v>1-95 GAL CART MONTHLY</v>
          </cell>
          <cell r="K279">
            <v>52.88</v>
          </cell>
          <cell r="L279">
            <v>26.44</v>
          </cell>
        </row>
        <row r="280">
          <cell r="A280" t="str">
            <v>BONNEY LAKERESIDENTIAL95RW1N</v>
          </cell>
          <cell r="B280" t="str">
            <v>BI-MONTHLY ADVANCED ODD</v>
          </cell>
          <cell r="C280" t="str">
            <v>2111</v>
          </cell>
          <cell r="D280" t="str">
            <v>RESIDENTIAL</v>
          </cell>
          <cell r="E280" t="b">
            <v>0</v>
          </cell>
          <cell r="F280" t="b">
            <v>0</v>
          </cell>
          <cell r="G280" t="str">
            <v>BONNEY LAKE</v>
          </cell>
          <cell r="H280">
            <v>3479</v>
          </cell>
          <cell r="I280" t="str">
            <v>95RW1N</v>
          </cell>
          <cell r="J280" t="str">
            <v>1-95 GAL CART WKLY NONREC</v>
          </cell>
          <cell r="K280">
            <v>124.5</v>
          </cell>
          <cell r="L280">
            <v>62.25</v>
          </cell>
        </row>
        <row r="281">
          <cell r="A281" t="str">
            <v>BUCKLEYRESIDENTIAL95RW1N</v>
          </cell>
          <cell r="B281" t="str">
            <v>BI-MONTHLY ADVANCED ODD</v>
          </cell>
          <cell r="C281" t="str">
            <v>2111</v>
          </cell>
          <cell r="D281" t="str">
            <v>RESIDENTIAL</v>
          </cell>
          <cell r="E281" t="b">
            <v>0</v>
          </cell>
          <cell r="F281" t="b">
            <v>0</v>
          </cell>
          <cell r="G281" t="str">
            <v>BUCKLEY</v>
          </cell>
          <cell r="H281">
            <v>3479</v>
          </cell>
          <cell r="I281" t="str">
            <v>95RW1N</v>
          </cell>
          <cell r="J281" t="str">
            <v>1-95 GAL CART WKLY NONREC</v>
          </cell>
          <cell r="K281">
            <v>116</v>
          </cell>
          <cell r="L281">
            <v>58</v>
          </cell>
        </row>
        <row r="282">
          <cell r="A282" t="str">
            <v>CARBONADORESIDENTIAL95RW1N</v>
          </cell>
          <cell r="B282" t="str">
            <v>BI-MONTHLY ADVANCED ODD</v>
          </cell>
          <cell r="C282" t="str">
            <v>2111</v>
          </cell>
          <cell r="D282" t="str">
            <v>RESIDENTIAL</v>
          </cell>
          <cell r="E282" t="b">
            <v>0</v>
          </cell>
          <cell r="F282" t="b">
            <v>0</v>
          </cell>
          <cell r="G282" t="str">
            <v>CARBONADO</v>
          </cell>
          <cell r="H282">
            <v>3479</v>
          </cell>
          <cell r="I282" t="str">
            <v>95RW1N</v>
          </cell>
          <cell r="J282" t="str">
            <v>1-95 GAL CART WKLY NONREC</v>
          </cell>
          <cell r="K282">
            <v>58.14</v>
          </cell>
          <cell r="L282">
            <v>29.07</v>
          </cell>
        </row>
        <row r="283">
          <cell r="A283" t="str">
            <v>M-EDGEWOODRESIDENTIAL95RW1N</v>
          </cell>
          <cell r="B283" t="str">
            <v>BI-MONTHLY ADVANCED ODD</v>
          </cell>
          <cell r="C283" t="str">
            <v>2111</v>
          </cell>
          <cell r="D283" t="str">
            <v>RESIDENTIAL</v>
          </cell>
          <cell r="E283" t="b">
            <v>0</v>
          </cell>
          <cell r="F283" t="b">
            <v>0</v>
          </cell>
          <cell r="G283" t="str">
            <v>M-EDGEWOOD</v>
          </cell>
          <cell r="H283">
            <v>3479</v>
          </cell>
          <cell r="I283" t="str">
            <v>95RW1N</v>
          </cell>
          <cell r="J283" t="str">
            <v>1-95 GAL CART WKLY NONREC</v>
          </cell>
          <cell r="K283">
            <v>93.34</v>
          </cell>
          <cell r="L283">
            <v>46.67</v>
          </cell>
        </row>
        <row r="284">
          <cell r="A284" t="str">
            <v>M-FIFERESIDENTIAL95RW1N</v>
          </cell>
          <cell r="B284" t="str">
            <v>BI-MONTHLY ADVANCED ODD</v>
          </cell>
          <cell r="C284" t="str">
            <v>2111</v>
          </cell>
          <cell r="D284" t="str">
            <v>RESIDENTIAL</v>
          </cell>
          <cell r="E284" t="b">
            <v>0</v>
          </cell>
          <cell r="F284" t="b">
            <v>0</v>
          </cell>
          <cell r="G284" t="str">
            <v>M-FIFE</v>
          </cell>
          <cell r="H284">
            <v>3479</v>
          </cell>
          <cell r="I284" t="str">
            <v>95RW1N</v>
          </cell>
          <cell r="J284" t="str">
            <v>1-95 GAL CART WKLY NONREC</v>
          </cell>
          <cell r="K284">
            <v>93.34</v>
          </cell>
          <cell r="L284">
            <v>46.67</v>
          </cell>
        </row>
        <row r="285">
          <cell r="A285" t="str">
            <v>MILTONRESIDENTIAL95RW1N</v>
          </cell>
          <cell r="B285" t="str">
            <v>BI-MONTHLY ADVANCED ODD</v>
          </cell>
          <cell r="C285" t="str">
            <v>2111</v>
          </cell>
          <cell r="D285" t="str">
            <v>RESIDENTIAL</v>
          </cell>
          <cell r="E285" t="b">
            <v>0</v>
          </cell>
          <cell r="F285" t="b">
            <v>0</v>
          </cell>
          <cell r="G285" t="str">
            <v>MILTON</v>
          </cell>
          <cell r="H285">
            <v>3479</v>
          </cell>
          <cell r="I285" t="str">
            <v>95RW1N</v>
          </cell>
          <cell r="J285" t="str">
            <v>1-95 GAL CART WKLY NONREC</v>
          </cell>
          <cell r="K285">
            <v>122.7</v>
          </cell>
          <cell r="L285">
            <v>61.35</v>
          </cell>
        </row>
        <row r="286">
          <cell r="A286" t="str">
            <v>MURREYSRESIDENTIAL95RW1N</v>
          </cell>
          <cell r="B286" t="str">
            <v>BI-MONTHLY ADVANCED ODD</v>
          </cell>
          <cell r="C286" t="str">
            <v>2111</v>
          </cell>
          <cell r="D286" t="str">
            <v>RESIDENTIAL</v>
          </cell>
          <cell r="E286" t="b">
            <v>0</v>
          </cell>
          <cell r="F286" t="b">
            <v>0</v>
          </cell>
          <cell r="G286" t="str">
            <v>MURREYS</v>
          </cell>
          <cell r="H286">
            <v>3479</v>
          </cell>
          <cell r="I286" t="str">
            <v>95RW1N</v>
          </cell>
          <cell r="J286" t="str">
            <v>1-95 GAL CART WKLY NONREC</v>
          </cell>
          <cell r="K286">
            <v>93.34</v>
          </cell>
          <cell r="L286">
            <v>46.67</v>
          </cell>
        </row>
        <row r="287">
          <cell r="A287" t="str">
            <v>ORTINGRESIDENTIAL95RW1N</v>
          </cell>
          <cell r="B287" t="str">
            <v>BI-MONTHLY ADVANCED ODD</v>
          </cell>
          <cell r="C287" t="str">
            <v>2111</v>
          </cell>
          <cell r="D287" t="str">
            <v>RESIDENTIAL</v>
          </cell>
          <cell r="E287" t="b">
            <v>0</v>
          </cell>
          <cell r="F287" t="b">
            <v>0</v>
          </cell>
          <cell r="G287" t="str">
            <v>ORTING</v>
          </cell>
          <cell r="H287">
            <v>3479</v>
          </cell>
          <cell r="I287" t="str">
            <v>95RW1N</v>
          </cell>
          <cell r="J287" t="str">
            <v>1-95 GAL CART WKLY NONREC</v>
          </cell>
          <cell r="K287">
            <v>109.36</v>
          </cell>
          <cell r="L287">
            <v>54.68</v>
          </cell>
        </row>
        <row r="288">
          <cell r="A288" t="str">
            <v>PUYALLUPRESIDENTIAL95RW1N</v>
          </cell>
          <cell r="B288" t="str">
            <v>BI-MONTHLY ADVANCED ODD</v>
          </cell>
          <cell r="C288" t="str">
            <v>2111</v>
          </cell>
          <cell r="D288" t="str">
            <v>RESIDENTIAL</v>
          </cell>
          <cell r="E288" t="b">
            <v>0</v>
          </cell>
          <cell r="F288" t="b">
            <v>0</v>
          </cell>
          <cell r="G288" t="str">
            <v>PUYALLUP</v>
          </cell>
          <cell r="H288">
            <v>3479</v>
          </cell>
          <cell r="I288" t="str">
            <v>95RW1N</v>
          </cell>
          <cell r="J288" t="str">
            <v>1-95 GAL CART WKLY NONREC</v>
          </cell>
          <cell r="K288">
            <v>149.78</v>
          </cell>
          <cell r="L288">
            <v>74.89</v>
          </cell>
        </row>
        <row r="289">
          <cell r="A289" t="str">
            <v>RUSTONRESIDENTIAL95RW1N</v>
          </cell>
          <cell r="B289" t="str">
            <v>BI-MONTHLY ADVANCED ODD</v>
          </cell>
          <cell r="C289" t="str">
            <v>2111</v>
          </cell>
          <cell r="D289" t="str">
            <v>RESIDENTIAL</v>
          </cell>
          <cell r="E289" t="b">
            <v>0</v>
          </cell>
          <cell r="F289" t="b">
            <v>0</v>
          </cell>
          <cell r="G289" t="str">
            <v>RUSTON</v>
          </cell>
          <cell r="H289">
            <v>3479</v>
          </cell>
          <cell r="I289" t="str">
            <v>95RW1N</v>
          </cell>
          <cell r="J289" t="str">
            <v>1-95 GAL CART WKLY NONREC</v>
          </cell>
          <cell r="K289">
            <v>120.4</v>
          </cell>
          <cell r="L289">
            <v>60.2</v>
          </cell>
        </row>
        <row r="290">
          <cell r="A290" t="str">
            <v>SOUTH PRAIRIERESIDENTIAL95RW1N</v>
          </cell>
          <cell r="B290" t="str">
            <v>BI-MONTHLY ADVANCED ODD</v>
          </cell>
          <cell r="C290" t="str">
            <v>2111</v>
          </cell>
          <cell r="D290" t="str">
            <v>RESIDENTIAL</v>
          </cell>
          <cell r="E290" t="b">
            <v>0</v>
          </cell>
          <cell r="F290" t="b">
            <v>0</v>
          </cell>
          <cell r="G290" t="str">
            <v>SOUTH PRAIRIE</v>
          </cell>
          <cell r="H290">
            <v>3479</v>
          </cell>
          <cell r="I290" t="str">
            <v>95RW1N</v>
          </cell>
          <cell r="J290" t="str">
            <v>1-95 GAL CART WKLY NONREC</v>
          </cell>
          <cell r="K290">
            <v>105.8</v>
          </cell>
          <cell r="L290">
            <v>52.9</v>
          </cell>
        </row>
        <row r="291">
          <cell r="A291" t="str">
            <v>SUMNERRESIDENTIAL95RW1N</v>
          </cell>
          <cell r="B291" t="str">
            <v>BI-MONTHLY ADVANCED ODD</v>
          </cell>
          <cell r="C291" t="str">
            <v>2111</v>
          </cell>
          <cell r="D291" t="str">
            <v>RESIDENTIAL</v>
          </cell>
          <cell r="E291" t="b">
            <v>0</v>
          </cell>
          <cell r="F291" t="b">
            <v>0</v>
          </cell>
          <cell r="G291" t="str">
            <v>SUMNER</v>
          </cell>
          <cell r="H291">
            <v>3479</v>
          </cell>
          <cell r="I291" t="str">
            <v>95RW1N</v>
          </cell>
          <cell r="J291" t="str">
            <v>1-95 GAL CART WKLY NONREC</v>
          </cell>
          <cell r="K291">
            <v>113.7</v>
          </cell>
          <cell r="L291">
            <v>56.85</v>
          </cell>
        </row>
        <row r="292">
          <cell r="A292" t="str">
            <v>BONNEY LAKERESIDENTIAL95RW1R</v>
          </cell>
          <cell r="B292" t="str">
            <v>BI-MONTHLY ADVANCED ODD</v>
          </cell>
          <cell r="C292" t="str">
            <v>2111</v>
          </cell>
          <cell r="D292" t="str">
            <v>RESIDENTIAL</v>
          </cell>
          <cell r="E292" t="b">
            <v>0</v>
          </cell>
          <cell r="F292" t="b">
            <v>0</v>
          </cell>
          <cell r="G292" t="str">
            <v>BONNEY LAKE</v>
          </cell>
          <cell r="H292">
            <v>3480</v>
          </cell>
          <cell r="I292" t="str">
            <v>95RW1R</v>
          </cell>
          <cell r="J292" t="str">
            <v>1-95 GAL CART WKLY W/REC</v>
          </cell>
          <cell r="K292">
            <v>124.5</v>
          </cell>
          <cell r="L292">
            <v>62.25</v>
          </cell>
        </row>
        <row r="293">
          <cell r="A293" t="str">
            <v>BUCKLEYRESIDENTIAL95RW1R</v>
          </cell>
          <cell r="B293" t="str">
            <v>BI-MONTHLY ADVANCED ODD</v>
          </cell>
          <cell r="C293" t="str">
            <v>2111</v>
          </cell>
          <cell r="D293" t="str">
            <v>RESIDENTIAL</v>
          </cell>
          <cell r="E293" t="b">
            <v>0</v>
          </cell>
          <cell r="F293" t="b">
            <v>0</v>
          </cell>
          <cell r="G293" t="str">
            <v>BUCKLEY</v>
          </cell>
          <cell r="H293">
            <v>3480</v>
          </cell>
          <cell r="I293" t="str">
            <v>95RW1R</v>
          </cell>
          <cell r="J293" t="str">
            <v>1-95 GAL CART WKLY W/REC</v>
          </cell>
          <cell r="K293">
            <v>116</v>
          </cell>
          <cell r="L293">
            <v>58</v>
          </cell>
        </row>
        <row r="294">
          <cell r="A294" t="str">
            <v>CARBONADORESIDENTIAL95RW1R</v>
          </cell>
          <cell r="B294" t="str">
            <v>BI-MONTHLY ADVANCED ODD</v>
          </cell>
          <cell r="C294" t="str">
            <v>2111</v>
          </cell>
          <cell r="D294" t="str">
            <v>RESIDENTIAL</v>
          </cell>
          <cell r="E294" t="b">
            <v>0</v>
          </cell>
          <cell r="F294" t="b">
            <v>0</v>
          </cell>
          <cell r="G294" t="str">
            <v>CARBONADO</v>
          </cell>
          <cell r="H294">
            <v>3480</v>
          </cell>
          <cell r="I294" t="str">
            <v>95RW1R</v>
          </cell>
          <cell r="J294" t="str">
            <v>1-95 GAL CART WKLY W/REC</v>
          </cell>
          <cell r="K294">
            <v>58.14</v>
          </cell>
          <cell r="L294">
            <v>29.07</v>
          </cell>
        </row>
        <row r="295">
          <cell r="A295" t="str">
            <v>M-EDGEWOODRESIDENTIAL95RW1R</v>
          </cell>
          <cell r="B295" t="str">
            <v>BI-MONTHLY ADVANCED ODD</v>
          </cell>
          <cell r="C295" t="str">
            <v>2111</v>
          </cell>
          <cell r="D295" t="str">
            <v>RESIDENTIAL</v>
          </cell>
          <cell r="E295" t="b">
            <v>0</v>
          </cell>
          <cell r="F295" t="b">
            <v>0</v>
          </cell>
          <cell r="G295" t="str">
            <v>M-EDGEWOOD</v>
          </cell>
          <cell r="H295">
            <v>3480</v>
          </cell>
          <cell r="I295" t="str">
            <v>95RW1R</v>
          </cell>
          <cell r="J295" t="str">
            <v>1-95 GAL CART WKLY W/REC</v>
          </cell>
          <cell r="K295">
            <v>87.34</v>
          </cell>
          <cell r="L295">
            <v>43.67</v>
          </cell>
        </row>
        <row r="296">
          <cell r="A296" t="str">
            <v>M-FIFERESIDENTIAL95RW1R</v>
          </cell>
          <cell r="B296" t="str">
            <v>BI-MONTHLY ADVANCED ODD</v>
          </cell>
          <cell r="C296" t="str">
            <v>2111</v>
          </cell>
          <cell r="D296" t="str">
            <v>RESIDENTIAL</v>
          </cell>
          <cell r="E296" t="b">
            <v>0</v>
          </cell>
          <cell r="F296" t="b">
            <v>0</v>
          </cell>
          <cell r="G296" t="str">
            <v>M-FIFE</v>
          </cell>
          <cell r="H296">
            <v>3480</v>
          </cell>
          <cell r="I296" t="str">
            <v>95RW1R</v>
          </cell>
          <cell r="J296" t="str">
            <v>1-95 GAL CART WKLY W/REC</v>
          </cell>
          <cell r="K296">
            <v>87.34</v>
          </cell>
          <cell r="L296">
            <v>43.67</v>
          </cell>
        </row>
        <row r="297">
          <cell r="A297" t="str">
            <v>MILTONRESIDENTIAL95RW1R</v>
          </cell>
          <cell r="B297" t="str">
            <v>BI-MONTHLY ADVANCED ODD</v>
          </cell>
          <cell r="C297" t="str">
            <v>2111</v>
          </cell>
          <cell r="D297" t="str">
            <v>RESIDENTIAL</v>
          </cell>
          <cell r="E297" t="b">
            <v>0</v>
          </cell>
          <cell r="F297" t="b">
            <v>0</v>
          </cell>
          <cell r="G297" t="str">
            <v>MILTON</v>
          </cell>
          <cell r="H297">
            <v>3480</v>
          </cell>
          <cell r="I297" t="str">
            <v>95RW1R</v>
          </cell>
          <cell r="J297" t="str">
            <v>1-95 GAL CART WKLY W/REC</v>
          </cell>
          <cell r="K297">
            <v>122.7</v>
          </cell>
          <cell r="L297">
            <v>61.35</v>
          </cell>
        </row>
        <row r="298">
          <cell r="A298" t="str">
            <v>MURREYSRESIDENTIAL95RW1R</v>
          </cell>
          <cell r="B298" t="str">
            <v>BI-MONTHLY ADVANCED ODD</v>
          </cell>
          <cell r="C298" t="str">
            <v>2111</v>
          </cell>
          <cell r="D298" t="str">
            <v>RESIDENTIAL</v>
          </cell>
          <cell r="E298" t="b">
            <v>0</v>
          </cell>
          <cell r="F298" t="b">
            <v>0</v>
          </cell>
          <cell r="G298" t="str">
            <v>MURREYS</v>
          </cell>
          <cell r="H298">
            <v>3480</v>
          </cell>
          <cell r="I298" t="str">
            <v>95RW1R</v>
          </cell>
          <cell r="J298" t="str">
            <v>1-95 GAL CART WKLY W/REC</v>
          </cell>
          <cell r="K298">
            <v>87.34</v>
          </cell>
          <cell r="L298">
            <v>43.67</v>
          </cell>
        </row>
        <row r="299">
          <cell r="A299" t="str">
            <v>ORTINGRESIDENTIAL95RW1R</v>
          </cell>
          <cell r="B299" t="str">
            <v>BI-MONTHLY ADVANCED ODD</v>
          </cell>
          <cell r="C299" t="str">
            <v>2111</v>
          </cell>
          <cell r="D299" t="str">
            <v>RESIDENTIAL</v>
          </cell>
          <cell r="E299" t="b">
            <v>0</v>
          </cell>
          <cell r="F299" t="b">
            <v>0</v>
          </cell>
          <cell r="G299" t="str">
            <v>ORTING</v>
          </cell>
          <cell r="H299">
            <v>3480</v>
          </cell>
          <cell r="I299" t="str">
            <v>95RW1R</v>
          </cell>
          <cell r="J299" t="str">
            <v>1-95 GAL CART WKLY W/REC</v>
          </cell>
          <cell r="K299">
            <v>109.36</v>
          </cell>
          <cell r="L299">
            <v>54.68</v>
          </cell>
        </row>
        <row r="300">
          <cell r="A300" t="str">
            <v>PUYALLUPRESIDENTIAL95RW1R</v>
          </cell>
          <cell r="B300" t="str">
            <v>BI-MONTHLY ADVANCED ODD</v>
          </cell>
          <cell r="C300" t="str">
            <v>2111</v>
          </cell>
          <cell r="D300" t="str">
            <v>RESIDENTIAL</v>
          </cell>
          <cell r="E300" t="b">
            <v>0</v>
          </cell>
          <cell r="F300" t="b">
            <v>0</v>
          </cell>
          <cell r="G300" t="str">
            <v>PUYALLUP</v>
          </cell>
          <cell r="H300">
            <v>3480</v>
          </cell>
          <cell r="I300" t="str">
            <v>95RW1R</v>
          </cell>
          <cell r="J300" t="str">
            <v>1-95 GAL CART WKLY W/REC</v>
          </cell>
          <cell r="K300">
            <v>141.34</v>
          </cell>
          <cell r="L300">
            <v>70.67</v>
          </cell>
        </row>
        <row r="301">
          <cell r="A301" t="str">
            <v>RUSTONRESIDENTIAL95RW1R</v>
          </cell>
          <cell r="B301" t="str">
            <v>BI-MONTHLY ADVANCED ODD</v>
          </cell>
          <cell r="C301" t="str">
            <v>2111</v>
          </cell>
          <cell r="D301" t="str">
            <v>RESIDENTIAL</v>
          </cell>
          <cell r="E301" t="b">
            <v>0</v>
          </cell>
          <cell r="F301" t="b">
            <v>0</v>
          </cell>
          <cell r="G301" t="str">
            <v>RUSTON</v>
          </cell>
          <cell r="H301">
            <v>3480</v>
          </cell>
          <cell r="I301" t="str">
            <v>95RW1R</v>
          </cell>
          <cell r="J301" t="str">
            <v>1-95 GAL CART WKLY W/REC</v>
          </cell>
          <cell r="K301">
            <v>120.4</v>
          </cell>
          <cell r="L301">
            <v>60.2</v>
          </cell>
        </row>
        <row r="302">
          <cell r="A302" t="str">
            <v>SOUTH PRAIRIERESIDENTIAL95RW1R</v>
          </cell>
          <cell r="B302" t="str">
            <v>BI-MONTHLY ADVANCED ODD</v>
          </cell>
          <cell r="C302" t="str">
            <v>2111</v>
          </cell>
          <cell r="D302" t="str">
            <v>RESIDENTIAL</v>
          </cell>
          <cell r="E302" t="b">
            <v>0</v>
          </cell>
          <cell r="F302" t="b">
            <v>0</v>
          </cell>
          <cell r="G302" t="str">
            <v>SOUTH PRAIRIE</v>
          </cell>
          <cell r="H302">
            <v>3480</v>
          </cell>
          <cell r="I302" t="str">
            <v>95RW1R</v>
          </cell>
          <cell r="J302" t="str">
            <v>1-95 GAL CART WKLY W/REC</v>
          </cell>
          <cell r="K302">
            <v>105.8</v>
          </cell>
          <cell r="L302">
            <v>52.9</v>
          </cell>
        </row>
        <row r="303">
          <cell r="A303" t="str">
            <v>SUMNERRESIDENTIAL95RW1R</v>
          </cell>
          <cell r="B303" t="str">
            <v>BI-MONTHLY ADVANCED ODD</v>
          </cell>
          <cell r="C303" t="str">
            <v>2111</v>
          </cell>
          <cell r="D303" t="str">
            <v>RESIDENTIAL</v>
          </cell>
          <cell r="E303" t="b">
            <v>0</v>
          </cell>
          <cell r="F303" t="b">
            <v>0</v>
          </cell>
          <cell r="G303" t="str">
            <v>SUMNER</v>
          </cell>
          <cell r="H303">
            <v>3480</v>
          </cell>
          <cell r="I303" t="str">
            <v>95RW1R</v>
          </cell>
          <cell r="J303" t="str">
            <v>1-95 GAL CART WKLY W/REC</v>
          </cell>
          <cell r="K303">
            <v>113.7</v>
          </cell>
          <cell r="L303">
            <v>56.85</v>
          </cell>
        </row>
        <row r="304">
          <cell r="A304" t="str">
            <v>DM-PIERROLL OFFADMINRO</v>
          </cell>
          <cell r="B304" t="str">
            <v>MONTHLY ARREARS</v>
          </cell>
          <cell r="C304" t="str">
            <v>2111</v>
          </cell>
          <cell r="D304" t="str">
            <v>ROLL OFF</v>
          </cell>
          <cell r="E304" t="b">
            <v>0</v>
          </cell>
          <cell r="F304" t="b">
            <v>0</v>
          </cell>
          <cell r="G304" t="str">
            <v>DM-PIER</v>
          </cell>
          <cell r="H304">
            <v>14058</v>
          </cell>
          <cell r="I304" t="str">
            <v>ADMINRO</v>
          </cell>
          <cell r="J304" t="str">
            <v>ADMINISTRATIVE FEE - RO</v>
          </cell>
          <cell r="K304">
            <v>30</v>
          </cell>
          <cell r="L304">
            <v>30</v>
          </cell>
        </row>
        <row r="305">
          <cell r="A305" t="str">
            <v>DMRROLL OFFADMINRO</v>
          </cell>
          <cell r="B305" t="str">
            <v>MONTHLY ARREARS</v>
          </cell>
          <cell r="C305" t="str">
            <v>2111</v>
          </cell>
          <cell r="D305" t="str">
            <v>ROLL OFF</v>
          </cell>
          <cell r="E305" t="b">
            <v>0</v>
          </cell>
          <cell r="F305" t="b">
            <v>0</v>
          </cell>
          <cell r="G305" t="str">
            <v>DMR</v>
          </cell>
          <cell r="H305">
            <v>14058</v>
          </cell>
          <cell r="I305" t="str">
            <v>ADMINRO</v>
          </cell>
          <cell r="J305" t="str">
            <v>ADMINISTRATIVE FEE - RO</v>
          </cell>
          <cell r="K305">
            <v>35</v>
          </cell>
          <cell r="L305">
            <v>35</v>
          </cell>
        </row>
        <row r="306">
          <cell r="A306" t="str">
            <v>DMR-BROLL OFFADMINRO</v>
          </cell>
          <cell r="B306" t="str">
            <v>MONTHLY ARREARS</v>
          </cell>
          <cell r="C306" t="str">
            <v>2111</v>
          </cell>
          <cell r="D306" t="str">
            <v>ROLL OFF</v>
          </cell>
          <cell r="E306" t="b">
            <v>0</v>
          </cell>
          <cell r="F306" t="b">
            <v>0</v>
          </cell>
          <cell r="G306" t="str">
            <v>DMR-B</v>
          </cell>
          <cell r="H306">
            <v>14058</v>
          </cell>
          <cell r="I306" t="str">
            <v>ADMINRO</v>
          </cell>
          <cell r="J306" t="str">
            <v>ADMINISTRATIVE FEE - RO</v>
          </cell>
          <cell r="K306">
            <v>25</v>
          </cell>
          <cell r="L306">
            <v>25</v>
          </cell>
        </row>
        <row r="307">
          <cell r="A307" t="str">
            <v>DMR-BLROLL OFFADMINRO</v>
          </cell>
          <cell r="B307" t="str">
            <v>MONTHLY ARREARS</v>
          </cell>
          <cell r="C307" t="str">
            <v>2111</v>
          </cell>
          <cell r="D307" t="str">
            <v>ROLL OFF</v>
          </cell>
          <cell r="E307" t="b">
            <v>0</v>
          </cell>
          <cell r="F307" t="b">
            <v>0</v>
          </cell>
          <cell r="G307" t="str">
            <v>DMR-BL</v>
          </cell>
          <cell r="H307">
            <v>14058</v>
          </cell>
          <cell r="I307" t="str">
            <v>ADMINRO</v>
          </cell>
          <cell r="J307" t="str">
            <v>ADMINISTRATIVE FEE - RO</v>
          </cell>
          <cell r="K307">
            <v>25</v>
          </cell>
          <cell r="L307">
            <v>25</v>
          </cell>
        </row>
        <row r="308">
          <cell r="A308" t="str">
            <v>DMR-CPROLL OFFADMINRO</v>
          </cell>
          <cell r="B308" t="str">
            <v>MONTHLY ARREARS</v>
          </cell>
          <cell r="C308" t="str">
            <v>2111</v>
          </cell>
          <cell r="D308" t="str">
            <v>ROLL OFF</v>
          </cell>
          <cell r="E308" t="b">
            <v>0</v>
          </cell>
          <cell r="F308" t="b">
            <v>0</v>
          </cell>
          <cell r="G308" t="str">
            <v>DMR-CP</v>
          </cell>
          <cell r="H308">
            <v>14058</v>
          </cell>
          <cell r="I308" t="str">
            <v>ADMINRO</v>
          </cell>
          <cell r="J308" t="str">
            <v>ADMINISTRATIVE FEE - RO</v>
          </cell>
          <cell r="K308">
            <v>10.37</v>
          </cell>
          <cell r="L308">
            <v>10.37</v>
          </cell>
        </row>
        <row r="309">
          <cell r="A309" t="str">
            <v>DMR-MILROLL OFFADMINRO</v>
          </cell>
          <cell r="B309" t="str">
            <v>MONTHLY ARREARS</v>
          </cell>
          <cell r="C309" t="str">
            <v>2111</v>
          </cell>
          <cell r="D309" t="str">
            <v>ROLL OFF</v>
          </cell>
          <cell r="E309" t="b">
            <v>0</v>
          </cell>
          <cell r="F309" t="b">
            <v>0</v>
          </cell>
          <cell r="G309" t="str">
            <v>DMR-MIL</v>
          </cell>
          <cell r="H309">
            <v>14058</v>
          </cell>
          <cell r="I309" t="str">
            <v>ADMINRO</v>
          </cell>
          <cell r="J309" t="str">
            <v>ADMINISTRATIVE FEE - RO</v>
          </cell>
          <cell r="K309">
            <v>25</v>
          </cell>
          <cell r="L309">
            <v>25</v>
          </cell>
        </row>
        <row r="310">
          <cell r="A310" t="str">
            <v>PUYALLUPROLL OFFADMINRO</v>
          </cell>
          <cell r="B310" t="str">
            <v>MONTHLY ARREARS</v>
          </cell>
          <cell r="C310" t="str">
            <v>2111</v>
          </cell>
          <cell r="D310" t="str">
            <v>ROLL OFF</v>
          </cell>
          <cell r="E310" t="b">
            <v>0</v>
          </cell>
          <cell r="F310" t="b">
            <v>0</v>
          </cell>
          <cell r="G310" t="str">
            <v>PUYALLUP</v>
          </cell>
          <cell r="H310">
            <v>14058</v>
          </cell>
          <cell r="I310" t="str">
            <v>ADMINRO</v>
          </cell>
          <cell r="J310" t="str">
            <v>ADMINISTRATIVE FEE - RO</v>
          </cell>
          <cell r="K310">
            <v>10.37</v>
          </cell>
          <cell r="L310">
            <v>10.37</v>
          </cell>
        </row>
        <row r="311">
          <cell r="A311" t="str">
            <v>VASHONCOMMERCIALBULKMIN-COMM</v>
          </cell>
          <cell r="B311" t="str">
            <v>ONCALL</v>
          </cell>
          <cell r="C311" t="str">
            <v>2111</v>
          </cell>
          <cell r="D311" t="str">
            <v>COMMERCIAL</v>
          </cell>
          <cell r="E311" t="b">
            <v>1</v>
          </cell>
          <cell r="F311" t="b">
            <v>0</v>
          </cell>
          <cell r="G311" t="str">
            <v>VASHON</v>
          </cell>
          <cell r="H311">
            <v>3461</v>
          </cell>
          <cell r="I311" t="str">
            <v>BULKMIN-COMM</v>
          </cell>
          <cell r="J311" t="str">
            <v>BULKY MINIMUM CHARGE - COMM</v>
          </cell>
          <cell r="K311">
            <v>18.2</v>
          </cell>
          <cell r="L311">
            <v>18.2</v>
          </cell>
        </row>
        <row r="312">
          <cell r="A312" t="str">
            <v>BONNEY LAKECOMMERCIALBULKY-COM</v>
          </cell>
          <cell r="B312" t="str">
            <v>ONCALL</v>
          </cell>
          <cell r="C312" t="str">
            <v>2111</v>
          </cell>
          <cell r="D312" t="str">
            <v>COMMERCIAL</v>
          </cell>
          <cell r="E312" t="b">
            <v>1</v>
          </cell>
          <cell r="F312" t="b">
            <v>0</v>
          </cell>
          <cell r="G312" t="str">
            <v>BONNEY LAKE</v>
          </cell>
          <cell r="H312">
            <v>13076</v>
          </cell>
          <cell r="I312" t="str">
            <v>BULKY-COM</v>
          </cell>
          <cell r="J312" t="str">
            <v>BULKY ITEM</v>
          </cell>
          <cell r="K312">
            <v>26</v>
          </cell>
          <cell r="L312">
            <v>26</v>
          </cell>
        </row>
        <row r="313">
          <cell r="A313" t="str">
            <v>BUCKLEYCOMMERCIALBULKY-COM</v>
          </cell>
          <cell r="B313" t="str">
            <v>ONCALL</v>
          </cell>
          <cell r="C313" t="str">
            <v>2111</v>
          </cell>
          <cell r="D313" t="str">
            <v>COMMERCIAL</v>
          </cell>
          <cell r="E313" t="b">
            <v>1</v>
          </cell>
          <cell r="F313" t="b">
            <v>0</v>
          </cell>
          <cell r="G313" t="str">
            <v>BUCKLEY</v>
          </cell>
          <cell r="H313">
            <v>13076</v>
          </cell>
          <cell r="I313" t="str">
            <v>BULKY-COM</v>
          </cell>
          <cell r="J313" t="str">
            <v>BULKY ITEM</v>
          </cell>
          <cell r="K313">
            <v>28.33</v>
          </cell>
          <cell r="L313">
            <v>28.33</v>
          </cell>
        </row>
        <row r="314">
          <cell r="A314" t="str">
            <v>CARBONADOCOMMERCIALBULKY-COM</v>
          </cell>
          <cell r="B314" t="str">
            <v>ONCALL</v>
          </cell>
          <cell r="C314" t="str">
            <v>2111</v>
          </cell>
          <cell r="D314" t="str">
            <v>COMMERCIAL</v>
          </cell>
          <cell r="E314" t="b">
            <v>1</v>
          </cell>
          <cell r="F314" t="b">
            <v>0</v>
          </cell>
          <cell r="G314" t="str">
            <v>CARBONADO</v>
          </cell>
          <cell r="H314">
            <v>13076</v>
          </cell>
          <cell r="I314" t="str">
            <v>BULKY-COM</v>
          </cell>
          <cell r="J314" t="str">
            <v>BULKY ITEM</v>
          </cell>
          <cell r="K314">
            <v>29.72</v>
          </cell>
          <cell r="L314">
            <v>29.72</v>
          </cell>
        </row>
        <row r="315">
          <cell r="A315" t="str">
            <v>M-EDGEWOODCOMMERCIALBULKY-COM</v>
          </cell>
          <cell r="B315" t="str">
            <v>ONCALL</v>
          </cell>
          <cell r="C315" t="str">
            <v>2111</v>
          </cell>
          <cell r="D315" t="str">
            <v>COMMERCIAL</v>
          </cell>
          <cell r="E315" t="b">
            <v>1</v>
          </cell>
          <cell r="F315" t="b">
            <v>0</v>
          </cell>
          <cell r="G315" t="str">
            <v>M-EDGEWOOD</v>
          </cell>
          <cell r="H315">
            <v>13076</v>
          </cell>
          <cell r="I315" t="str">
            <v>BULKY-COM</v>
          </cell>
          <cell r="J315" t="str">
            <v>BULKY ITEM</v>
          </cell>
          <cell r="K315">
            <v>25.92</v>
          </cell>
          <cell r="L315">
            <v>25.92</v>
          </cell>
        </row>
        <row r="316">
          <cell r="A316" t="str">
            <v>M-FIFECOMMERCIALBULKY-COM</v>
          </cell>
          <cell r="B316" t="str">
            <v>ONCALL</v>
          </cell>
          <cell r="C316" t="str">
            <v>2111</v>
          </cell>
          <cell r="D316" t="str">
            <v>COMMERCIAL</v>
          </cell>
          <cell r="E316" t="b">
            <v>1</v>
          </cell>
          <cell r="F316" t="b">
            <v>0</v>
          </cell>
          <cell r="G316" t="str">
            <v>M-FIFE</v>
          </cell>
          <cell r="H316">
            <v>13076</v>
          </cell>
          <cell r="I316" t="str">
            <v>BULKY-COM</v>
          </cell>
          <cell r="J316" t="str">
            <v>BULKY ITEM</v>
          </cell>
          <cell r="K316">
            <v>25.92</v>
          </cell>
          <cell r="L316">
            <v>25.92</v>
          </cell>
        </row>
        <row r="317">
          <cell r="A317" t="str">
            <v>MILTONCOMMERCIALBULKY-COM</v>
          </cell>
          <cell r="B317" t="str">
            <v>ONCALL</v>
          </cell>
          <cell r="C317" t="str">
            <v>2111</v>
          </cell>
          <cell r="D317" t="str">
            <v>COMMERCIAL</v>
          </cell>
          <cell r="E317" t="b">
            <v>1</v>
          </cell>
          <cell r="F317" t="b">
            <v>0</v>
          </cell>
          <cell r="G317" t="str">
            <v>MILTON</v>
          </cell>
          <cell r="H317">
            <v>13076</v>
          </cell>
          <cell r="I317" t="str">
            <v>BULKY-COM</v>
          </cell>
          <cell r="J317" t="str">
            <v>BULKY ITEM</v>
          </cell>
          <cell r="K317">
            <v>26</v>
          </cell>
          <cell r="L317">
            <v>26</v>
          </cell>
        </row>
        <row r="318">
          <cell r="A318" t="str">
            <v>MURREYSCOMMERCIALBULKY-COM</v>
          </cell>
          <cell r="B318" t="str">
            <v>ONCALL</v>
          </cell>
          <cell r="C318" t="str">
            <v>2111</v>
          </cell>
          <cell r="D318" t="str">
            <v>COMMERCIAL</v>
          </cell>
          <cell r="E318" t="b">
            <v>1</v>
          </cell>
          <cell r="F318" t="b">
            <v>0</v>
          </cell>
          <cell r="G318" t="str">
            <v>MURREYS</v>
          </cell>
          <cell r="H318">
            <v>13076</v>
          </cell>
          <cell r="I318" t="str">
            <v>BULKY-COM</v>
          </cell>
          <cell r="J318" t="str">
            <v>BULKY ITEM</v>
          </cell>
          <cell r="K318">
            <v>25.92</v>
          </cell>
          <cell r="L318">
            <v>25.92</v>
          </cell>
        </row>
        <row r="319">
          <cell r="A319" t="str">
            <v>ORTINGCOMMERCIALBULKY-COM</v>
          </cell>
          <cell r="B319" t="str">
            <v>ONCALL</v>
          </cell>
          <cell r="C319" t="str">
            <v>2111</v>
          </cell>
          <cell r="D319" t="str">
            <v>COMMERCIAL</v>
          </cell>
          <cell r="E319" t="b">
            <v>1</v>
          </cell>
          <cell r="F319" t="b">
            <v>0</v>
          </cell>
          <cell r="G319" t="str">
            <v>ORTING</v>
          </cell>
          <cell r="H319">
            <v>13076</v>
          </cell>
          <cell r="I319" t="str">
            <v>BULKY-COM</v>
          </cell>
          <cell r="J319" t="str">
            <v>BULKY ITEM</v>
          </cell>
          <cell r="K319">
            <v>26.36</v>
          </cell>
          <cell r="L319">
            <v>26.36</v>
          </cell>
        </row>
        <row r="320">
          <cell r="A320" t="str">
            <v>PUYALLUPCOMMERCIALBULKY-COM</v>
          </cell>
          <cell r="B320" t="str">
            <v>ONCALL</v>
          </cell>
          <cell r="C320" t="str">
            <v>2111</v>
          </cell>
          <cell r="D320" t="str">
            <v>COMMERCIAL</v>
          </cell>
          <cell r="E320" t="b">
            <v>1</v>
          </cell>
          <cell r="F320" t="b">
            <v>0</v>
          </cell>
          <cell r="G320" t="str">
            <v>PUYALLUP</v>
          </cell>
          <cell r="H320">
            <v>13076</v>
          </cell>
          <cell r="I320" t="str">
            <v>BULKY-COM</v>
          </cell>
          <cell r="J320" t="str">
            <v>BULKY ITEM</v>
          </cell>
          <cell r="K320">
            <v>26.1</v>
          </cell>
          <cell r="L320">
            <v>26.1</v>
          </cell>
        </row>
        <row r="321">
          <cell r="A321" t="str">
            <v>RUSTONCOMMERCIALBULKY-COM</v>
          </cell>
          <cell r="B321" t="str">
            <v>ONCALL</v>
          </cell>
          <cell r="C321" t="str">
            <v>2111</v>
          </cell>
          <cell r="D321" t="str">
            <v>COMMERCIAL</v>
          </cell>
          <cell r="E321" t="b">
            <v>1</v>
          </cell>
          <cell r="F321" t="b">
            <v>0</v>
          </cell>
          <cell r="G321" t="str">
            <v>RUSTON</v>
          </cell>
          <cell r="H321">
            <v>13076</v>
          </cell>
          <cell r="I321" t="str">
            <v>BULKY-COM</v>
          </cell>
          <cell r="J321" t="str">
            <v>BULKY ITEM</v>
          </cell>
          <cell r="K321">
            <v>28.22</v>
          </cell>
          <cell r="L321">
            <v>28.22</v>
          </cell>
        </row>
        <row r="322">
          <cell r="A322" t="str">
            <v>SOUTH PRAIRIECOMMERCIALBULKY-COM</v>
          </cell>
          <cell r="B322" t="str">
            <v>ONCALL</v>
          </cell>
          <cell r="C322" t="str">
            <v>2111</v>
          </cell>
          <cell r="D322" t="str">
            <v>COMMERCIAL</v>
          </cell>
          <cell r="E322" t="b">
            <v>1</v>
          </cell>
          <cell r="F322" t="b">
            <v>0</v>
          </cell>
          <cell r="G322" t="str">
            <v>SOUTH PRAIRIE</v>
          </cell>
          <cell r="H322">
            <v>13076</v>
          </cell>
          <cell r="I322" t="str">
            <v>BULKY-COM</v>
          </cell>
          <cell r="J322" t="str">
            <v>BULKY ITEM</v>
          </cell>
          <cell r="K322">
            <v>23.3</v>
          </cell>
          <cell r="L322">
            <v>23.3</v>
          </cell>
        </row>
        <row r="323">
          <cell r="A323" t="str">
            <v>SUMNERCOMMERCIALBULKY-COM</v>
          </cell>
          <cell r="B323" t="str">
            <v>ONCALL</v>
          </cell>
          <cell r="C323" t="str">
            <v>2111</v>
          </cell>
          <cell r="D323" t="str">
            <v>COMMERCIAL</v>
          </cell>
          <cell r="E323" t="b">
            <v>1</v>
          </cell>
          <cell r="F323" t="b">
            <v>0</v>
          </cell>
          <cell r="G323" t="str">
            <v>SUMNER</v>
          </cell>
          <cell r="H323">
            <v>13076</v>
          </cell>
          <cell r="I323" t="str">
            <v>BULKY-COM</v>
          </cell>
          <cell r="J323" t="str">
            <v>BULKY ITEM</v>
          </cell>
          <cell r="K323">
            <v>26</v>
          </cell>
          <cell r="L323">
            <v>26</v>
          </cell>
        </row>
        <row r="324">
          <cell r="A324" t="str">
            <v>BONNEY LAKERESIDENTIALBULKY-RES</v>
          </cell>
          <cell r="B324" t="str">
            <v>ONCALL</v>
          </cell>
          <cell r="C324" t="str">
            <v>2111</v>
          </cell>
          <cell r="D324" t="str">
            <v>RESIDENTIAL</v>
          </cell>
          <cell r="E324" t="b">
            <v>1</v>
          </cell>
          <cell r="F324" t="b">
            <v>0</v>
          </cell>
          <cell r="G324" t="str">
            <v>BONNEY LAKE</v>
          </cell>
          <cell r="H324">
            <v>12825</v>
          </cell>
          <cell r="I324" t="str">
            <v>BULKY-RES</v>
          </cell>
          <cell r="J324" t="str">
            <v>BULKY ITEM</v>
          </cell>
          <cell r="K324">
            <v>26</v>
          </cell>
          <cell r="L324">
            <v>26</v>
          </cell>
        </row>
        <row r="325">
          <cell r="A325" t="str">
            <v>BUCKLEYRESIDENTIALBULKY-RES</v>
          </cell>
          <cell r="B325" t="str">
            <v>ONCALL</v>
          </cell>
          <cell r="C325" t="str">
            <v>2111</v>
          </cell>
          <cell r="D325" t="str">
            <v>RESIDENTIAL</v>
          </cell>
          <cell r="E325" t="b">
            <v>1</v>
          </cell>
          <cell r="F325" t="b">
            <v>0</v>
          </cell>
          <cell r="G325" t="str">
            <v>BUCKLEY</v>
          </cell>
          <cell r="H325">
            <v>12825</v>
          </cell>
          <cell r="I325" t="str">
            <v>BULKY-RES</v>
          </cell>
          <cell r="J325" t="str">
            <v>BULKY ITEM</v>
          </cell>
          <cell r="K325">
            <v>28.33</v>
          </cell>
          <cell r="L325">
            <v>28.33</v>
          </cell>
        </row>
        <row r="326">
          <cell r="A326" t="str">
            <v>CARBONADORESIDENTIALBULKY-RES</v>
          </cell>
          <cell r="B326" t="str">
            <v>ONCALL</v>
          </cell>
          <cell r="C326" t="str">
            <v>2111</v>
          </cell>
          <cell r="D326" t="str">
            <v>RESIDENTIAL</v>
          </cell>
          <cell r="E326" t="b">
            <v>1</v>
          </cell>
          <cell r="F326" t="b">
            <v>0</v>
          </cell>
          <cell r="G326" t="str">
            <v>CARBONADO</v>
          </cell>
          <cell r="H326">
            <v>12825</v>
          </cell>
          <cell r="I326" t="str">
            <v>BULKY-RES</v>
          </cell>
          <cell r="J326" t="str">
            <v>BULKY ITEM</v>
          </cell>
          <cell r="K326">
            <v>29.72</v>
          </cell>
          <cell r="L326">
            <v>29.72</v>
          </cell>
        </row>
        <row r="327">
          <cell r="A327" t="str">
            <v>M-EDGEWOODRESIDENTIALBULKY-RES</v>
          </cell>
          <cell r="B327" t="str">
            <v>ONCALL</v>
          </cell>
          <cell r="C327" t="str">
            <v>2111</v>
          </cell>
          <cell r="D327" t="str">
            <v>RESIDENTIAL</v>
          </cell>
          <cell r="E327" t="b">
            <v>1</v>
          </cell>
          <cell r="F327" t="b">
            <v>0</v>
          </cell>
          <cell r="G327" t="str">
            <v>M-EDGEWOOD</v>
          </cell>
          <cell r="H327">
            <v>12825</v>
          </cell>
          <cell r="I327" t="str">
            <v>BULKY-RES</v>
          </cell>
          <cell r="J327" t="str">
            <v>BULKY ITEM</v>
          </cell>
          <cell r="K327">
            <v>25.92</v>
          </cell>
          <cell r="L327">
            <v>25.92</v>
          </cell>
        </row>
        <row r="328">
          <cell r="A328" t="str">
            <v>M-FIFERESIDENTIALBULKY-RES</v>
          </cell>
          <cell r="B328" t="str">
            <v>ONCALL</v>
          </cell>
          <cell r="C328" t="str">
            <v>2111</v>
          </cell>
          <cell r="D328" t="str">
            <v>RESIDENTIAL</v>
          </cell>
          <cell r="E328" t="b">
            <v>1</v>
          </cell>
          <cell r="F328" t="b">
            <v>0</v>
          </cell>
          <cell r="G328" t="str">
            <v>M-FIFE</v>
          </cell>
          <cell r="H328">
            <v>12825</v>
          </cell>
          <cell r="I328" t="str">
            <v>BULKY-RES</v>
          </cell>
          <cell r="J328" t="str">
            <v>BULKY ITEM</v>
          </cell>
          <cell r="K328">
            <v>25.92</v>
          </cell>
          <cell r="L328">
            <v>25.92</v>
          </cell>
        </row>
        <row r="329">
          <cell r="A329" t="str">
            <v>MILTONRESIDENTIALBULKY-RES</v>
          </cell>
          <cell r="B329" t="str">
            <v>ONCALL</v>
          </cell>
          <cell r="C329" t="str">
            <v>2111</v>
          </cell>
          <cell r="D329" t="str">
            <v>RESIDENTIAL</v>
          </cell>
          <cell r="E329" t="b">
            <v>1</v>
          </cell>
          <cell r="F329" t="b">
            <v>0</v>
          </cell>
          <cell r="G329" t="str">
            <v>MILTON</v>
          </cell>
          <cell r="H329">
            <v>12825</v>
          </cell>
          <cell r="I329" t="str">
            <v>BULKY-RES</v>
          </cell>
          <cell r="J329" t="str">
            <v>BULKY ITEM</v>
          </cell>
          <cell r="K329">
            <v>37.729999999999997</v>
          </cell>
          <cell r="L329">
            <v>37.729999999999997</v>
          </cell>
        </row>
        <row r="330">
          <cell r="A330" t="str">
            <v>MURREYSRESIDENTIALBULKY-RES</v>
          </cell>
          <cell r="B330" t="str">
            <v>ONCALL</v>
          </cell>
          <cell r="C330" t="str">
            <v>2111</v>
          </cell>
          <cell r="D330" t="str">
            <v>RESIDENTIAL</v>
          </cell>
          <cell r="E330" t="b">
            <v>1</v>
          </cell>
          <cell r="F330" t="b">
            <v>0</v>
          </cell>
          <cell r="G330" t="str">
            <v>MURREYS</v>
          </cell>
          <cell r="H330">
            <v>12825</v>
          </cell>
          <cell r="I330" t="str">
            <v>BULKY-RES</v>
          </cell>
          <cell r="J330" t="str">
            <v>BULKY ITEM</v>
          </cell>
          <cell r="K330">
            <v>25.92</v>
          </cell>
          <cell r="L330">
            <v>25.92</v>
          </cell>
        </row>
        <row r="331">
          <cell r="A331" t="str">
            <v>ORTINGRESIDENTIALBULKY-RES</v>
          </cell>
          <cell r="B331" t="str">
            <v>ONCALL</v>
          </cell>
          <cell r="C331" t="str">
            <v>2111</v>
          </cell>
          <cell r="D331" t="str">
            <v>RESIDENTIAL</v>
          </cell>
          <cell r="E331" t="b">
            <v>1</v>
          </cell>
          <cell r="F331" t="b">
            <v>0</v>
          </cell>
          <cell r="G331" t="str">
            <v>ORTING</v>
          </cell>
          <cell r="H331">
            <v>12825</v>
          </cell>
          <cell r="I331" t="str">
            <v>BULKY-RES</v>
          </cell>
          <cell r="J331" t="str">
            <v>BULKY ITEM</v>
          </cell>
          <cell r="K331">
            <v>26.36</v>
          </cell>
          <cell r="L331">
            <v>26.36</v>
          </cell>
        </row>
        <row r="332">
          <cell r="A332" t="str">
            <v>PUYALLUPRESIDENTIALBULKY-RES</v>
          </cell>
          <cell r="B332" t="str">
            <v>ONCALL</v>
          </cell>
          <cell r="C332" t="str">
            <v>2111</v>
          </cell>
          <cell r="D332" t="str">
            <v>RESIDENTIAL</v>
          </cell>
          <cell r="E332" t="b">
            <v>1</v>
          </cell>
          <cell r="F332" t="b">
            <v>0</v>
          </cell>
          <cell r="G332" t="str">
            <v>PUYALLUP</v>
          </cell>
          <cell r="H332">
            <v>12825</v>
          </cell>
          <cell r="I332" t="str">
            <v>BULKY-RES</v>
          </cell>
          <cell r="J332" t="str">
            <v>BULKY ITEM</v>
          </cell>
          <cell r="K332">
            <v>26.1</v>
          </cell>
          <cell r="L332">
            <v>26.1</v>
          </cell>
        </row>
        <row r="333">
          <cell r="A333" t="str">
            <v>RUSTONRESIDENTIALBULKY-RES</v>
          </cell>
          <cell r="B333" t="str">
            <v>ONCALL</v>
          </cell>
          <cell r="C333" t="str">
            <v>2111</v>
          </cell>
          <cell r="D333" t="str">
            <v>RESIDENTIAL</v>
          </cell>
          <cell r="E333" t="b">
            <v>1</v>
          </cell>
          <cell r="F333" t="b">
            <v>0</v>
          </cell>
          <cell r="G333" t="str">
            <v>RUSTON</v>
          </cell>
          <cell r="H333">
            <v>12825</v>
          </cell>
          <cell r="I333" t="str">
            <v>BULKY-RES</v>
          </cell>
          <cell r="J333" t="str">
            <v>BULKY ITEM</v>
          </cell>
          <cell r="K333">
            <v>28.22</v>
          </cell>
          <cell r="L333">
            <v>28.22</v>
          </cell>
        </row>
        <row r="334">
          <cell r="A334" t="str">
            <v>SOUTH PRAIRIERESIDENTIALBULKY-RES</v>
          </cell>
          <cell r="B334" t="str">
            <v>ONCALL</v>
          </cell>
          <cell r="C334" t="str">
            <v>2111</v>
          </cell>
          <cell r="D334" t="str">
            <v>RESIDENTIAL</v>
          </cell>
          <cell r="E334" t="b">
            <v>1</v>
          </cell>
          <cell r="F334" t="b">
            <v>0</v>
          </cell>
          <cell r="G334" t="str">
            <v>SOUTH PRAIRIE</v>
          </cell>
          <cell r="H334">
            <v>12825</v>
          </cell>
          <cell r="I334" t="str">
            <v>BULKY-RES</v>
          </cell>
          <cell r="J334" t="str">
            <v>BULKY ITEM</v>
          </cell>
          <cell r="K334">
            <v>23.3</v>
          </cell>
          <cell r="L334">
            <v>23.3</v>
          </cell>
        </row>
        <row r="335">
          <cell r="A335" t="str">
            <v>SUMNERRESIDENTIALBULKY-RES</v>
          </cell>
          <cell r="B335" t="str">
            <v>ONCALL</v>
          </cell>
          <cell r="C335" t="str">
            <v>2111</v>
          </cell>
          <cell r="D335" t="str">
            <v>RESIDENTIAL</v>
          </cell>
          <cell r="E335" t="b">
            <v>1</v>
          </cell>
          <cell r="F335" t="b">
            <v>0</v>
          </cell>
          <cell r="G335" t="str">
            <v>SUMNER</v>
          </cell>
          <cell r="H335">
            <v>12825</v>
          </cell>
          <cell r="I335" t="str">
            <v>BULKY-RES</v>
          </cell>
          <cell r="J335" t="str">
            <v>BULKY ITEM</v>
          </cell>
          <cell r="K335">
            <v>26</v>
          </cell>
          <cell r="L335">
            <v>26</v>
          </cell>
        </row>
        <row r="336">
          <cell r="A336" t="str">
            <v>VASHONCOMMERCIALCARRY-COMM</v>
          </cell>
          <cell r="B336" t="str">
            <v>BI-MONTHLY SPLIT ODD</v>
          </cell>
          <cell r="C336" t="str">
            <v>2111</v>
          </cell>
          <cell r="D336" t="str">
            <v>COMMERCIAL</v>
          </cell>
          <cell r="E336" t="b">
            <v>0</v>
          </cell>
          <cell r="F336" t="b">
            <v>0</v>
          </cell>
          <cell r="G336" t="str">
            <v>VASHON</v>
          </cell>
          <cell r="H336">
            <v>3458</v>
          </cell>
          <cell r="I336" t="str">
            <v>CARRY-COMM</v>
          </cell>
          <cell r="J336" t="str">
            <v>CARRY OUT - COMM</v>
          </cell>
          <cell r="K336">
            <v>0.73</v>
          </cell>
          <cell r="L336">
            <v>0.36499999999999999</v>
          </cell>
        </row>
        <row r="337">
          <cell r="A337" t="str">
            <v>VASHONRESIDENTIALCARRY-RES</v>
          </cell>
          <cell r="B337" t="str">
            <v>BI-MONTHLY SPLIT ODD</v>
          </cell>
          <cell r="C337" t="str">
            <v>2111</v>
          </cell>
          <cell r="D337" t="str">
            <v>RESIDENTIAL</v>
          </cell>
          <cell r="E337" t="b">
            <v>0</v>
          </cell>
          <cell r="F337" t="b">
            <v>0</v>
          </cell>
          <cell r="G337" t="str">
            <v>VASHON</v>
          </cell>
          <cell r="H337">
            <v>3457</v>
          </cell>
          <cell r="I337" t="str">
            <v>CARRY-RES</v>
          </cell>
          <cell r="J337" t="str">
            <v>CARRY OUT -RES</v>
          </cell>
          <cell r="K337">
            <v>4.8600000000000003</v>
          </cell>
          <cell r="L337">
            <v>2.4300000000000002</v>
          </cell>
        </row>
        <row r="338">
          <cell r="A338" t="str">
            <v>MILTONCOMMERCIALCCONNECT</v>
          </cell>
          <cell r="B338" t="str">
            <v>ONCALL</v>
          </cell>
          <cell r="C338" t="str">
            <v>2111</v>
          </cell>
          <cell r="D338" t="str">
            <v>COMMERCIAL</v>
          </cell>
          <cell r="E338" t="b">
            <v>0</v>
          </cell>
          <cell r="F338" t="b">
            <v>0</v>
          </cell>
          <cell r="G338" t="str">
            <v>MILTON</v>
          </cell>
          <cell r="H338">
            <v>3296</v>
          </cell>
          <cell r="I338" t="str">
            <v>CCONNECT</v>
          </cell>
          <cell r="J338" t="str">
            <v>CMML CONNECT/RECONNECT</v>
          </cell>
          <cell r="K338">
            <v>44.77</v>
          </cell>
          <cell r="L338">
            <v>44.77</v>
          </cell>
        </row>
        <row r="339">
          <cell r="A339" t="str">
            <v>M-EDGEWOODCOMMERCIALCDEL</v>
          </cell>
          <cell r="B339" t="str">
            <v>ONCALL</v>
          </cell>
          <cell r="C339" t="str">
            <v>2111</v>
          </cell>
          <cell r="D339" t="str">
            <v>COMMERCIAL</v>
          </cell>
          <cell r="E339" t="b">
            <v>1</v>
          </cell>
          <cell r="F339" t="b">
            <v>0</v>
          </cell>
          <cell r="G339" t="str">
            <v>M-EDGEWOOD</v>
          </cell>
          <cell r="H339">
            <v>2230</v>
          </cell>
          <cell r="I339" t="str">
            <v>CDEL</v>
          </cell>
          <cell r="J339" t="str">
            <v>CONTAINER DELIVERY CHARGE</v>
          </cell>
          <cell r="K339">
            <v>42.83</v>
          </cell>
          <cell r="L339">
            <v>42.83</v>
          </cell>
        </row>
        <row r="340">
          <cell r="A340" t="str">
            <v>M-FIFECOMMERCIALCDEL</v>
          </cell>
          <cell r="B340" t="str">
            <v>ONCALL</v>
          </cell>
          <cell r="C340" t="str">
            <v>2111</v>
          </cell>
          <cell r="D340" t="str">
            <v>COMMERCIAL</v>
          </cell>
          <cell r="E340" t="b">
            <v>1</v>
          </cell>
          <cell r="F340" t="b">
            <v>0</v>
          </cell>
          <cell r="G340" t="str">
            <v>M-FIFE</v>
          </cell>
          <cell r="H340">
            <v>2230</v>
          </cell>
          <cell r="I340" t="str">
            <v>CDEL</v>
          </cell>
          <cell r="J340" t="str">
            <v>CONTAINER DELIVERY CHARGE</v>
          </cell>
          <cell r="K340">
            <v>42.83</v>
          </cell>
          <cell r="L340">
            <v>42.83</v>
          </cell>
        </row>
        <row r="341">
          <cell r="A341" t="str">
            <v>MURREYSCOMMERCIALCDEL</v>
          </cell>
          <cell r="B341" t="str">
            <v>ONCALL</v>
          </cell>
          <cell r="C341" t="str">
            <v>2111</v>
          </cell>
          <cell r="D341" t="str">
            <v>COMMERCIAL</v>
          </cell>
          <cell r="E341" t="b">
            <v>1</v>
          </cell>
          <cell r="F341" t="b">
            <v>0</v>
          </cell>
          <cell r="G341" t="str">
            <v>MURREYS</v>
          </cell>
          <cell r="H341">
            <v>2230</v>
          </cell>
          <cell r="I341" t="str">
            <v>CDEL</v>
          </cell>
          <cell r="J341" t="str">
            <v>CONTAINER DELIVERY CHARGE</v>
          </cell>
          <cell r="K341">
            <v>42.83</v>
          </cell>
          <cell r="L341">
            <v>42.83</v>
          </cell>
        </row>
        <row r="342">
          <cell r="A342" t="str">
            <v>BONNEY LAKECOMMERCIALCEX</v>
          </cell>
          <cell r="B342" t="str">
            <v>ONCALL</v>
          </cell>
          <cell r="C342" t="str">
            <v>2111</v>
          </cell>
          <cell r="D342" t="str">
            <v>COMMERCIAL</v>
          </cell>
          <cell r="E342" t="b">
            <v>1</v>
          </cell>
          <cell r="F342" t="b">
            <v>0</v>
          </cell>
          <cell r="G342" t="str">
            <v>BONNEY LAKE</v>
          </cell>
          <cell r="H342">
            <v>3023</v>
          </cell>
          <cell r="I342" t="str">
            <v>CEX</v>
          </cell>
          <cell r="J342" t="str">
            <v>EXTRA CANS</v>
          </cell>
          <cell r="K342">
            <v>6.53</v>
          </cell>
          <cell r="L342">
            <v>6.53</v>
          </cell>
        </row>
        <row r="343">
          <cell r="A343" t="str">
            <v>BUCKLEYCOMMERCIALCEX</v>
          </cell>
          <cell r="B343" t="str">
            <v>ONCALL</v>
          </cell>
          <cell r="C343" t="str">
            <v>2111</v>
          </cell>
          <cell r="D343" t="str">
            <v>COMMERCIAL</v>
          </cell>
          <cell r="E343" t="b">
            <v>1</v>
          </cell>
          <cell r="F343" t="b">
            <v>0</v>
          </cell>
          <cell r="G343" t="str">
            <v>BUCKLEY</v>
          </cell>
          <cell r="H343">
            <v>3023</v>
          </cell>
          <cell r="I343" t="str">
            <v>CEX</v>
          </cell>
          <cell r="J343" t="str">
            <v>EXTRA CANS</v>
          </cell>
          <cell r="K343">
            <v>5.86</v>
          </cell>
          <cell r="L343">
            <v>5.86</v>
          </cell>
        </row>
        <row r="344">
          <cell r="A344" t="str">
            <v>CARBONADOCOMMERCIALCEX</v>
          </cell>
          <cell r="B344" t="str">
            <v>ONCALL</v>
          </cell>
          <cell r="C344" t="str">
            <v>2111</v>
          </cell>
          <cell r="D344" t="str">
            <v>COMMERCIAL</v>
          </cell>
          <cell r="E344" t="b">
            <v>1</v>
          </cell>
          <cell r="F344" t="b">
            <v>0</v>
          </cell>
          <cell r="G344" t="str">
            <v>CARBONADO</v>
          </cell>
          <cell r="H344">
            <v>3023</v>
          </cell>
          <cell r="I344" t="str">
            <v>CEX</v>
          </cell>
          <cell r="J344" t="str">
            <v>EXTRA CANS</v>
          </cell>
          <cell r="K344">
            <v>5.28</v>
          </cell>
          <cell r="L344">
            <v>5.28</v>
          </cell>
        </row>
        <row r="345">
          <cell r="A345" t="str">
            <v>M-EDGEWOODCOMMERCIALCEX</v>
          </cell>
          <cell r="B345" t="str">
            <v>ONCALL</v>
          </cell>
          <cell r="C345" t="str">
            <v>2111</v>
          </cell>
          <cell r="D345" t="str">
            <v>COMMERCIAL</v>
          </cell>
          <cell r="E345" t="b">
            <v>1</v>
          </cell>
          <cell r="F345" t="b">
            <v>0</v>
          </cell>
          <cell r="G345" t="str">
            <v>M-EDGEWOOD</v>
          </cell>
          <cell r="H345">
            <v>3023</v>
          </cell>
          <cell r="I345" t="str">
            <v>CEX</v>
          </cell>
          <cell r="J345" t="str">
            <v>EXTRA CANS</v>
          </cell>
          <cell r="K345">
            <v>4.82</v>
          </cell>
          <cell r="L345">
            <v>4.82</v>
          </cell>
        </row>
        <row r="346">
          <cell r="A346" t="str">
            <v>M-FIFECOMMERCIALCEX</v>
          </cell>
          <cell r="B346" t="str">
            <v>ONCALL</v>
          </cell>
          <cell r="C346" t="str">
            <v>2111</v>
          </cell>
          <cell r="D346" t="str">
            <v>COMMERCIAL</v>
          </cell>
          <cell r="E346" t="b">
            <v>1</v>
          </cell>
          <cell r="F346" t="b">
            <v>0</v>
          </cell>
          <cell r="G346" t="str">
            <v>M-FIFE</v>
          </cell>
          <cell r="H346">
            <v>3023</v>
          </cell>
          <cell r="I346" t="str">
            <v>CEX</v>
          </cell>
          <cell r="J346" t="str">
            <v>EXTRA CANS</v>
          </cell>
          <cell r="K346">
            <v>4.82</v>
          </cell>
          <cell r="L346">
            <v>4.82</v>
          </cell>
        </row>
        <row r="347">
          <cell r="A347" t="str">
            <v>MURREYSCOMMERCIALCEX</v>
          </cell>
          <cell r="B347" t="str">
            <v>ONCALL</v>
          </cell>
          <cell r="C347" t="str">
            <v>2111</v>
          </cell>
          <cell r="D347" t="str">
            <v>COMMERCIAL</v>
          </cell>
          <cell r="E347" t="b">
            <v>1</v>
          </cell>
          <cell r="F347" t="b">
            <v>0</v>
          </cell>
          <cell r="G347" t="str">
            <v>MURREYS</v>
          </cell>
          <cell r="H347">
            <v>3023</v>
          </cell>
          <cell r="I347" t="str">
            <v>CEX</v>
          </cell>
          <cell r="J347" t="str">
            <v>EXTRA CANS</v>
          </cell>
          <cell r="K347">
            <v>4.82</v>
          </cell>
          <cell r="L347">
            <v>4.82</v>
          </cell>
        </row>
        <row r="348">
          <cell r="A348" t="str">
            <v>ORTINGCOMMERCIALCEX</v>
          </cell>
          <cell r="B348" t="str">
            <v>ONCALL</v>
          </cell>
          <cell r="C348" t="str">
            <v>2111</v>
          </cell>
          <cell r="D348" t="str">
            <v>COMMERCIAL</v>
          </cell>
          <cell r="E348" t="b">
            <v>1</v>
          </cell>
          <cell r="F348" t="b">
            <v>0</v>
          </cell>
          <cell r="G348" t="str">
            <v>ORTING</v>
          </cell>
          <cell r="H348">
            <v>3023</v>
          </cell>
          <cell r="I348" t="str">
            <v>CEX</v>
          </cell>
          <cell r="J348" t="str">
            <v>EXTRA CANS</v>
          </cell>
          <cell r="K348">
            <v>6.75</v>
          </cell>
          <cell r="L348">
            <v>6.75</v>
          </cell>
        </row>
        <row r="349">
          <cell r="A349" t="str">
            <v>PUYALLUPCOMMERCIALCEX</v>
          </cell>
          <cell r="B349" t="str">
            <v>ONCALL</v>
          </cell>
          <cell r="C349" t="str">
            <v>2111</v>
          </cell>
          <cell r="D349" t="str">
            <v>COMMERCIAL</v>
          </cell>
          <cell r="E349" t="b">
            <v>1</v>
          </cell>
          <cell r="F349" t="b">
            <v>0</v>
          </cell>
          <cell r="G349" t="str">
            <v>PUYALLUP</v>
          </cell>
          <cell r="H349">
            <v>3023</v>
          </cell>
          <cell r="I349" t="str">
            <v>CEX</v>
          </cell>
          <cell r="J349" t="str">
            <v>EXTRA CANS</v>
          </cell>
          <cell r="K349">
            <v>6.47</v>
          </cell>
          <cell r="L349">
            <v>6.47</v>
          </cell>
        </row>
        <row r="350">
          <cell r="A350" t="str">
            <v>RUSTONCOMMERCIALCEX</v>
          </cell>
          <cell r="B350" t="str">
            <v>ONCALL</v>
          </cell>
          <cell r="C350" t="str">
            <v>2111</v>
          </cell>
          <cell r="D350" t="str">
            <v>COMMERCIAL</v>
          </cell>
          <cell r="E350" t="b">
            <v>1</v>
          </cell>
          <cell r="F350" t="b">
            <v>0</v>
          </cell>
          <cell r="G350" t="str">
            <v>RUSTON</v>
          </cell>
          <cell r="H350">
            <v>3023</v>
          </cell>
          <cell r="I350" t="str">
            <v>CEX</v>
          </cell>
          <cell r="J350" t="str">
            <v>EXTRA CANS</v>
          </cell>
          <cell r="K350">
            <v>5.79</v>
          </cell>
          <cell r="L350">
            <v>5.79</v>
          </cell>
        </row>
        <row r="351">
          <cell r="A351" t="str">
            <v>SOUTH PRAIRIECOMMERCIALCEX</v>
          </cell>
          <cell r="B351" t="str">
            <v>ONCALL</v>
          </cell>
          <cell r="C351" t="str">
            <v>2111</v>
          </cell>
          <cell r="D351" t="str">
            <v>COMMERCIAL</v>
          </cell>
          <cell r="E351" t="b">
            <v>1</v>
          </cell>
          <cell r="F351" t="b">
            <v>0</v>
          </cell>
          <cell r="G351" t="str">
            <v>SOUTH PRAIRIE</v>
          </cell>
          <cell r="H351">
            <v>3023</v>
          </cell>
          <cell r="I351" t="str">
            <v>CEX</v>
          </cell>
          <cell r="J351" t="str">
            <v>EXTRA CANS</v>
          </cell>
          <cell r="K351">
            <v>4.8600000000000003</v>
          </cell>
          <cell r="L351">
            <v>4.8600000000000003</v>
          </cell>
        </row>
        <row r="352">
          <cell r="A352" t="str">
            <v>SUMNERCOMMERCIALCEX</v>
          </cell>
          <cell r="B352" t="str">
            <v>ONCALL</v>
          </cell>
          <cell r="C352" t="str">
            <v>2111</v>
          </cell>
          <cell r="D352" t="str">
            <v>COMMERCIAL</v>
          </cell>
          <cell r="E352" t="b">
            <v>1</v>
          </cell>
          <cell r="F352" t="b">
            <v>0</v>
          </cell>
          <cell r="G352" t="str">
            <v>SUMNER</v>
          </cell>
          <cell r="H352">
            <v>3023</v>
          </cell>
          <cell r="I352" t="str">
            <v>CEX</v>
          </cell>
          <cell r="J352" t="str">
            <v>EXTRA CANS</v>
          </cell>
          <cell r="K352">
            <v>5.86</v>
          </cell>
          <cell r="L352">
            <v>5.86</v>
          </cell>
        </row>
        <row r="353">
          <cell r="A353" t="str">
            <v>VASHONCOMMERCIALCEX</v>
          </cell>
          <cell r="B353" t="str">
            <v>ONCALL</v>
          </cell>
          <cell r="C353" t="str">
            <v>2111</v>
          </cell>
          <cell r="D353" t="str">
            <v>COMMERCIAL</v>
          </cell>
          <cell r="E353" t="b">
            <v>1</v>
          </cell>
          <cell r="F353" t="b">
            <v>0</v>
          </cell>
          <cell r="G353" t="str">
            <v>VASHON</v>
          </cell>
          <cell r="H353">
            <v>3023</v>
          </cell>
          <cell r="I353" t="str">
            <v>CEX</v>
          </cell>
          <cell r="J353" t="str">
            <v>EXTRA CANS</v>
          </cell>
          <cell r="K353">
            <v>4.21</v>
          </cell>
          <cell r="L353">
            <v>4.21</v>
          </cell>
        </row>
        <row r="354">
          <cell r="A354" t="str">
            <v>DMRCOMMERCIAL RECYCLECEXRECY</v>
          </cell>
          <cell r="B354" t="e">
            <v>#N/A</v>
          </cell>
          <cell r="C354" t="str">
            <v>2111</v>
          </cell>
          <cell r="D354" t="str">
            <v>COMMERCIAL RECYCLE</v>
          </cell>
          <cell r="E354" t="b">
            <v>1</v>
          </cell>
          <cell r="F354" t="b">
            <v>0</v>
          </cell>
          <cell r="G354" t="str">
            <v>DMR</v>
          </cell>
          <cell r="H354">
            <v>3569</v>
          </cell>
          <cell r="I354" t="str">
            <v>CEXRECY</v>
          </cell>
          <cell r="J354" t="str">
            <v>EXTRA CANS/BAGS RECYCLE</v>
          </cell>
          <cell r="K354">
            <v>6</v>
          </cell>
          <cell r="L354">
            <v>6</v>
          </cell>
        </row>
        <row r="355">
          <cell r="A355" t="str">
            <v>DMR-BCOMMERCIAL RECYCLECEXRECY</v>
          </cell>
          <cell r="B355" t="e">
            <v>#N/A</v>
          </cell>
          <cell r="C355" t="str">
            <v>2111</v>
          </cell>
          <cell r="D355" t="str">
            <v>COMMERCIAL RECYCLE</v>
          </cell>
          <cell r="E355" t="b">
            <v>1</v>
          </cell>
          <cell r="F355" t="b">
            <v>0</v>
          </cell>
          <cell r="G355" t="str">
            <v>DMR-B</v>
          </cell>
          <cell r="H355">
            <v>3569</v>
          </cell>
          <cell r="I355" t="str">
            <v>CEXRECY</v>
          </cell>
          <cell r="J355" t="str">
            <v>EXTRA CANS/BAGS RECYCLE</v>
          </cell>
          <cell r="K355">
            <v>4.34</v>
          </cell>
          <cell r="L355">
            <v>4.34</v>
          </cell>
        </row>
        <row r="356">
          <cell r="A356" t="str">
            <v>DMR-BLCOMMERCIAL RECYCLECEXRECY</v>
          </cell>
          <cell r="B356" t="e">
            <v>#N/A</v>
          </cell>
          <cell r="C356" t="str">
            <v>2111</v>
          </cell>
          <cell r="D356" t="str">
            <v>COMMERCIAL RECYCLE</v>
          </cell>
          <cell r="E356" t="b">
            <v>1</v>
          </cell>
          <cell r="F356" t="b">
            <v>0</v>
          </cell>
          <cell r="G356" t="str">
            <v>DMR-BL</v>
          </cell>
          <cell r="H356">
            <v>3569</v>
          </cell>
          <cell r="I356" t="str">
            <v>CEXRECY</v>
          </cell>
          <cell r="J356" t="str">
            <v>EXTRA CANS/BAGS RECYCLE</v>
          </cell>
          <cell r="K356">
            <v>4.41</v>
          </cell>
          <cell r="L356">
            <v>4.41</v>
          </cell>
        </row>
        <row r="357">
          <cell r="A357" t="str">
            <v>DMR-CPCOMMERCIAL RECYCLECEXRECY</v>
          </cell>
          <cell r="B357" t="e">
            <v>#N/A</v>
          </cell>
          <cell r="C357" t="str">
            <v>2111</v>
          </cell>
          <cell r="D357" t="str">
            <v>COMMERCIAL RECYCLE</v>
          </cell>
          <cell r="E357" t="b">
            <v>1</v>
          </cell>
          <cell r="F357" t="b">
            <v>0</v>
          </cell>
          <cell r="G357" t="str">
            <v>DMR-CP</v>
          </cell>
          <cell r="H357">
            <v>3569</v>
          </cell>
          <cell r="I357" t="str">
            <v>CEXRECY</v>
          </cell>
          <cell r="J357" t="str">
            <v>EXTRA CANS/BAGS RECYCLE</v>
          </cell>
          <cell r="K357">
            <v>4.43</v>
          </cell>
          <cell r="L357">
            <v>4.43</v>
          </cell>
        </row>
        <row r="358">
          <cell r="A358" t="str">
            <v>DMR-MILCOMMERCIAL RECYCLECEXRECY</v>
          </cell>
          <cell r="B358" t="e">
            <v>#N/A</v>
          </cell>
          <cell r="C358" t="str">
            <v>2111</v>
          </cell>
          <cell r="D358" t="str">
            <v>COMMERCIAL RECYCLE</v>
          </cell>
          <cell r="E358" t="b">
            <v>1</v>
          </cell>
          <cell r="F358" t="b">
            <v>0</v>
          </cell>
          <cell r="G358" t="str">
            <v>DMR-MIL</v>
          </cell>
          <cell r="H358">
            <v>3569</v>
          </cell>
          <cell r="I358" t="str">
            <v>CEXRECY</v>
          </cell>
          <cell r="J358" t="str">
            <v>EXTRA CANS/BAGS RECYCLE</v>
          </cell>
          <cell r="K358">
            <v>4.42</v>
          </cell>
          <cell r="L358">
            <v>4.42</v>
          </cell>
        </row>
        <row r="359">
          <cell r="A359" t="str">
            <v>BONNEY LAKECOMMERCIALCEXYD</v>
          </cell>
          <cell r="B359" t="str">
            <v>ONCALL</v>
          </cell>
          <cell r="C359" t="str">
            <v>2111</v>
          </cell>
          <cell r="D359" t="str">
            <v>COMMERCIAL</v>
          </cell>
          <cell r="E359" t="b">
            <v>1</v>
          </cell>
          <cell r="F359" t="b">
            <v>0</v>
          </cell>
          <cell r="G359" t="str">
            <v>BONNEY LAKE</v>
          </cell>
          <cell r="H359">
            <v>3155</v>
          </cell>
          <cell r="I359" t="str">
            <v>CEXYD</v>
          </cell>
          <cell r="J359" t="str">
            <v>CMML EXTRA YARDAGE</v>
          </cell>
          <cell r="K359">
            <v>46.38</v>
          </cell>
          <cell r="L359">
            <v>46.38</v>
          </cell>
        </row>
        <row r="360">
          <cell r="A360" t="str">
            <v>BUCKLEYCOMMERCIALCEXYD</v>
          </cell>
          <cell r="B360" t="str">
            <v>ONCALL</v>
          </cell>
          <cell r="C360" t="str">
            <v>2111</v>
          </cell>
          <cell r="D360" t="str">
            <v>COMMERCIAL</v>
          </cell>
          <cell r="E360" t="b">
            <v>1</v>
          </cell>
          <cell r="F360" t="b">
            <v>0</v>
          </cell>
          <cell r="G360" t="str">
            <v>BUCKLEY</v>
          </cell>
          <cell r="H360">
            <v>3155</v>
          </cell>
          <cell r="I360" t="str">
            <v>CEXYD</v>
          </cell>
          <cell r="J360" t="str">
            <v>CMML EXTRA YARDAGE</v>
          </cell>
          <cell r="K360">
            <v>28.33</v>
          </cell>
          <cell r="L360">
            <v>28.33</v>
          </cell>
        </row>
        <row r="361">
          <cell r="A361" t="str">
            <v>CARBONADOCOMMERCIALCEXYD</v>
          </cell>
          <cell r="B361" t="str">
            <v>ONCALL</v>
          </cell>
          <cell r="C361" t="str">
            <v>2111</v>
          </cell>
          <cell r="D361" t="str">
            <v>COMMERCIAL</v>
          </cell>
          <cell r="E361" t="b">
            <v>1</v>
          </cell>
          <cell r="F361" t="b">
            <v>0</v>
          </cell>
          <cell r="G361" t="str">
            <v>CARBONADO</v>
          </cell>
          <cell r="H361">
            <v>3155</v>
          </cell>
          <cell r="I361" t="str">
            <v>CEXYD</v>
          </cell>
          <cell r="J361" t="str">
            <v>CMML EXTRA YARDAGE</v>
          </cell>
          <cell r="K361">
            <v>29.72</v>
          </cell>
          <cell r="L361">
            <v>29.72</v>
          </cell>
        </row>
        <row r="362">
          <cell r="A362" t="str">
            <v>M-EDGEWOODCOMMERCIALCEXYD</v>
          </cell>
          <cell r="B362" t="str">
            <v>ONCALL</v>
          </cell>
          <cell r="C362" t="str">
            <v>2111</v>
          </cell>
          <cell r="D362" t="str">
            <v>COMMERCIAL</v>
          </cell>
          <cell r="E362" t="b">
            <v>1</v>
          </cell>
          <cell r="F362" t="b">
            <v>0</v>
          </cell>
          <cell r="G362" t="str">
            <v>M-EDGEWOOD</v>
          </cell>
          <cell r="H362">
            <v>3155</v>
          </cell>
          <cell r="I362" t="str">
            <v>CEXYD</v>
          </cell>
          <cell r="J362" t="str">
            <v>CMML EXTRA YARDAGE</v>
          </cell>
          <cell r="K362">
            <v>25.92</v>
          </cell>
          <cell r="L362">
            <v>25.92</v>
          </cell>
        </row>
        <row r="363">
          <cell r="A363" t="str">
            <v>M-FIFECOMMERCIALCEXYD</v>
          </cell>
          <cell r="B363" t="str">
            <v>ONCALL</v>
          </cell>
          <cell r="C363" t="str">
            <v>2111</v>
          </cell>
          <cell r="D363" t="str">
            <v>COMMERCIAL</v>
          </cell>
          <cell r="E363" t="b">
            <v>1</v>
          </cell>
          <cell r="F363" t="b">
            <v>0</v>
          </cell>
          <cell r="G363" t="str">
            <v>M-FIFE</v>
          </cell>
          <cell r="H363">
            <v>3155</v>
          </cell>
          <cell r="I363" t="str">
            <v>CEXYD</v>
          </cell>
          <cell r="J363" t="str">
            <v>CMML EXTRA YARDAGE</v>
          </cell>
          <cell r="K363">
            <v>25.92</v>
          </cell>
          <cell r="L363">
            <v>25.92</v>
          </cell>
        </row>
        <row r="364">
          <cell r="A364" t="str">
            <v>MILTONCOMMERCIALCEXYD</v>
          </cell>
          <cell r="B364" t="str">
            <v>ONCALL</v>
          </cell>
          <cell r="C364" t="str">
            <v>2111</v>
          </cell>
          <cell r="D364" t="str">
            <v>COMMERCIAL</v>
          </cell>
          <cell r="E364" t="b">
            <v>1</v>
          </cell>
          <cell r="F364" t="b">
            <v>0</v>
          </cell>
          <cell r="G364" t="str">
            <v>MILTON</v>
          </cell>
          <cell r="H364">
            <v>3155</v>
          </cell>
          <cell r="I364" t="str">
            <v>CEXYD</v>
          </cell>
          <cell r="J364" t="str">
            <v>CMML EXTRA YARDAGE</v>
          </cell>
          <cell r="K364">
            <v>27.09</v>
          </cell>
          <cell r="L364">
            <v>27.09</v>
          </cell>
        </row>
        <row r="365">
          <cell r="A365" t="str">
            <v>MURREYSCOMMERCIALCEXYD</v>
          </cell>
          <cell r="B365" t="str">
            <v>ONCALL</v>
          </cell>
          <cell r="C365" t="str">
            <v>2111</v>
          </cell>
          <cell r="D365" t="str">
            <v>COMMERCIAL</v>
          </cell>
          <cell r="E365" t="b">
            <v>1</v>
          </cell>
          <cell r="F365" t="b">
            <v>0</v>
          </cell>
          <cell r="G365" t="str">
            <v>MURREYS</v>
          </cell>
          <cell r="H365">
            <v>3155</v>
          </cell>
          <cell r="I365" t="str">
            <v>CEXYD</v>
          </cell>
          <cell r="J365" t="str">
            <v>CMML EXTRA YARDAGE</v>
          </cell>
          <cell r="K365">
            <v>25.92</v>
          </cell>
          <cell r="L365">
            <v>25.92</v>
          </cell>
        </row>
        <row r="366">
          <cell r="A366" t="str">
            <v>ORTINGCOMMERCIALCEXYD</v>
          </cell>
          <cell r="B366" t="str">
            <v>ONCALL</v>
          </cell>
          <cell r="C366" t="str">
            <v>2111</v>
          </cell>
          <cell r="D366" t="str">
            <v>COMMERCIAL</v>
          </cell>
          <cell r="E366" t="b">
            <v>1</v>
          </cell>
          <cell r="F366" t="b">
            <v>0</v>
          </cell>
          <cell r="G366" t="str">
            <v>ORTING</v>
          </cell>
          <cell r="H366">
            <v>3155</v>
          </cell>
          <cell r="I366" t="str">
            <v>CEXYD</v>
          </cell>
          <cell r="J366" t="str">
            <v>CMML EXTRA YARDAGE</v>
          </cell>
          <cell r="K366">
            <v>16.149999999999999</v>
          </cell>
          <cell r="L366">
            <v>16.149999999999999</v>
          </cell>
        </row>
        <row r="367">
          <cell r="A367" t="str">
            <v>PUYALLUPCOMMERCIALCEXYD</v>
          </cell>
          <cell r="B367" t="str">
            <v>ONCALL</v>
          </cell>
          <cell r="C367" t="str">
            <v>2111</v>
          </cell>
          <cell r="D367" t="str">
            <v>COMMERCIAL</v>
          </cell>
          <cell r="E367" t="b">
            <v>1</v>
          </cell>
          <cell r="F367" t="b">
            <v>0</v>
          </cell>
          <cell r="G367" t="str">
            <v>PUYALLUP</v>
          </cell>
          <cell r="H367">
            <v>3155</v>
          </cell>
          <cell r="I367" t="str">
            <v>CEXYD</v>
          </cell>
          <cell r="J367" t="str">
            <v>CMML EXTRA YARDAGE</v>
          </cell>
          <cell r="K367">
            <v>37.01</v>
          </cell>
          <cell r="L367">
            <v>37.01</v>
          </cell>
        </row>
        <row r="368">
          <cell r="A368" t="str">
            <v>RUSTONCOMMERCIALCEXYD</v>
          </cell>
          <cell r="B368" t="str">
            <v>ONCALL</v>
          </cell>
          <cell r="C368" t="str">
            <v>2111</v>
          </cell>
          <cell r="D368" t="str">
            <v>COMMERCIAL</v>
          </cell>
          <cell r="E368" t="b">
            <v>1</v>
          </cell>
          <cell r="F368" t="b">
            <v>0</v>
          </cell>
          <cell r="G368" t="str">
            <v>RUSTON</v>
          </cell>
          <cell r="H368">
            <v>3155</v>
          </cell>
          <cell r="I368" t="str">
            <v>CEXYD</v>
          </cell>
          <cell r="J368" t="str">
            <v>CMML EXTRA YARDAGE</v>
          </cell>
          <cell r="K368">
            <v>49.46</v>
          </cell>
          <cell r="L368">
            <v>49.46</v>
          </cell>
        </row>
        <row r="369">
          <cell r="A369" t="str">
            <v>SOUTH PRAIRIECOMMERCIALCEXYD</v>
          </cell>
          <cell r="B369" t="str">
            <v>ONCALL</v>
          </cell>
          <cell r="C369" t="str">
            <v>2111</v>
          </cell>
          <cell r="D369" t="str">
            <v>COMMERCIAL</v>
          </cell>
          <cell r="E369" t="b">
            <v>1</v>
          </cell>
          <cell r="F369" t="b">
            <v>0</v>
          </cell>
          <cell r="G369" t="str">
            <v>SOUTH PRAIRIE</v>
          </cell>
          <cell r="H369">
            <v>3155</v>
          </cell>
          <cell r="I369" t="str">
            <v>CEXYD</v>
          </cell>
          <cell r="J369" t="str">
            <v>CMML EXTRA YARDAGE</v>
          </cell>
          <cell r="K369">
            <v>25.8</v>
          </cell>
          <cell r="L369">
            <v>25.8</v>
          </cell>
        </row>
        <row r="370">
          <cell r="A370" t="str">
            <v>SUMNERCOMMERCIALCEXYD</v>
          </cell>
          <cell r="B370" t="str">
            <v>ONCALL</v>
          </cell>
          <cell r="C370" t="str">
            <v>2111</v>
          </cell>
          <cell r="D370" t="str">
            <v>COMMERCIAL</v>
          </cell>
          <cell r="E370" t="b">
            <v>1</v>
          </cell>
          <cell r="F370" t="b">
            <v>0</v>
          </cell>
          <cell r="G370" t="str">
            <v>SUMNER</v>
          </cell>
          <cell r="H370">
            <v>3155</v>
          </cell>
          <cell r="I370" t="str">
            <v>CEXYD</v>
          </cell>
          <cell r="J370" t="str">
            <v>CMML EXTRA YARDAGE</v>
          </cell>
          <cell r="K370">
            <v>46.02</v>
          </cell>
          <cell r="L370">
            <v>46.02</v>
          </cell>
        </row>
        <row r="371">
          <cell r="A371" t="str">
            <v>VASHONCOMMERCIALCEXYD</v>
          </cell>
          <cell r="B371" t="str">
            <v>ONCALL</v>
          </cell>
          <cell r="C371" t="str">
            <v>2111</v>
          </cell>
          <cell r="D371" t="str">
            <v>COMMERCIAL</v>
          </cell>
          <cell r="E371" t="b">
            <v>1</v>
          </cell>
          <cell r="F371" t="b">
            <v>0</v>
          </cell>
          <cell r="G371" t="str">
            <v>VASHON</v>
          </cell>
          <cell r="H371">
            <v>3155</v>
          </cell>
          <cell r="I371" t="str">
            <v>CEXYD</v>
          </cell>
          <cell r="J371" t="str">
            <v>CMML EXTRA YARDAGE</v>
          </cell>
          <cell r="K371">
            <v>16.25</v>
          </cell>
          <cell r="L371">
            <v>16.25</v>
          </cell>
        </row>
        <row r="372">
          <cell r="A372" t="str">
            <v>DMRCOMMERCIAL RECYCLECEXYDRECY</v>
          </cell>
          <cell r="B372" t="e">
            <v>#N/A</v>
          </cell>
          <cell r="C372" t="str">
            <v>2111</v>
          </cell>
          <cell r="D372" t="str">
            <v>COMMERCIAL RECYCLE</v>
          </cell>
          <cell r="E372" t="b">
            <v>1</v>
          </cell>
          <cell r="F372" t="b">
            <v>0</v>
          </cell>
          <cell r="G372" t="str">
            <v>DMR</v>
          </cell>
          <cell r="H372">
            <v>3570</v>
          </cell>
          <cell r="I372" t="str">
            <v>CEXYDRECY</v>
          </cell>
          <cell r="J372" t="str">
            <v>CMML EXTRA REC YARDAGE</v>
          </cell>
          <cell r="K372">
            <v>17</v>
          </cell>
          <cell r="L372">
            <v>17</v>
          </cell>
        </row>
        <row r="373">
          <cell r="A373" t="str">
            <v>DMR-BCOMMERCIAL RECYCLECEXYDRECY</v>
          </cell>
          <cell r="B373" t="e">
            <v>#N/A</v>
          </cell>
          <cell r="C373" t="str">
            <v>2111</v>
          </cell>
          <cell r="D373" t="str">
            <v>COMMERCIAL RECYCLE</v>
          </cell>
          <cell r="E373" t="b">
            <v>1</v>
          </cell>
          <cell r="F373" t="b">
            <v>0</v>
          </cell>
          <cell r="G373" t="str">
            <v>DMR-B</v>
          </cell>
          <cell r="H373">
            <v>3570</v>
          </cell>
          <cell r="I373" t="str">
            <v>CEXYDRECY</v>
          </cell>
          <cell r="J373" t="str">
            <v>CMML EXTRA REC YARDAGE</v>
          </cell>
          <cell r="K373">
            <v>13.65</v>
          </cell>
          <cell r="L373">
            <v>13.65</v>
          </cell>
        </row>
        <row r="374">
          <cell r="A374" t="str">
            <v>DMR-BLCOMMERCIAL RECYCLECEXYDRECY</v>
          </cell>
          <cell r="B374" t="e">
            <v>#N/A</v>
          </cell>
          <cell r="C374" t="str">
            <v>2111</v>
          </cell>
          <cell r="D374" t="str">
            <v>COMMERCIAL RECYCLE</v>
          </cell>
          <cell r="E374" t="b">
            <v>1</v>
          </cell>
          <cell r="F374" t="b">
            <v>0</v>
          </cell>
          <cell r="G374" t="str">
            <v>DMR-BL</v>
          </cell>
          <cell r="H374">
            <v>3570</v>
          </cell>
          <cell r="I374" t="str">
            <v>CEXYDRECY</v>
          </cell>
          <cell r="J374" t="str">
            <v>CMML EXTRA REC YARDAGE</v>
          </cell>
          <cell r="K374">
            <v>9.9600000000000009</v>
          </cell>
          <cell r="L374">
            <v>9.9600000000000009</v>
          </cell>
        </row>
        <row r="375">
          <cell r="A375" t="str">
            <v>DMR-CPCOMMERCIAL RECYCLECEXYDRECY</v>
          </cell>
          <cell r="B375" t="e">
            <v>#N/A</v>
          </cell>
          <cell r="C375" t="str">
            <v>2111</v>
          </cell>
          <cell r="D375" t="str">
            <v>COMMERCIAL RECYCLE</v>
          </cell>
          <cell r="E375" t="b">
            <v>1</v>
          </cell>
          <cell r="F375" t="b">
            <v>0</v>
          </cell>
          <cell r="G375" t="str">
            <v>DMR-CP</v>
          </cell>
          <cell r="H375">
            <v>3570</v>
          </cell>
          <cell r="I375" t="str">
            <v>CEXYDRECY</v>
          </cell>
          <cell r="J375" t="str">
            <v>CMML EXTRA REC YARDAGE</v>
          </cell>
          <cell r="K375">
            <v>9.59</v>
          </cell>
          <cell r="L375">
            <v>9.59</v>
          </cell>
        </row>
        <row r="376">
          <cell r="A376" t="str">
            <v>DMR-MILCOMMERCIAL RECYCLECEXYDRECY</v>
          </cell>
          <cell r="B376" t="e">
            <v>#N/A</v>
          </cell>
          <cell r="C376" t="str">
            <v>2111</v>
          </cell>
          <cell r="D376" t="str">
            <v>COMMERCIAL RECYCLE</v>
          </cell>
          <cell r="E376" t="b">
            <v>1</v>
          </cell>
          <cell r="F376" t="b">
            <v>0</v>
          </cell>
          <cell r="G376" t="str">
            <v>DMR-MIL</v>
          </cell>
          <cell r="H376">
            <v>3570</v>
          </cell>
          <cell r="I376" t="str">
            <v>CEXYDRECY</v>
          </cell>
          <cell r="J376" t="str">
            <v>CMML EXTRA REC YARDAGE</v>
          </cell>
          <cell r="K376">
            <v>14.48</v>
          </cell>
          <cell r="L376">
            <v>14.48</v>
          </cell>
        </row>
        <row r="377">
          <cell r="A377" t="str">
            <v>BONNEY LAKECOMMERCIALCLOCK</v>
          </cell>
          <cell r="B377" t="str">
            <v>MONTHLY ARREARS</v>
          </cell>
          <cell r="C377" t="str">
            <v>2111</v>
          </cell>
          <cell r="D377" t="str">
            <v>COMMERCIAL</v>
          </cell>
          <cell r="E377" t="b">
            <v>0</v>
          </cell>
          <cell r="F377" t="b">
            <v>0</v>
          </cell>
          <cell r="G377" t="str">
            <v>BONNEY LAKE</v>
          </cell>
          <cell r="H377">
            <v>2220</v>
          </cell>
          <cell r="I377" t="str">
            <v>CLOCK</v>
          </cell>
          <cell r="J377" t="str">
            <v>LOCK AND/OR UNLOCK CHARGE</v>
          </cell>
          <cell r="K377">
            <v>9.7799999999999994</v>
          </cell>
          <cell r="L377">
            <v>9.7799999999999994</v>
          </cell>
        </row>
        <row r="378">
          <cell r="A378" t="str">
            <v>BUCKLEYCOMMERCIALCLOCK</v>
          </cell>
          <cell r="B378" t="str">
            <v>MONTHLY ARREARS</v>
          </cell>
          <cell r="C378" t="str">
            <v>2111</v>
          </cell>
          <cell r="D378" t="str">
            <v>COMMERCIAL</v>
          </cell>
          <cell r="E378" t="b">
            <v>0</v>
          </cell>
          <cell r="F378" t="b">
            <v>0</v>
          </cell>
          <cell r="G378" t="str">
            <v>BUCKLEY</v>
          </cell>
          <cell r="H378">
            <v>2220</v>
          </cell>
          <cell r="I378" t="str">
            <v>CLOCK</v>
          </cell>
          <cell r="J378" t="str">
            <v>LOCK AND/OR UNLOCK CHARGE</v>
          </cell>
          <cell r="K378">
            <v>7.5</v>
          </cell>
          <cell r="L378">
            <v>7.5</v>
          </cell>
        </row>
        <row r="379">
          <cell r="A379" t="str">
            <v>M-EDGEWOODCOMMERCIALCLOCK</v>
          </cell>
          <cell r="B379" t="str">
            <v>MONTHLY ARREARS</v>
          </cell>
          <cell r="C379" t="str">
            <v>2111</v>
          </cell>
          <cell r="D379" t="str">
            <v>COMMERCIAL</v>
          </cell>
          <cell r="E379" t="b">
            <v>0</v>
          </cell>
          <cell r="F379" t="b">
            <v>0</v>
          </cell>
          <cell r="G379" t="str">
            <v>M-EDGEWOOD</v>
          </cell>
          <cell r="H379">
            <v>2220</v>
          </cell>
          <cell r="I379" t="str">
            <v>CLOCK</v>
          </cell>
          <cell r="J379" t="str">
            <v>LOCK AND/OR UNLOCK CHARGE</v>
          </cell>
          <cell r="K379">
            <v>4.76</v>
          </cell>
          <cell r="L379">
            <v>4.76</v>
          </cell>
        </row>
        <row r="380">
          <cell r="A380" t="str">
            <v>M-FIFECOMMERCIALCLOCK</v>
          </cell>
          <cell r="B380" t="str">
            <v>MONTHLY ARREARS</v>
          </cell>
          <cell r="C380" t="str">
            <v>2111</v>
          </cell>
          <cell r="D380" t="str">
            <v>COMMERCIAL</v>
          </cell>
          <cell r="E380" t="b">
            <v>0</v>
          </cell>
          <cell r="F380" t="b">
            <v>0</v>
          </cell>
          <cell r="G380" t="str">
            <v>M-FIFE</v>
          </cell>
          <cell r="H380">
            <v>2220</v>
          </cell>
          <cell r="I380" t="str">
            <v>CLOCK</v>
          </cell>
          <cell r="J380" t="str">
            <v>LOCK AND/OR UNLOCK CHARGE</v>
          </cell>
          <cell r="K380">
            <v>4.76</v>
          </cell>
          <cell r="L380">
            <v>4.76</v>
          </cell>
        </row>
        <row r="381">
          <cell r="A381" t="str">
            <v>MILTONCOMMERCIALCLOCK</v>
          </cell>
          <cell r="B381" t="str">
            <v>MONTHLY ARREARS</v>
          </cell>
          <cell r="C381" t="str">
            <v>2111</v>
          </cell>
          <cell r="D381" t="str">
            <v>COMMERCIAL</v>
          </cell>
          <cell r="E381" t="b">
            <v>0</v>
          </cell>
          <cell r="F381" t="b">
            <v>0</v>
          </cell>
          <cell r="G381" t="str">
            <v>MILTON</v>
          </cell>
          <cell r="H381">
            <v>2220</v>
          </cell>
          <cell r="I381" t="str">
            <v>CLOCK</v>
          </cell>
          <cell r="J381" t="str">
            <v>LOCK AND/OR UNLOCK CHARGE</v>
          </cell>
          <cell r="K381">
            <v>9.7799999999999994</v>
          </cell>
          <cell r="L381">
            <v>9.7799999999999994</v>
          </cell>
        </row>
        <row r="382">
          <cell r="A382" t="str">
            <v>MURREYSCOMMERCIALCLOCK</v>
          </cell>
          <cell r="B382" t="str">
            <v>MONTHLY ARREARS</v>
          </cell>
          <cell r="C382" t="str">
            <v>2111</v>
          </cell>
          <cell r="D382" t="str">
            <v>COMMERCIAL</v>
          </cell>
          <cell r="E382" t="b">
            <v>0</v>
          </cell>
          <cell r="F382" t="b">
            <v>0</v>
          </cell>
          <cell r="G382" t="str">
            <v>MURREYS</v>
          </cell>
          <cell r="H382">
            <v>2220</v>
          </cell>
          <cell r="I382" t="str">
            <v>CLOCK</v>
          </cell>
          <cell r="J382" t="str">
            <v>LOCK AND/OR UNLOCK CHARGE</v>
          </cell>
          <cell r="K382">
            <v>4.76</v>
          </cell>
          <cell r="L382">
            <v>4.76</v>
          </cell>
        </row>
        <row r="383">
          <cell r="A383" t="str">
            <v>ORTINGCOMMERCIALCLOCK</v>
          </cell>
          <cell r="B383" t="str">
            <v>MONTHLY ARREARS</v>
          </cell>
          <cell r="C383" t="str">
            <v>2111</v>
          </cell>
          <cell r="D383" t="str">
            <v>COMMERCIAL</v>
          </cell>
          <cell r="E383" t="b">
            <v>0</v>
          </cell>
          <cell r="F383" t="b">
            <v>0</v>
          </cell>
          <cell r="G383" t="str">
            <v>ORTING</v>
          </cell>
          <cell r="H383">
            <v>2220</v>
          </cell>
          <cell r="I383" t="str">
            <v>CLOCK</v>
          </cell>
          <cell r="J383" t="str">
            <v>LOCK AND/OR UNLOCK CHARGE</v>
          </cell>
          <cell r="K383">
            <v>9.76</v>
          </cell>
          <cell r="L383">
            <v>9.76</v>
          </cell>
        </row>
        <row r="384">
          <cell r="A384" t="str">
            <v>PUYALLUPCOMMERCIALCLOCK</v>
          </cell>
          <cell r="B384" t="str">
            <v>MONTHLY ARREARS</v>
          </cell>
          <cell r="C384" t="str">
            <v>2111</v>
          </cell>
          <cell r="D384" t="str">
            <v>COMMERCIAL</v>
          </cell>
          <cell r="E384" t="b">
            <v>0</v>
          </cell>
          <cell r="F384" t="b">
            <v>0</v>
          </cell>
          <cell r="G384" t="str">
            <v>PUYALLUP</v>
          </cell>
          <cell r="H384">
            <v>2220</v>
          </cell>
          <cell r="I384" t="str">
            <v>CLOCK</v>
          </cell>
          <cell r="J384" t="str">
            <v>LOCK AND/OR UNLOCK CHARGE</v>
          </cell>
          <cell r="K384">
            <v>9.82</v>
          </cell>
          <cell r="L384">
            <v>9.82</v>
          </cell>
        </row>
        <row r="385">
          <cell r="A385" t="str">
            <v>RUSTONCOMMERCIALCLOCK</v>
          </cell>
          <cell r="B385" t="str">
            <v>MONTHLY ARREARS</v>
          </cell>
          <cell r="C385" t="str">
            <v>2111</v>
          </cell>
          <cell r="D385" t="str">
            <v>COMMERCIAL</v>
          </cell>
          <cell r="E385" t="b">
            <v>0</v>
          </cell>
          <cell r="F385" t="b">
            <v>0</v>
          </cell>
          <cell r="G385" t="str">
            <v>RUSTON</v>
          </cell>
          <cell r="H385">
            <v>2220</v>
          </cell>
          <cell r="I385" t="str">
            <v>CLOCK</v>
          </cell>
          <cell r="J385" t="str">
            <v>LOCK AND/OR UNLOCK CHARGE</v>
          </cell>
          <cell r="K385">
            <v>5.17</v>
          </cell>
          <cell r="L385">
            <v>5.17</v>
          </cell>
        </row>
        <row r="386">
          <cell r="A386" t="str">
            <v>SOUTH PRAIRIECOMMERCIALCLOCK</v>
          </cell>
          <cell r="B386" t="str">
            <v>MONTHLY ARREARS</v>
          </cell>
          <cell r="C386" t="str">
            <v>2111</v>
          </cell>
          <cell r="D386" t="str">
            <v>COMMERCIAL</v>
          </cell>
          <cell r="E386" t="b">
            <v>0</v>
          </cell>
          <cell r="F386" t="b">
            <v>0</v>
          </cell>
          <cell r="G386" t="str">
            <v>SOUTH PRAIRIE</v>
          </cell>
          <cell r="H386">
            <v>2220</v>
          </cell>
          <cell r="I386" t="str">
            <v>CLOCK</v>
          </cell>
          <cell r="J386" t="str">
            <v>LOCK AND/OR UNLOCK CHARGE</v>
          </cell>
          <cell r="K386">
            <v>4.72</v>
          </cell>
          <cell r="L386">
            <v>4.72</v>
          </cell>
        </row>
        <row r="387">
          <cell r="A387" t="str">
            <v>SUMNERCOMMERCIALCLOCK</v>
          </cell>
          <cell r="B387" t="str">
            <v>MONTHLY ARREARS</v>
          </cell>
          <cell r="C387" t="str">
            <v>2111</v>
          </cell>
          <cell r="D387" t="str">
            <v>COMMERCIAL</v>
          </cell>
          <cell r="E387" t="b">
            <v>0</v>
          </cell>
          <cell r="F387" t="b">
            <v>0</v>
          </cell>
          <cell r="G387" t="str">
            <v>SUMNER</v>
          </cell>
          <cell r="H387">
            <v>2220</v>
          </cell>
          <cell r="I387" t="str">
            <v>CLOCK</v>
          </cell>
          <cell r="J387" t="str">
            <v>LOCK AND/OR UNLOCK CHARGE</v>
          </cell>
          <cell r="K387">
            <v>4.8899999999999997</v>
          </cell>
          <cell r="L387">
            <v>4.8899999999999997</v>
          </cell>
        </row>
        <row r="388">
          <cell r="A388" t="str">
            <v>VASHONCOMMERCIALCLOCK</v>
          </cell>
          <cell r="B388" t="str">
            <v>MONTHLY ARREARS</v>
          </cell>
          <cell r="C388" t="str">
            <v>2111</v>
          </cell>
          <cell r="D388" t="str">
            <v>COMMERCIAL</v>
          </cell>
          <cell r="E388" t="b">
            <v>0</v>
          </cell>
          <cell r="F388" t="b">
            <v>0</v>
          </cell>
          <cell r="G388" t="str">
            <v>VASHON</v>
          </cell>
          <cell r="H388">
            <v>2220</v>
          </cell>
          <cell r="I388" t="str">
            <v>CLOCK</v>
          </cell>
          <cell r="J388" t="str">
            <v>LOCK AND/OR UNLOCK CHARGE</v>
          </cell>
          <cell r="K388">
            <v>4.84</v>
          </cell>
          <cell r="L388">
            <v>4.84</v>
          </cell>
        </row>
        <row r="389">
          <cell r="A389" t="str">
            <v>DMRCOMMERCIAL RECYCLECLOCKRECY</v>
          </cell>
          <cell r="B389" t="e">
            <v>#N/A</v>
          </cell>
          <cell r="C389" t="str">
            <v>2111</v>
          </cell>
          <cell r="D389" t="str">
            <v>COMMERCIAL RECYCLE</v>
          </cell>
          <cell r="E389" t="b">
            <v>0</v>
          </cell>
          <cell r="F389" t="b">
            <v>0</v>
          </cell>
          <cell r="G389" t="str">
            <v>DMR</v>
          </cell>
          <cell r="H389">
            <v>3571</v>
          </cell>
          <cell r="I389" t="str">
            <v>CLOCKRECY</v>
          </cell>
          <cell r="J389" t="str">
            <v>LOCK AND/OR UNLOCK CHARGE</v>
          </cell>
          <cell r="K389">
            <v>7</v>
          </cell>
          <cell r="L389">
            <v>7</v>
          </cell>
        </row>
        <row r="390">
          <cell r="A390" t="str">
            <v>DMR-BCOMMERCIAL RECYCLECLOCKRECY</v>
          </cell>
          <cell r="B390" t="e">
            <v>#N/A</v>
          </cell>
          <cell r="C390" t="str">
            <v>2111</v>
          </cell>
          <cell r="D390" t="str">
            <v>COMMERCIAL RECYCLE</v>
          </cell>
          <cell r="E390" t="b">
            <v>0</v>
          </cell>
          <cell r="F390" t="b">
            <v>0</v>
          </cell>
          <cell r="G390" t="str">
            <v>DMR-B</v>
          </cell>
          <cell r="H390">
            <v>3571</v>
          </cell>
          <cell r="I390" t="str">
            <v>CLOCKRECY</v>
          </cell>
          <cell r="J390" t="str">
            <v>LOCK AND/OR UNLOCK CHARGE</v>
          </cell>
          <cell r="K390">
            <v>4.8</v>
          </cell>
          <cell r="L390">
            <v>4.8</v>
          </cell>
        </row>
        <row r="391">
          <cell r="A391" t="str">
            <v>DMR-BLCOMMERCIAL RECYCLECLOCKRECY</v>
          </cell>
          <cell r="B391" t="e">
            <v>#N/A</v>
          </cell>
          <cell r="C391" t="str">
            <v>2111</v>
          </cell>
          <cell r="D391" t="str">
            <v>COMMERCIAL RECYCLE</v>
          </cell>
          <cell r="E391" t="b">
            <v>0</v>
          </cell>
          <cell r="F391" t="b">
            <v>0</v>
          </cell>
          <cell r="G391" t="str">
            <v>DMR-BL</v>
          </cell>
          <cell r="H391">
            <v>3571</v>
          </cell>
          <cell r="I391" t="str">
            <v>CLOCKRECY</v>
          </cell>
          <cell r="J391" t="str">
            <v>LOCK AND/OR UNLOCK CHARGE</v>
          </cell>
          <cell r="K391">
            <v>4.8899999999999997</v>
          </cell>
          <cell r="L391">
            <v>4.8899999999999997</v>
          </cell>
        </row>
        <row r="392">
          <cell r="A392" t="str">
            <v>DMR-CPCOMMERCIAL RECYCLECLOCKRECY</v>
          </cell>
          <cell r="B392" t="e">
            <v>#N/A</v>
          </cell>
          <cell r="C392" t="str">
            <v>2111</v>
          </cell>
          <cell r="D392" t="str">
            <v>COMMERCIAL RECYCLE</v>
          </cell>
          <cell r="E392" t="b">
            <v>0</v>
          </cell>
          <cell r="F392" t="b">
            <v>0</v>
          </cell>
          <cell r="G392" t="str">
            <v>DMR-CP</v>
          </cell>
          <cell r="H392">
            <v>3571</v>
          </cell>
          <cell r="I392" t="str">
            <v>CLOCKRECY</v>
          </cell>
          <cell r="J392" t="str">
            <v>LOCK AND/OR UNLOCK CHARGE</v>
          </cell>
          <cell r="K392">
            <v>4.91</v>
          </cell>
          <cell r="L392">
            <v>4.91</v>
          </cell>
        </row>
        <row r="393">
          <cell r="A393" t="str">
            <v>DMR-MILCOMMERCIAL RECYCLECLOCKRECY</v>
          </cell>
          <cell r="B393" t="e">
            <v>#N/A</v>
          </cell>
          <cell r="C393" t="str">
            <v>2111</v>
          </cell>
          <cell r="D393" t="str">
            <v>COMMERCIAL RECYCLE</v>
          </cell>
          <cell r="E393" t="b">
            <v>0</v>
          </cell>
          <cell r="F393" t="b">
            <v>0</v>
          </cell>
          <cell r="G393" t="str">
            <v>DMR-MIL</v>
          </cell>
          <cell r="H393">
            <v>3571</v>
          </cell>
          <cell r="I393" t="str">
            <v>CLOCKRECY</v>
          </cell>
          <cell r="J393" t="str">
            <v>LOCK AND/OR UNLOCK CHARGE</v>
          </cell>
          <cell r="K393">
            <v>4.8899999999999997</v>
          </cell>
          <cell r="L393">
            <v>4.8899999999999997</v>
          </cell>
        </row>
        <row r="394">
          <cell r="A394" t="str">
            <v>BONNEY LAKEROLL OFFCPCONNECT</v>
          </cell>
          <cell r="B394" t="str">
            <v>ONCALL</v>
          </cell>
          <cell r="C394" t="str">
            <v>2111</v>
          </cell>
          <cell r="D394" t="str">
            <v>ROLL OFF</v>
          </cell>
          <cell r="E394" t="b">
            <v>1</v>
          </cell>
          <cell r="F394" t="b">
            <v>0</v>
          </cell>
          <cell r="G394" t="str">
            <v>BONNEY LAKE</v>
          </cell>
          <cell r="H394">
            <v>3173</v>
          </cell>
          <cell r="I394" t="str">
            <v>CPCONNECT</v>
          </cell>
          <cell r="J394" t="str">
            <v>COMP CONNECT/RECONNECT</v>
          </cell>
          <cell r="K394">
            <v>14.92</v>
          </cell>
          <cell r="L394">
            <v>14.92</v>
          </cell>
        </row>
        <row r="395">
          <cell r="A395" t="str">
            <v>CARBONADOROLL OFFCPCONNECT</v>
          </cell>
          <cell r="B395" t="str">
            <v>ONCALL</v>
          </cell>
          <cell r="C395" t="str">
            <v>2111</v>
          </cell>
          <cell r="D395" t="str">
            <v>ROLL OFF</v>
          </cell>
          <cell r="E395" t="b">
            <v>1</v>
          </cell>
          <cell r="F395" t="b">
            <v>0</v>
          </cell>
          <cell r="G395" t="str">
            <v>CARBONADO</v>
          </cell>
          <cell r="H395">
            <v>3173</v>
          </cell>
          <cell r="I395" t="str">
            <v>CPCONNECT</v>
          </cell>
          <cell r="J395" t="str">
            <v>COMP CONNECT/RECONNECT</v>
          </cell>
          <cell r="K395">
            <v>0</v>
          </cell>
          <cell r="L395">
            <v>0</v>
          </cell>
        </row>
        <row r="396">
          <cell r="A396" t="str">
            <v>M-EDGEWOODROLL OFFCPCONNECT</v>
          </cell>
          <cell r="B396" t="str">
            <v>ONCALL</v>
          </cell>
          <cell r="C396" t="str">
            <v>2111</v>
          </cell>
          <cell r="D396" t="str">
            <v>ROLL OFF</v>
          </cell>
          <cell r="E396" t="b">
            <v>1</v>
          </cell>
          <cell r="F396" t="b">
            <v>0</v>
          </cell>
          <cell r="G396" t="str">
            <v>M-EDGEWOOD</v>
          </cell>
          <cell r="H396">
            <v>3173</v>
          </cell>
          <cell r="I396" t="str">
            <v>CPCONNECT</v>
          </cell>
          <cell r="J396" t="str">
            <v>COMP CONNECT/RECONNECT</v>
          </cell>
          <cell r="K396">
            <v>7.17</v>
          </cell>
          <cell r="L396">
            <v>7.17</v>
          </cell>
        </row>
        <row r="397">
          <cell r="A397" t="str">
            <v>M-FIFEROLL OFFCPCONNECT</v>
          </cell>
          <cell r="B397" t="str">
            <v>ONCALL</v>
          </cell>
          <cell r="C397" t="str">
            <v>2111</v>
          </cell>
          <cell r="D397" t="str">
            <v>ROLL OFF</v>
          </cell>
          <cell r="E397" t="b">
            <v>1</v>
          </cell>
          <cell r="F397" t="b">
            <v>0</v>
          </cell>
          <cell r="G397" t="str">
            <v>M-FIFE</v>
          </cell>
          <cell r="H397">
            <v>3173</v>
          </cell>
          <cell r="I397" t="str">
            <v>CPCONNECT</v>
          </cell>
          <cell r="J397" t="str">
            <v>COMP CONNECT/RECONNECT</v>
          </cell>
          <cell r="K397">
            <v>7.17</v>
          </cell>
          <cell r="L397">
            <v>7.17</v>
          </cell>
        </row>
        <row r="398">
          <cell r="A398" t="str">
            <v>MURREYSROLL OFFCPCONNECT</v>
          </cell>
          <cell r="B398" t="str">
            <v>ONCALL</v>
          </cell>
          <cell r="C398" t="str">
            <v>2111</v>
          </cell>
          <cell r="D398" t="str">
            <v>ROLL OFF</v>
          </cell>
          <cell r="E398" t="b">
            <v>1</v>
          </cell>
          <cell r="F398" t="b">
            <v>0</v>
          </cell>
          <cell r="G398" t="str">
            <v>MURREYS</v>
          </cell>
          <cell r="H398">
            <v>3173</v>
          </cell>
          <cell r="I398" t="str">
            <v>CPCONNECT</v>
          </cell>
          <cell r="J398" t="str">
            <v>COMP CONNECT/RECONNECT</v>
          </cell>
          <cell r="K398">
            <v>7.17</v>
          </cell>
          <cell r="L398">
            <v>7.17</v>
          </cell>
        </row>
        <row r="399">
          <cell r="A399" t="str">
            <v>ORTINGROLL OFFCPCONNECT</v>
          </cell>
          <cell r="B399" t="str">
            <v>ONCALL</v>
          </cell>
          <cell r="C399" t="str">
            <v>2111</v>
          </cell>
          <cell r="D399" t="str">
            <v>ROLL OFF</v>
          </cell>
          <cell r="E399" t="b">
            <v>1</v>
          </cell>
          <cell r="F399" t="b">
            <v>0</v>
          </cell>
          <cell r="G399" t="str">
            <v>ORTING</v>
          </cell>
          <cell r="H399">
            <v>3173</v>
          </cell>
          <cell r="I399" t="str">
            <v>CPCONNECT</v>
          </cell>
          <cell r="J399" t="str">
            <v>COMP CONNECT/RECONNECT</v>
          </cell>
          <cell r="K399">
            <v>12.53</v>
          </cell>
          <cell r="L399">
            <v>12.53</v>
          </cell>
        </row>
        <row r="400">
          <cell r="A400" t="str">
            <v>PUYALLUPROLL OFFCPCONNECT</v>
          </cell>
          <cell r="B400" t="str">
            <v>ONCALL</v>
          </cell>
          <cell r="C400" t="str">
            <v>2111</v>
          </cell>
          <cell r="D400" t="str">
            <v>ROLL OFF</v>
          </cell>
          <cell r="E400" t="b">
            <v>1</v>
          </cell>
          <cell r="F400" t="b">
            <v>0</v>
          </cell>
          <cell r="G400" t="str">
            <v>PUYALLUP</v>
          </cell>
          <cell r="H400">
            <v>3173</v>
          </cell>
          <cell r="I400" t="str">
            <v>CPCONNECT</v>
          </cell>
          <cell r="J400" t="str">
            <v>COMP CONNECT/RECONNECT</v>
          </cell>
          <cell r="K400">
            <v>7.01</v>
          </cell>
          <cell r="L400">
            <v>7.01</v>
          </cell>
        </row>
        <row r="401">
          <cell r="A401" t="str">
            <v>RUSTONROLL OFFCPCONNECT</v>
          </cell>
          <cell r="B401" t="str">
            <v>ONCALL</v>
          </cell>
          <cell r="C401" t="str">
            <v>2111</v>
          </cell>
          <cell r="D401" t="str">
            <v>ROLL OFF</v>
          </cell>
          <cell r="E401" t="b">
            <v>1</v>
          </cell>
          <cell r="F401" t="b">
            <v>0</v>
          </cell>
          <cell r="G401" t="str">
            <v>RUSTON</v>
          </cell>
          <cell r="H401">
            <v>3173</v>
          </cell>
          <cell r="I401" t="str">
            <v>CPCONNECT</v>
          </cell>
          <cell r="J401" t="str">
            <v>COMP CONNECT/RECONNECT</v>
          </cell>
          <cell r="K401">
            <v>69.3</v>
          </cell>
          <cell r="L401">
            <v>69.3</v>
          </cell>
        </row>
        <row r="402">
          <cell r="A402" t="str">
            <v>SUMNERROLL OFFCPCONNECT</v>
          </cell>
          <cell r="B402" t="str">
            <v>ONCALL</v>
          </cell>
          <cell r="C402" t="str">
            <v>2111</v>
          </cell>
          <cell r="D402" t="str">
            <v>ROLL OFF</v>
          </cell>
          <cell r="E402" t="b">
            <v>1</v>
          </cell>
          <cell r="F402" t="b">
            <v>0</v>
          </cell>
          <cell r="G402" t="str">
            <v>SUMNER</v>
          </cell>
          <cell r="H402">
            <v>3173</v>
          </cell>
          <cell r="I402" t="str">
            <v>CPCONNECT</v>
          </cell>
          <cell r="J402" t="str">
            <v>COMP CONNECT/RECONNECT</v>
          </cell>
          <cell r="K402">
            <v>14.56</v>
          </cell>
          <cell r="L402">
            <v>14.56</v>
          </cell>
        </row>
        <row r="403">
          <cell r="A403" t="str">
            <v>VASHONROLL OFFCPCONNECT</v>
          </cell>
          <cell r="B403" t="str">
            <v>ONCALL</v>
          </cell>
          <cell r="C403" t="str">
            <v>2111</v>
          </cell>
          <cell r="D403" t="str">
            <v>ROLL OFF</v>
          </cell>
          <cell r="E403" t="b">
            <v>1</v>
          </cell>
          <cell r="F403" t="b">
            <v>0</v>
          </cell>
          <cell r="G403" t="str">
            <v>VASHON</v>
          </cell>
          <cell r="H403">
            <v>3173</v>
          </cell>
          <cell r="I403" t="str">
            <v>CPCONNECT</v>
          </cell>
          <cell r="J403" t="str">
            <v>COMP CONNECT/RECONNECT</v>
          </cell>
          <cell r="K403">
            <v>4.5199999999999996</v>
          </cell>
          <cell r="L403">
            <v>4.5199999999999996</v>
          </cell>
        </row>
        <row r="404">
          <cell r="A404" t="str">
            <v>CARBONADOROLL OFFCPHAUL10</v>
          </cell>
          <cell r="B404" t="str">
            <v>ONCALL</v>
          </cell>
          <cell r="C404" t="str">
            <v>2111</v>
          </cell>
          <cell r="D404" t="str">
            <v>ROLL OFF</v>
          </cell>
          <cell r="E404" t="b">
            <v>1</v>
          </cell>
          <cell r="F404" t="b">
            <v>0</v>
          </cell>
          <cell r="G404" t="str">
            <v>CARBONADO</v>
          </cell>
          <cell r="H404">
            <v>2612</v>
          </cell>
          <cell r="I404" t="str">
            <v>CPHAUL10</v>
          </cell>
          <cell r="J404" t="str">
            <v>10YD COMPACTOR-HAUL</v>
          </cell>
          <cell r="K404">
            <v>0</v>
          </cell>
          <cell r="L404">
            <v>0</v>
          </cell>
        </row>
        <row r="405">
          <cell r="A405" t="str">
            <v>M-EDGEWOODROLL OFFCPHAUL10</v>
          </cell>
          <cell r="B405" t="str">
            <v>ONCALL</v>
          </cell>
          <cell r="C405" t="str">
            <v>2111</v>
          </cell>
          <cell r="D405" t="str">
            <v>ROLL OFF</v>
          </cell>
          <cell r="E405" t="b">
            <v>1</v>
          </cell>
          <cell r="F405" t="b">
            <v>0</v>
          </cell>
          <cell r="G405" t="str">
            <v>M-EDGEWOOD</v>
          </cell>
          <cell r="H405">
            <v>2612</v>
          </cell>
          <cell r="I405" t="str">
            <v>CPHAUL10</v>
          </cell>
          <cell r="J405" t="str">
            <v>10YD COMPACTOR-HAUL</v>
          </cell>
          <cell r="K405">
            <v>136.87</v>
          </cell>
          <cell r="L405">
            <v>136.87</v>
          </cell>
        </row>
        <row r="406">
          <cell r="A406" t="str">
            <v>M-FIFEROLL OFFCPHAUL10</v>
          </cell>
          <cell r="B406" t="str">
            <v>ONCALL</v>
          </cell>
          <cell r="C406" t="str">
            <v>2111</v>
          </cell>
          <cell r="D406" t="str">
            <v>ROLL OFF</v>
          </cell>
          <cell r="E406" t="b">
            <v>1</v>
          </cell>
          <cell r="F406" t="b">
            <v>0</v>
          </cell>
          <cell r="G406" t="str">
            <v>M-FIFE</v>
          </cell>
          <cell r="H406">
            <v>2612</v>
          </cell>
          <cell r="I406" t="str">
            <v>CPHAUL10</v>
          </cell>
          <cell r="J406" t="str">
            <v>10YD COMPACTOR-HAUL</v>
          </cell>
          <cell r="K406">
            <v>136.87</v>
          </cell>
          <cell r="L406">
            <v>136.87</v>
          </cell>
        </row>
        <row r="407">
          <cell r="A407" t="str">
            <v>MURREYSROLL OFFCPHAUL10</v>
          </cell>
          <cell r="B407" t="str">
            <v>ONCALL</v>
          </cell>
          <cell r="C407" t="str">
            <v>2111</v>
          </cell>
          <cell r="D407" t="str">
            <v>ROLL OFF</v>
          </cell>
          <cell r="E407" t="b">
            <v>1</v>
          </cell>
          <cell r="F407" t="b">
            <v>0</v>
          </cell>
          <cell r="G407" t="str">
            <v>MURREYS</v>
          </cell>
          <cell r="H407">
            <v>2612</v>
          </cell>
          <cell r="I407" t="str">
            <v>CPHAUL10</v>
          </cell>
          <cell r="J407" t="str">
            <v>10YD COMPACTOR-HAUL</v>
          </cell>
          <cell r="K407">
            <v>136.87</v>
          </cell>
          <cell r="L407">
            <v>136.87</v>
          </cell>
        </row>
        <row r="408">
          <cell r="A408" t="str">
            <v>PUYALLUPROLL OFFCPHAUL10</v>
          </cell>
          <cell r="B408" t="str">
            <v>ONCALL</v>
          </cell>
          <cell r="C408" t="str">
            <v>2111</v>
          </cell>
          <cell r="D408" t="str">
            <v>ROLL OFF</v>
          </cell>
          <cell r="E408" t="b">
            <v>1</v>
          </cell>
          <cell r="F408" t="b">
            <v>0</v>
          </cell>
          <cell r="G408" t="str">
            <v>PUYALLUP</v>
          </cell>
          <cell r="H408">
            <v>2612</v>
          </cell>
          <cell r="I408" t="str">
            <v>CPHAUL10</v>
          </cell>
          <cell r="J408" t="str">
            <v>10YD COMPACTOR-HAUL</v>
          </cell>
          <cell r="K408">
            <v>147.68</v>
          </cell>
          <cell r="L408">
            <v>147.68</v>
          </cell>
        </row>
        <row r="409">
          <cell r="A409" t="str">
            <v>RUSTONROLL OFFCPHAUL10</v>
          </cell>
          <cell r="B409" t="str">
            <v>ONCALL</v>
          </cell>
          <cell r="C409" t="str">
            <v>2111</v>
          </cell>
          <cell r="D409" t="str">
            <v>ROLL OFF</v>
          </cell>
          <cell r="E409" t="b">
            <v>1</v>
          </cell>
          <cell r="F409" t="b">
            <v>0</v>
          </cell>
          <cell r="G409" t="str">
            <v>RUSTON</v>
          </cell>
          <cell r="H409">
            <v>2612</v>
          </cell>
          <cell r="I409" t="str">
            <v>CPHAUL10</v>
          </cell>
          <cell r="J409" t="str">
            <v>10YD COMPACTOR-HAUL</v>
          </cell>
          <cell r="K409">
            <v>248.24</v>
          </cell>
          <cell r="L409">
            <v>248.24</v>
          </cell>
        </row>
        <row r="410">
          <cell r="A410" t="str">
            <v>M-EDGEWOODROLL OFFCPHAUL15</v>
          </cell>
          <cell r="B410" t="str">
            <v>ONCALL</v>
          </cell>
          <cell r="C410" t="str">
            <v>2111</v>
          </cell>
          <cell r="D410" t="str">
            <v>ROLL OFF</v>
          </cell>
          <cell r="E410" t="b">
            <v>1</v>
          </cell>
          <cell r="F410" t="b">
            <v>0</v>
          </cell>
          <cell r="G410" t="str">
            <v>M-EDGEWOOD</v>
          </cell>
          <cell r="H410">
            <v>2613</v>
          </cell>
          <cell r="I410" t="str">
            <v>CPHAUL15</v>
          </cell>
          <cell r="J410" t="str">
            <v>15YD COMPACTOR-HAUL</v>
          </cell>
          <cell r="K410">
            <v>141.41999999999999</v>
          </cell>
          <cell r="L410">
            <v>141.41999999999999</v>
          </cell>
        </row>
        <row r="411">
          <cell r="A411" t="str">
            <v>M-FIFEROLL OFFCPHAUL15</v>
          </cell>
          <cell r="B411" t="str">
            <v>ONCALL</v>
          </cell>
          <cell r="C411" t="str">
            <v>2111</v>
          </cell>
          <cell r="D411" t="str">
            <v>ROLL OFF</v>
          </cell>
          <cell r="E411" t="b">
            <v>1</v>
          </cell>
          <cell r="F411" t="b">
            <v>0</v>
          </cell>
          <cell r="G411" t="str">
            <v>M-FIFE</v>
          </cell>
          <cell r="H411">
            <v>2613</v>
          </cell>
          <cell r="I411" t="str">
            <v>CPHAUL15</v>
          </cell>
          <cell r="J411" t="str">
            <v>15YD COMPACTOR-HAUL</v>
          </cell>
          <cell r="K411">
            <v>141.41999999999999</v>
          </cell>
          <cell r="L411">
            <v>141.41999999999999</v>
          </cell>
        </row>
        <row r="412">
          <cell r="A412" t="str">
            <v>MURREYSROLL OFFCPHAUL15</v>
          </cell>
          <cell r="B412" t="str">
            <v>ONCALL</v>
          </cell>
          <cell r="C412" t="str">
            <v>2111</v>
          </cell>
          <cell r="D412" t="str">
            <v>ROLL OFF</v>
          </cell>
          <cell r="E412" t="b">
            <v>1</v>
          </cell>
          <cell r="F412" t="b">
            <v>0</v>
          </cell>
          <cell r="G412" t="str">
            <v>MURREYS</v>
          </cell>
          <cell r="H412">
            <v>2613</v>
          </cell>
          <cell r="I412" t="str">
            <v>CPHAUL15</v>
          </cell>
          <cell r="J412" t="str">
            <v>15YD COMPACTOR-HAUL</v>
          </cell>
          <cell r="K412">
            <v>141.41999999999999</v>
          </cell>
          <cell r="L412">
            <v>141.41999999999999</v>
          </cell>
        </row>
        <row r="413">
          <cell r="A413" t="str">
            <v>PUYALLUPROLL OFFCPHAUL15</v>
          </cell>
          <cell r="B413" t="str">
            <v>ONCALL</v>
          </cell>
          <cell r="C413" t="str">
            <v>2111</v>
          </cell>
          <cell r="D413" t="str">
            <v>ROLL OFF</v>
          </cell>
          <cell r="E413" t="b">
            <v>1</v>
          </cell>
          <cell r="F413" t="b">
            <v>0</v>
          </cell>
          <cell r="G413" t="str">
            <v>PUYALLUP</v>
          </cell>
          <cell r="H413">
            <v>2613</v>
          </cell>
          <cell r="I413" t="str">
            <v>CPHAUL15</v>
          </cell>
          <cell r="J413" t="str">
            <v>15YD COMPACTOR-HAUL</v>
          </cell>
          <cell r="K413">
            <v>147.68</v>
          </cell>
          <cell r="L413">
            <v>147.68</v>
          </cell>
        </row>
        <row r="414">
          <cell r="A414" t="str">
            <v>RUSTONROLL OFFCPHAUL15</v>
          </cell>
          <cell r="B414" t="str">
            <v>ONCALL</v>
          </cell>
          <cell r="C414" t="str">
            <v>2111</v>
          </cell>
          <cell r="D414" t="str">
            <v>ROLL OFF</v>
          </cell>
          <cell r="E414" t="b">
            <v>1</v>
          </cell>
          <cell r="F414" t="b">
            <v>0</v>
          </cell>
          <cell r="G414" t="str">
            <v>RUSTON</v>
          </cell>
          <cell r="H414">
            <v>2613</v>
          </cell>
          <cell r="I414" t="str">
            <v>CPHAUL15</v>
          </cell>
          <cell r="J414" t="str">
            <v>15YD COMPACTOR-HAUL</v>
          </cell>
          <cell r="K414">
            <v>248.24</v>
          </cell>
          <cell r="L414">
            <v>248.24</v>
          </cell>
        </row>
        <row r="415">
          <cell r="A415" t="str">
            <v>BONNEY LAKEROLL OFFCPHAUL20</v>
          </cell>
          <cell r="B415" t="str">
            <v>ONCALL</v>
          </cell>
          <cell r="C415" t="str">
            <v>2111</v>
          </cell>
          <cell r="D415" t="str">
            <v>ROLL OFF</v>
          </cell>
          <cell r="E415" t="b">
            <v>1</v>
          </cell>
          <cell r="F415" t="b">
            <v>0</v>
          </cell>
          <cell r="G415" t="str">
            <v>BONNEY LAKE</v>
          </cell>
          <cell r="H415">
            <v>2614</v>
          </cell>
          <cell r="I415" t="str">
            <v>CPHAUL20</v>
          </cell>
          <cell r="J415" t="str">
            <v>20YD COMPACTOR-HAUL</v>
          </cell>
          <cell r="K415">
            <v>168.07</v>
          </cell>
          <cell r="L415">
            <v>168.07</v>
          </cell>
        </row>
        <row r="416">
          <cell r="A416" t="str">
            <v>M-EDGEWOODROLL OFFCPHAUL20</v>
          </cell>
          <cell r="B416" t="str">
            <v>ONCALL</v>
          </cell>
          <cell r="C416" t="str">
            <v>2111</v>
          </cell>
          <cell r="D416" t="str">
            <v>ROLL OFF</v>
          </cell>
          <cell r="E416" t="b">
            <v>1</v>
          </cell>
          <cell r="F416" t="b">
            <v>0</v>
          </cell>
          <cell r="G416" t="str">
            <v>M-EDGEWOOD</v>
          </cell>
          <cell r="H416">
            <v>2614</v>
          </cell>
          <cell r="I416" t="str">
            <v>CPHAUL20</v>
          </cell>
          <cell r="J416" t="str">
            <v>20YD COMPACTOR-HAUL</v>
          </cell>
          <cell r="K416">
            <v>141.41999999999999</v>
          </cell>
          <cell r="L416">
            <v>141.41999999999999</v>
          </cell>
        </row>
        <row r="417">
          <cell r="A417" t="str">
            <v>M-FIFEROLL OFFCPHAUL20</v>
          </cell>
          <cell r="B417" t="str">
            <v>ONCALL</v>
          </cell>
          <cell r="C417" t="str">
            <v>2111</v>
          </cell>
          <cell r="D417" t="str">
            <v>ROLL OFF</v>
          </cell>
          <cell r="E417" t="b">
            <v>1</v>
          </cell>
          <cell r="F417" t="b">
            <v>0</v>
          </cell>
          <cell r="G417" t="str">
            <v>M-FIFE</v>
          </cell>
          <cell r="H417">
            <v>2614</v>
          </cell>
          <cell r="I417" t="str">
            <v>CPHAUL20</v>
          </cell>
          <cell r="J417" t="str">
            <v>20YD COMPACTOR-HAUL</v>
          </cell>
          <cell r="K417">
            <v>141.41999999999999</v>
          </cell>
          <cell r="L417">
            <v>141.41999999999999</v>
          </cell>
        </row>
        <row r="418">
          <cell r="A418" t="str">
            <v>MURREYSROLL OFFCPHAUL20</v>
          </cell>
          <cell r="B418" t="str">
            <v>ONCALL</v>
          </cell>
          <cell r="C418" t="str">
            <v>2111</v>
          </cell>
          <cell r="D418" t="str">
            <v>ROLL OFF</v>
          </cell>
          <cell r="E418" t="b">
            <v>1</v>
          </cell>
          <cell r="F418" t="b">
            <v>0</v>
          </cell>
          <cell r="G418" t="str">
            <v>MURREYS</v>
          </cell>
          <cell r="H418">
            <v>2614</v>
          </cell>
          <cell r="I418" t="str">
            <v>CPHAUL20</v>
          </cell>
          <cell r="J418" t="str">
            <v>20YD COMPACTOR-HAUL</v>
          </cell>
          <cell r="K418">
            <v>141.41999999999999</v>
          </cell>
          <cell r="L418">
            <v>141.41999999999999</v>
          </cell>
        </row>
        <row r="419">
          <cell r="A419" t="str">
            <v>PUYALLUPROLL OFFCPHAUL20</v>
          </cell>
          <cell r="B419" t="str">
            <v>ONCALL</v>
          </cell>
          <cell r="C419" t="str">
            <v>2111</v>
          </cell>
          <cell r="D419" t="str">
            <v>ROLL OFF</v>
          </cell>
          <cell r="E419" t="b">
            <v>1</v>
          </cell>
          <cell r="F419" t="b">
            <v>0</v>
          </cell>
          <cell r="G419" t="str">
            <v>PUYALLUP</v>
          </cell>
          <cell r="H419">
            <v>2614</v>
          </cell>
          <cell r="I419" t="str">
            <v>CPHAUL20</v>
          </cell>
          <cell r="J419" t="str">
            <v>20YD COMPACTOR-HAUL</v>
          </cell>
          <cell r="K419">
            <v>147.68</v>
          </cell>
          <cell r="L419">
            <v>147.68</v>
          </cell>
        </row>
        <row r="420">
          <cell r="A420" t="str">
            <v>RUSTONROLL OFFCPHAUL20</v>
          </cell>
          <cell r="B420" t="str">
            <v>ONCALL</v>
          </cell>
          <cell r="C420" t="str">
            <v>2111</v>
          </cell>
          <cell r="D420" t="str">
            <v>ROLL OFF</v>
          </cell>
          <cell r="E420" t="b">
            <v>1</v>
          </cell>
          <cell r="F420" t="b">
            <v>0</v>
          </cell>
          <cell r="G420" t="str">
            <v>RUSTON</v>
          </cell>
          <cell r="H420">
            <v>2614</v>
          </cell>
          <cell r="I420" t="str">
            <v>CPHAUL20</v>
          </cell>
          <cell r="J420" t="str">
            <v>20YD COMPACTOR-HAUL</v>
          </cell>
          <cell r="K420">
            <v>248.24</v>
          </cell>
          <cell r="L420">
            <v>248.24</v>
          </cell>
        </row>
        <row r="421">
          <cell r="A421" t="str">
            <v>VASHONROLL OFFCPHAUL20</v>
          </cell>
          <cell r="B421" t="str">
            <v>ONCALL</v>
          </cell>
          <cell r="C421" t="str">
            <v>2111</v>
          </cell>
          <cell r="D421" t="str">
            <v>ROLL OFF</v>
          </cell>
          <cell r="E421" t="b">
            <v>1</v>
          </cell>
          <cell r="F421" t="b">
            <v>0</v>
          </cell>
          <cell r="G421" t="str">
            <v>VASHON</v>
          </cell>
          <cell r="H421">
            <v>2614</v>
          </cell>
          <cell r="I421" t="str">
            <v>CPHAUL20</v>
          </cell>
          <cell r="J421" t="str">
            <v>20YD COMPACTOR-HAUL</v>
          </cell>
          <cell r="K421">
            <v>145.43</v>
          </cell>
          <cell r="L421">
            <v>145.43</v>
          </cell>
        </row>
        <row r="422">
          <cell r="A422" t="str">
            <v>BONNEY LAKEROLL OFFCPHAUL25</v>
          </cell>
          <cell r="B422" t="str">
            <v>ONCALL</v>
          </cell>
          <cell r="C422" t="str">
            <v>2111</v>
          </cell>
          <cell r="D422" t="str">
            <v>ROLL OFF</v>
          </cell>
          <cell r="E422" t="b">
            <v>1</v>
          </cell>
          <cell r="F422" t="b">
            <v>0</v>
          </cell>
          <cell r="G422" t="str">
            <v>BONNEY LAKE</v>
          </cell>
          <cell r="H422">
            <v>2615</v>
          </cell>
          <cell r="I422" t="str">
            <v>CPHAUL25</v>
          </cell>
          <cell r="J422" t="str">
            <v>25YD COMPACTOR-HAUL</v>
          </cell>
          <cell r="K422">
            <v>174.32</v>
          </cell>
          <cell r="L422">
            <v>174.32</v>
          </cell>
        </row>
        <row r="423">
          <cell r="A423" t="str">
            <v>M-EDGEWOODROLL OFFCPHAUL25</v>
          </cell>
          <cell r="B423" t="str">
            <v>ONCALL</v>
          </cell>
          <cell r="C423" t="str">
            <v>2111</v>
          </cell>
          <cell r="D423" t="str">
            <v>ROLL OFF</v>
          </cell>
          <cell r="E423" t="b">
            <v>1</v>
          </cell>
          <cell r="F423" t="b">
            <v>0</v>
          </cell>
          <cell r="G423" t="str">
            <v>M-EDGEWOOD</v>
          </cell>
          <cell r="H423">
            <v>2615</v>
          </cell>
          <cell r="I423" t="str">
            <v>CPHAUL25</v>
          </cell>
          <cell r="J423" t="str">
            <v>25YD COMPACTOR-HAUL</v>
          </cell>
          <cell r="K423">
            <v>146.68</v>
          </cell>
          <cell r="L423">
            <v>146.68</v>
          </cell>
        </row>
        <row r="424">
          <cell r="A424" t="str">
            <v>M-FIFEROLL OFFCPHAUL25</v>
          </cell>
          <cell r="B424" t="str">
            <v>ONCALL</v>
          </cell>
          <cell r="C424" t="str">
            <v>2111</v>
          </cell>
          <cell r="D424" t="str">
            <v>ROLL OFF</v>
          </cell>
          <cell r="E424" t="b">
            <v>1</v>
          </cell>
          <cell r="F424" t="b">
            <v>0</v>
          </cell>
          <cell r="G424" t="str">
            <v>M-FIFE</v>
          </cell>
          <cell r="H424">
            <v>2615</v>
          </cell>
          <cell r="I424" t="str">
            <v>CPHAUL25</v>
          </cell>
          <cell r="J424" t="str">
            <v>25YD COMPACTOR-HAUL</v>
          </cell>
          <cell r="K424">
            <v>146.68</v>
          </cell>
          <cell r="L424">
            <v>146.68</v>
          </cell>
        </row>
        <row r="425">
          <cell r="A425" t="str">
            <v>MURREYSROLL OFFCPHAUL25</v>
          </cell>
          <cell r="B425" t="str">
            <v>ONCALL</v>
          </cell>
          <cell r="C425" t="str">
            <v>2111</v>
          </cell>
          <cell r="D425" t="str">
            <v>ROLL OFF</v>
          </cell>
          <cell r="E425" t="b">
            <v>1</v>
          </cell>
          <cell r="F425" t="b">
            <v>0</v>
          </cell>
          <cell r="G425" t="str">
            <v>MURREYS</v>
          </cell>
          <cell r="H425">
            <v>2615</v>
          </cell>
          <cell r="I425" t="str">
            <v>CPHAUL25</v>
          </cell>
          <cell r="J425" t="str">
            <v>25YD COMPACTOR-HAUL</v>
          </cell>
          <cell r="K425">
            <v>146.68</v>
          </cell>
          <cell r="L425">
            <v>146.68</v>
          </cell>
        </row>
        <row r="426">
          <cell r="A426" t="str">
            <v>PUYALLUPROLL OFFCPHAUL25</v>
          </cell>
          <cell r="B426" t="str">
            <v>ONCALL</v>
          </cell>
          <cell r="C426" t="str">
            <v>2111</v>
          </cell>
          <cell r="D426" t="str">
            <v>ROLL OFF</v>
          </cell>
          <cell r="E426" t="b">
            <v>1</v>
          </cell>
          <cell r="F426" t="b">
            <v>0</v>
          </cell>
          <cell r="G426" t="str">
            <v>PUYALLUP</v>
          </cell>
          <cell r="H426">
            <v>2615</v>
          </cell>
          <cell r="I426" t="str">
            <v>CPHAUL25</v>
          </cell>
          <cell r="J426" t="str">
            <v>25YD COMPACTOR-HAUL</v>
          </cell>
          <cell r="K426">
            <v>153.99</v>
          </cell>
          <cell r="L426">
            <v>153.99</v>
          </cell>
        </row>
        <row r="427">
          <cell r="A427" t="str">
            <v>RUSTONROLL OFFCPHAUL25</v>
          </cell>
          <cell r="B427" t="str">
            <v>ONCALL</v>
          </cell>
          <cell r="C427" t="str">
            <v>2111</v>
          </cell>
          <cell r="D427" t="str">
            <v>ROLL OFF</v>
          </cell>
          <cell r="E427" t="b">
            <v>1</v>
          </cell>
          <cell r="F427" t="b">
            <v>0</v>
          </cell>
          <cell r="G427" t="str">
            <v>RUSTON</v>
          </cell>
          <cell r="H427">
            <v>2615</v>
          </cell>
          <cell r="I427" t="str">
            <v>CPHAUL25</v>
          </cell>
          <cell r="J427" t="str">
            <v>25YD COMPACTOR-HAUL</v>
          </cell>
          <cell r="K427">
            <v>248.24</v>
          </cell>
          <cell r="L427">
            <v>248.24</v>
          </cell>
        </row>
        <row r="428">
          <cell r="A428" t="str">
            <v>VASHONROLL OFFCPHAUL25</v>
          </cell>
          <cell r="B428" t="str">
            <v>ONCALL</v>
          </cell>
          <cell r="C428" t="str">
            <v>2111</v>
          </cell>
          <cell r="D428" t="str">
            <v>ROLL OFF</v>
          </cell>
          <cell r="E428" t="b">
            <v>1</v>
          </cell>
          <cell r="F428" t="b">
            <v>0</v>
          </cell>
          <cell r="G428" t="str">
            <v>VASHON</v>
          </cell>
          <cell r="H428">
            <v>2615</v>
          </cell>
          <cell r="I428" t="str">
            <v>CPHAUL25</v>
          </cell>
          <cell r="J428" t="str">
            <v>25YD COMPACTOR-HAUL</v>
          </cell>
          <cell r="K428">
            <v>151.5</v>
          </cell>
          <cell r="L428">
            <v>151.5</v>
          </cell>
        </row>
        <row r="429">
          <cell r="A429" t="str">
            <v>BONNEY LAKEROLL OFFCPHAUL30</v>
          </cell>
          <cell r="B429" t="str">
            <v>ONCALL</v>
          </cell>
          <cell r="C429" t="str">
            <v>2111</v>
          </cell>
          <cell r="D429" t="str">
            <v>ROLL OFF</v>
          </cell>
          <cell r="E429" t="b">
            <v>1</v>
          </cell>
          <cell r="F429" t="b">
            <v>0</v>
          </cell>
          <cell r="G429" t="str">
            <v>BONNEY LAKE</v>
          </cell>
          <cell r="H429">
            <v>2616</v>
          </cell>
          <cell r="I429" t="str">
            <v>CPHAUL30</v>
          </cell>
          <cell r="J429" t="str">
            <v>30YD COMPACTOR-HAUL</v>
          </cell>
          <cell r="K429">
            <v>185.14</v>
          </cell>
          <cell r="L429">
            <v>185.14</v>
          </cell>
        </row>
        <row r="430">
          <cell r="A430" t="str">
            <v>M-EDGEWOODROLL OFFCPHAUL30</v>
          </cell>
          <cell r="B430" t="str">
            <v>ONCALL</v>
          </cell>
          <cell r="C430" t="str">
            <v>2111</v>
          </cell>
          <cell r="D430" t="str">
            <v>ROLL OFF</v>
          </cell>
          <cell r="E430" t="b">
            <v>1</v>
          </cell>
          <cell r="F430" t="b">
            <v>0</v>
          </cell>
          <cell r="G430" t="str">
            <v>M-EDGEWOOD</v>
          </cell>
          <cell r="H430">
            <v>2616</v>
          </cell>
          <cell r="I430" t="str">
            <v>CPHAUL30</v>
          </cell>
          <cell r="J430" t="str">
            <v>30YD COMPACTOR-HAUL</v>
          </cell>
          <cell r="K430">
            <v>155.77000000000001</v>
          </cell>
          <cell r="L430">
            <v>155.77000000000001</v>
          </cell>
        </row>
        <row r="431">
          <cell r="A431" t="str">
            <v>M-FIFEROLL OFFCPHAUL30</v>
          </cell>
          <cell r="B431" t="str">
            <v>ONCALL</v>
          </cell>
          <cell r="C431" t="str">
            <v>2111</v>
          </cell>
          <cell r="D431" t="str">
            <v>ROLL OFF</v>
          </cell>
          <cell r="E431" t="b">
            <v>1</v>
          </cell>
          <cell r="F431" t="b">
            <v>0</v>
          </cell>
          <cell r="G431" t="str">
            <v>M-FIFE</v>
          </cell>
          <cell r="H431">
            <v>2616</v>
          </cell>
          <cell r="I431" t="str">
            <v>CPHAUL30</v>
          </cell>
          <cell r="J431" t="str">
            <v>30YD COMPACTOR-HAUL</v>
          </cell>
          <cell r="K431">
            <v>155.77000000000001</v>
          </cell>
          <cell r="L431">
            <v>155.77000000000001</v>
          </cell>
        </row>
        <row r="432">
          <cell r="A432" t="str">
            <v>MURREYSROLL OFFCPHAUL30</v>
          </cell>
          <cell r="B432" t="str">
            <v>ONCALL</v>
          </cell>
          <cell r="C432" t="str">
            <v>2111</v>
          </cell>
          <cell r="D432" t="str">
            <v>ROLL OFF</v>
          </cell>
          <cell r="E432" t="b">
            <v>1</v>
          </cell>
          <cell r="F432" t="b">
            <v>0</v>
          </cell>
          <cell r="G432" t="str">
            <v>MURREYS</v>
          </cell>
          <cell r="H432">
            <v>2616</v>
          </cell>
          <cell r="I432" t="str">
            <v>CPHAUL30</v>
          </cell>
          <cell r="J432" t="str">
            <v>30YD COMPACTOR-HAUL</v>
          </cell>
          <cell r="K432">
            <v>155.77000000000001</v>
          </cell>
          <cell r="L432">
            <v>155.77000000000001</v>
          </cell>
        </row>
        <row r="433">
          <cell r="A433" t="str">
            <v>PUYALLUPROLL OFFCPHAUL30</v>
          </cell>
          <cell r="B433" t="str">
            <v>ONCALL</v>
          </cell>
          <cell r="C433" t="str">
            <v>2111</v>
          </cell>
          <cell r="D433" t="str">
            <v>ROLL OFF</v>
          </cell>
          <cell r="E433" t="b">
            <v>1</v>
          </cell>
          <cell r="F433" t="b">
            <v>0</v>
          </cell>
          <cell r="G433" t="str">
            <v>PUYALLUP</v>
          </cell>
          <cell r="H433">
            <v>2616</v>
          </cell>
          <cell r="I433" t="str">
            <v>CPHAUL30</v>
          </cell>
          <cell r="J433" t="str">
            <v>30YD COMPACTOR-HAUL</v>
          </cell>
          <cell r="K433">
            <v>165.09</v>
          </cell>
          <cell r="L433">
            <v>165.09</v>
          </cell>
        </row>
        <row r="434">
          <cell r="A434" t="str">
            <v>RUSTONROLL OFFCPHAUL30</v>
          </cell>
          <cell r="B434" t="str">
            <v>ONCALL</v>
          </cell>
          <cell r="C434" t="str">
            <v>2111</v>
          </cell>
          <cell r="D434" t="str">
            <v>ROLL OFF</v>
          </cell>
          <cell r="E434" t="b">
            <v>1</v>
          </cell>
          <cell r="F434" t="b">
            <v>0</v>
          </cell>
          <cell r="G434" t="str">
            <v>RUSTON</v>
          </cell>
          <cell r="H434">
            <v>2616</v>
          </cell>
          <cell r="I434" t="str">
            <v>CPHAUL30</v>
          </cell>
          <cell r="J434" t="str">
            <v>30YD COMPACTOR-HAUL</v>
          </cell>
          <cell r="K434">
            <v>248.24</v>
          </cell>
          <cell r="L434">
            <v>248.24</v>
          </cell>
        </row>
        <row r="435">
          <cell r="A435" t="str">
            <v>VASHONROLL OFFCPHAUL30</v>
          </cell>
          <cell r="B435" t="str">
            <v>ONCALL</v>
          </cell>
          <cell r="C435" t="str">
            <v>2111</v>
          </cell>
          <cell r="D435" t="str">
            <v>ROLL OFF</v>
          </cell>
          <cell r="E435" t="b">
            <v>1</v>
          </cell>
          <cell r="F435" t="b">
            <v>0</v>
          </cell>
          <cell r="G435" t="str">
            <v>VASHON</v>
          </cell>
          <cell r="H435">
            <v>2616</v>
          </cell>
          <cell r="I435" t="str">
            <v>CPHAUL30</v>
          </cell>
          <cell r="J435" t="str">
            <v>30YD COMPACTOR-HAUL</v>
          </cell>
          <cell r="K435">
            <v>157.54</v>
          </cell>
          <cell r="L435">
            <v>157.54</v>
          </cell>
        </row>
        <row r="436">
          <cell r="A436" t="str">
            <v>BONNEY LAKEROLL OFFCPHAUL35</v>
          </cell>
          <cell r="B436" t="str">
            <v>ONCALL</v>
          </cell>
          <cell r="C436" t="str">
            <v>2111</v>
          </cell>
          <cell r="D436" t="str">
            <v>ROLL OFF</v>
          </cell>
          <cell r="E436" t="b">
            <v>1</v>
          </cell>
          <cell r="F436" t="b">
            <v>0</v>
          </cell>
          <cell r="G436" t="str">
            <v>BONNEY LAKE</v>
          </cell>
          <cell r="H436">
            <v>2617</v>
          </cell>
          <cell r="I436" t="str">
            <v>CPHAUL35</v>
          </cell>
          <cell r="J436" t="str">
            <v>35YD COMPACTOR-HAUL</v>
          </cell>
          <cell r="K436">
            <v>191.38</v>
          </cell>
          <cell r="L436">
            <v>191.38</v>
          </cell>
        </row>
        <row r="437">
          <cell r="A437" t="str">
            <v>M-EDGEWOODROLL OFFCPHAUL35</v>
          </cell>
          <cell r="B437" t="str">
            <v>ONCALL</v>
          </cell>
          <cell r="C437" t="str">
            <v>2111</v>
          </cell>
          <cell r="D437" t="str">
            <v>ROLL OFF</v>
          </cell>
          <cell r="E437" t="b">
            <v>1</v>
          </cell>
          <cell r="F437" t="b">
            <v>0</v>
          </cell>
          <cell r="G437" t="str">
            <v>M-EDGEWOOD</v>
          </cell>
          <cell r="H437">
            <v>2617</v>
          </cell>
          <cell r="I437" t="str">
            <v>CPHAUL35</v>
          </cell>
          <cell r="J437" t="str">
            <v>35YD COMPACTOR-HAUL</v>
          </cell>
          <cell r="K437">
            <v>161.03</v>
          </cell>
          <cell r="L437">
            <v>161.03</v>
          </cell>
        </row>
        <row r="438">
          <cell r="A438" t="str">
            <v>M-FIFEROLL OFFCPHAUL35</v>
          </cell>
          <cell r="B438" t="str">
            <v>ONCALL</v>
          </cell>
          <cell r="C438" t="str">
            <v>2111</v>
          </cell>
          <cell r="D438" t="str">
            <v>ROLL OFF</v>
          </cell>
          <cell r="E438" t="b">
            <v>1</v>
          </cell>
          <cell r="F438" t="b">
            <v>0</v>
          </cell>
          <cell r="G438" t="str">
            <v>M-FIFE</v>
          </cell>
          <cell r="H438">
            <v>2617</v>
          </cell>
          <cell r="I438" t="str">
            <v>CPHAUL35</v>
          </cell>
          <cell r="J438" t="str">
            <v>35YD COMPACTOR-HAUL</v>
          </cell>
          <cell r="K438">
            <v>161.03</v>
          </cell>
          <cell r="L438">
            <v>161.03</v>
          </cell>
        </row>
        <row r="439">
          <cell r="A439" t="str">
            <v>MURREYSROLL OFFCPHAUL35</v>
          </cell>
          <cell r="B439" t="str">
            <v>ONCALL</v>
          </cell>
          <cell r="C439" t="str">
            <v>2111</v>
          </cell>
          <cell r="D439" t="str">
            <v>ROLL OFF</v>
          </cell>
          <cell r="E439" t="b">
            <v>1</v>
          </cell>
          <cell r="F439" t="b">
            <v>0</v>
          </cell>
          <cell r="G439" t="str">
            <v>MURREYS</v>
          </cell>
          <cell r="H439">
            <v>2617</v>
          </cell>
          <cell r="I439" t="str">
            <v>CPHAUL35</v>
          </cell>
          <cell r="J439" t="str">
            <v>35YD COMPACTOR-HAUL</v>
          </cell>
          <cell r="K439">
            <v>161.03</v>
          </cell>
          <cell r="L439">
            <v>161.03</v>
          </cell>
        </row>
        <row r="440">
          <cell r="A440" t="str">
            <v>BONNEY LAKEROLL OFFCPHAUL40</v>
          </cell>
          <cell r="B440" t="str">
            <v>ONCALL</v>
          </cell>
          <cell r="C440" t="str">
            <v>2111</v>
          </cell>
          <cell r="D440" t="str">
            <v>ROLL OFF</v>
          </cell>
          <cell r="E440" t="b">
            <v>1</v>
          </cell>
          <cell r="F440" t="b">
            <v>0</v>
          </cell>
          <cell r="G440" t="str">
            <v>BONNEY LAKE</v>
          </cell>
          <cell r="H440">
            <v>3054</v>
          </cell>
          <cell r="I440" t="str">
            <v>CPHAUL40</v>
          </cell>
          <cell r="J440" t="str">
            <v>40YD COMPACTOR - HAUL</v>
          </cell>
          <cell r="K440">
            <v>199.07</v>
          </cell>
          <cell r="L440">
            <v>199.07</v>
          </cell>
        </row>
        <row r="441">
          <cell r="A441" t="str">
            <v>M-EDGEWOODROLL OFFCPHAUL40</v>
          </cell>
          <cell r="B441" t="str">
            <v>ONCALL</v>
          </cell>
          <cell r="C441" t="str">
            <v>2111</v>
          </cell>
          <cell r="D441" t="str">
            <v>ROLL OFF</v>
          </cell>
          <cell r="E441" t="b">
            <v>1</v>
          </cell>
          <cell r="F441" t="b">
            <v>0</v>
          </cell>
          <cell r="G441" t="str">
            <v>M-EDGEWOOD</v>
          </cell>
          <cell r="H441">
            <v>3054</v>
          </cell>
          <cell r="I441" t="str">
            <v>CPHAUL40</v>
          </cell>
          <cell r="J441" t="str">
            <v>40YD COMPACTOR - HAUL</v>
          </cell>
          <cell r="K441">
            <v>167.48</v>
          </cell>
          <cell r="L441">
            <v>167.48</v>
          </cell>
        </row>
        <row r="442">
          <cell r="A442" t="str">
            <v>M-FIFEROLL OFFCPHAUL40</v>
          </cell>
          <cell r="B442" t="str">
            <v>ONCALL</v>
          </cell>
          <cell r="C442" t="str">
            <v>2111</v>
          </cell>
          <cell r="D442" t="str">
            <v>ROLL OFF</v>
          </cell>
          <cell r="E442" t="b">
            <v>1</v>
          </cell>
          <cell r="F442" t="b">
            <v>0</v>
          </cell>
          <cell r="G442" t="str">
            <v>M-FIFE</v>
          </cell>
          <cell r="H442">
            <v>3054</v>
          </cell>
          <cell r="I442" t="str">
            <v>CPHAUL40</v>
          </cell>
          <cell r="J442" t="str">
            <v>40YD COMPACTOR - HAUL</v>
          </cell>
          <cell r="K442">
            <v>167.48</v>
          </cell>
          <cell r="L442">
            <v>167.48</v>
          </cell>
        </row>
        <row r="443">
          <cell r="A443" t="str">
            <v>MURREYSROLL OFFCPHAUL40</v>
          </cell>
          <cell r="B443" t="str">
            <v>ONCALL</v>
          </cell>
          <cell r="C443" t="str">
            <v>2111</v>
          </cell>
          <cell r="D443" t="str">
            <v>ROLL OFF</v>
          </cell>
          <cell r="E443" t="b">
            <v>1</v>
          </cell>
          <cell r="F443" t="b">
            <v>0</v>
          </cell>
          <cell r="G443" t="str">
            <v>MURREYS</v>
          </cell>
          <cell r="H443">
            <v>3054</v>
          </cell>
          <cell r="I443" t="str">
            <v>CPHAUL40</v>
          </cell>
          <cell r="J443" t="str">
            <v>40YD COMPACTOR - HAUL</v>
          </cell>
          <cell r="K443">
            <v>167.48</v>
          </cell>
          <cell r="L443">
            <v>167.48</v>
          </cell>
        </row>
        <row r="444">
          <cell r="A444" t="str">
            <v>PUYALLUPROLL OFFCPHAUL40</v>
          </cell>
          <cell r="B444" t="str">
            <v>ONCALL</v>
          </cell>
          <cell r="C444" t="str">
            <v>2111</v>
          </cell>
          <cell r="D444" t="str">
            <v>ROLL OFF</v>
          </cell>
          <cell r="E444" t="b">
            <v>1</v>
          </cell>
          <cell r="F444" t="b">
            <v>0</v>
          </cell>
          <cell r="G444" t="str">
            <v>PUYALLUP</v>
          </cell>
          <cell r="H444">
            <v>3054</v>
          </cell>
          <cell r="I444" t="str">
            <v>CPHAUL40</v>
          </cell>
          <cell r="J444" t="str">
            <v>40YD COMPACTOR - HAUL</v>
          </cell>
          <cell r="K444">
            <v>189.13</v>
          </cell>
          <cell r="L444">
            <v>189.13</v>
          </cell>
        </row>
        <row r="445">
          <cell r="A445" t="str">
            <v>RUSTONROLL OFFCPHAUL40</v>
          </cell>
          <cell r="B445" t="str">
            <v>ONCALL</v>
          </cell>
          <cell r="C445" t="str">
            <v>2111</v>
          </cell>
          <cell r="D445" t="str">
            <v>ROLL OFF</v>
          </cell>
          <cell r="E445" t="b">
            <v>1</v>
          </cell>
          <cell r="F445" t="b">
            <v>0</v>
          </cell>
          <cell r="G445" t="str">
            <v>RUSTON</v>
          </cell>
          <cell r="H445">
            <v>3054</v>
          </cell>
          <cell r="I445" t="str">
            <v>CPHAUL40</v>
          </cell>
          <cell r="J445" t="str">
            <v>40YD COMPACTOR - HAUL</v>
          </cell>
          <cell r="K445">
            <v>248.24</v>
          </cell>
          <cell r="L445">
            <v>248.24</v>
          </cell>
        </row>
        <row r="446">
          <cell r="A446" t="str">
            <v>BUCKLEYCOMMERCIALCROLL</v>
          </cell>
          <cell r="B446" t="str">
            <v>MONTHLY ARREARS</v>
          </cell>
          <cell r="C446" t="str">
            <v>2111</v>
          </cell>
          <cell r="D446" t="str">
            <v>COMMERCIAL</v>
          </cell>
          <cell r="E446" t="b">
            <v>0</v>
          </cell>
          <cell r="F446" t="b">
            <v>0</v>
          </cell>
          <cell r="G446" t="str">
            <v>BUCKLEY</v>
          </cell>
          <cell r="H446">
            <v>3062</v>
          </cell>
          <cell r="I446" t="str">
            <v>CROLL</v>
          </cell>
          <cell r="J446" t="str">
            <v>ROLLOUT CHARGE - CMML</v>
          </cell>
          <cell r="K446">
            <v>25</v>
          </cell>
          <cell r="L446">
            <v>25</v>
          </cell>
        </row>
        <row r="447">
          <cell r="A447" t="str">
            <v>M-EDGEWOODCOMMERCIALCROLL</v>
          </cell>
          <cell r="B447" t="str">
            <v>MONTHLY ARREARS</v>
          </cell>
          <cell r="C447" t="str">
            <v>2111</v>
          </cell>
          <cell r="D447" t="str">
            <v>COMMERCIAL</v>
          </cell>
          <cell r="E447" t="b">
            <v>0</v>
          </cell>
          <cell r="F447" t="b">
            <v>0</v>
          </cell>
          <cell r="G447" t="str">
            <v>M-EDGEWOOD</v>
          </cell>
          <cell r="H447">
            <v>3062</v>
          </cell>
          <cell r="I447" t="str">
            <v>CROLL</v>
          </cell>
          <cell r="J447" t="str">
            <v>ROLLOUT CHARGE - CMML</v>
          </cell>
          <cell r="K447">
            <v>17.059999999999999</v>
          </cell>
          <cell r="L447">
            <v>17.059999999999999</v>
          </cell>
        </row>
        <row r="448">
          <cell r="A448" t="str">
            <v>M-FIFECOMMERCIALCROLL</v>
          </cell>
          <cell r="B448" t="str">
            <v>MONTHLY ARREARS</v>
          </cell>
          <cell r="C448" t="str">
            <v>2111</v>
          </cell>
          <cell r="D448" t="str">
            <v>COMMERCIAL</v>
          </cell>
          <cell r="E448" t="b">
            <v>0</v>
          </cell>
          <cell r="F448" t="b">
            <v>0</v>
          </cell>
          <cell r="G448" t="str">
            <v>M-FIFE</v>
          </cell>
          <cell r="H448">
            <v>3062</v>
          </cell>
          <cell r="I448" t="str">
            <v>CROLL</v>
          </cell>
          <cell r="J448" t="str">
            <v>ROLLOUT CHARGE - CMML</v>
          </cell>
          <cell r="K448">
            <v>17.059999999999999</v>
          </cell>
          <cell r="L448">
            <v>17.059999999999999</v>
          </cell>
        </row>
        <row r="449">
          <cell r="A449" t="str">
            <v>MURREYSCOMMERCIALCROLL</v>
          </cell>
          <cell r="B449" t="str">
            <v>MONTHLY ARREARS</v>
          </cell>
          <cell r="C449" t="str">
            <v>2111</v>
          </cell>
          <cell r="D449" t="str">
            <v>COMMERCIAL</v>
          </cell>
          <cell r="E449" t="b">
            <v>0</v>
          </cell>
          <cell r="F449" t="b">
            <v>0</v>
          </cell>
          <cell r="G449" t="str">
            <v>MURREYS</v>
          </cell>
          <cell r="H449">
            <v>3062</v>
          </cell>
          <cell r="I449" t="str">
            <v>CROLL</v>
          </cell>
          <cell r="J449" t="str">
            <v>ROLLOUT CHARGE - CMML</v>
          </cell>
          <cell r="K449">
            <v>17.059999999999999</v>
          </cell>
          <cell r="L449">
            <v>17.059999999999999</v>
          </cell>
        </row>
        <row r="450">
          <cell r="A450" t="str">
            <v>VASHONCOMMERCIALCROLL</v>
          </cell>
          <cell r="B450" t="str">
            <v>MONTHLY ARREARS</v>
          </cell>
          <cell r="C450" t="str">
            <v>2111</v>
          </cell>
          <cell r="D450" t="str">
            <v>COMMERCIAL</v>
          </cell>
          <cell r="E450" t="b">
            <v>0</v>
          </cell>
          <cell r="F450" t="b">
            <v>0</v>
          </cell>
          <cell r="G450" t="str">
            <v>VASHON</v>
          </cell>
          <cell r="H450">
            <v>3062</v>
          </cell>
          <cell r="I450" t="str">
            <v>CROLL</v>
          </cell>
          <cell r="J450" t="str">
            <v>ROLLOUT CHARGE - CMML</v>
          </cell>
          <cell r="K450">
            <v>24.33</v>
          </cell>
          <cell r="L450">
            <v>24.33</v>
          </cell>
        </row>
        <row r="451">
          <cell r="A451" t="str">
            <v>M-EDGEWOODCOMMERCIALCTDEL</v>
          </cell>
          <cell r="B451" t="str">
            <v>ONCALL</v>
          </cell>
          <cell r="C451" t="str">
            <v>2111</v>
          </cell>
          <cell r="D451" t="str">
            <v>COMMERCIAL</v>
          </cell>
          <cell r="E451" t="b">
            <v>1</v>
          </cell>
          <cell r="F451" t="b">
            <v>0</v>
          </cell>
          <cell r="G451" t="str">
            <v>M-EDGEWOOD</v>
          </cell>
          <cell r="H451">
            <v>3070</v>
          </cell>
          <cell r="I451" t="str">
            <v>CTDEL</v>
          </cell>
          <cell r="J451" t="str">
            <v>TEMP CONTAINER DELIVERY</v>
          </cell>
          <cell r="K451">
            <v>42.83</v>
          </cell>
          <cell r="L451">
            <v>42.83</v>
          </cell>
        </row>
        <row r="452">
          <cell r="A452" t="str">
            <v>M-FIFECOMMERCIALCTDEL</v>
          </cell>
          <cell r="B452" t="str">
            <v>ONCALL</v>
          </cell>
          <cell r="C452" t="str">
            <v>2111</v>
          </cell>
          <cell r="D452" t="str">
            <v>COMMERCIAL</v>
          </cell>
          <cell r="E452" t="b">
            <v>1</v>
          </cell>
          <cell r="F452" t="b">
            <v>0</v>
          </cell>
          <cell r="G452" t="str">
            <v>M-FIFE</v>
          </cell>
          <cell r="H452">
            <v>3070</v>
          </cell>
          <cell r="I452" t="str">
            <v>CTDEL</v>
          </cell>
          <cell r="J452" t="str">
            <v>TEMP CONTAINER DELIVERY</v>
          </cell>
          <cell r="K452">
            <v>42.83</v>
          </cell>
          <cell r="L452">
            <v>42.83</v>
          </cell>
        </row>
        <row r="453">
          <cell r="A453" t="str">
            <v>MURREYSCOMMERCIALCTDEL</v>
          </cell>
          <cell r="B453" t="str">
            <v>ONCALL</v>
          </cell>
          <cell r="C453" t="str">
            <v>2111</v>
          </cell>
          <cell r="D453" t="str">
            <v>COMMERCIAL</v>
          </cell>
          <cell r="E453" t="b">
            <v>1</v>
          </cell>
          <cell r="F453" t="b">
            <v>0</v>
          </cell>
          <cell r="G453" t="str">
            <v>MURREYS</v>
          </cell>
          <cell r="H453">
            <v>3070</v>
          </cell>
          <cell r="I453" t="str">
            <v>CTDEL</v>
          </cell>
          <cell r="J453" t="str">
            <v>TEMP CONTAINER DELIVERY</v>
          </cell>
          <cell r="K453">
            <v>42.83</v>
          </cell>
          <cell r="L453">
            <v>42.83</v>
          </cell>
        </row>
        <row r="454">
          <cell r="A454" t="str">
            <v>VASHONCOMMERCIALCTDEL</v>
          </cell>
          <cell r="B454" t="str">
            <v>ONCALL</v>
          </cell>
          <cell r="C454" t="str">
            <v>2111</v>
          </cell>
          <cell r="D454" t="str">
            <v>COMMERCIAL</v>
          </cell>
          <cell r="E454" t="b">
            <v>1</v>
          </cell>
          <cell r="F454" t="b">
            <v>0</v>
          </cell>
          <cell r="G454" t="str">
            <v>VASHON</v>
          </cell>
          <cell r="H454">
            <v>3070</v>
          </cell>
          <cell r="I454" t="str">
            <v>CTDEL</v>
          </cell>
          <cell r="J454" t="str">
            <v>TEMP CONTAINER DELIVERY</v>
          </cell>
          <cell r="K454">
            <v>28.08</v>
          </cell>
          <cell r="L454">
            <v>28.08</v>
          </cell>
        </row>
        <row r="455">
          <cell r="A455" t="str">
            <v>BONNEY LAKECOMMERCIALCTRIP</v>
          </cell>
          <cell r="B455" t="str">
            <v>ONCALL</v>
          </cell>
          <cell r="C455" t="str">
            <v>2111</v>
          </cell>
          <cell r="D455" t="str">
            <v>COMMERCIAL</v>
          </cell>
          <cell r="E455" t="b">
            <v>1</v>
          </cell>
          <cell r="F455" t="b">
            <v>0</v>
          </cell>
          <cell r="G455" t="str">
            <v>BONNEY LAKE</v>
          </cell>
          <cell r="H455">
            <v>2320</v>
          </cell>
          <cell r="I455" t="str">
            <v>CTRIP</v>
          </cell>
          <cell r="J455" t="str">
            <v>RETURN TRIP CHARGE - CONT</v>
          </cell>
          <cell r="K455">
            <v>20.25</v>
          </cell>
          <cell r="L455">
            <v>20.25</v>
          </cell>
        </row>
        <row r="456">
          <cell r="A456" t="str">
            <v>BUCKLEYCOMMERCIALCTRIP</v>
          </cell>
          <cell r="B456" t="str">
            <v>ONCALL</v>
          </cell>
          <cell r="C456" t="str">
            <v>2111</v>
          </cell>
          <cell r="D456" t="str">
            <v>COMMERCIAL</v>
          </cell>
          <cell r="E456" t="b">
            <v>1</v>
          </cell>
          <cell r="F456" t="b">
            <v>0</v>
          </cell>
          <cell r="G456" t="str">
            <v>BUCKLEY</v>
          </cell>
          <cell r="H456">
            <v>2320</v>
          </cell>
          <cell r="I456" t="str">
            <v>CTRIP</v>
          </cell>
          <cell r="J456" t="str">
            <v>RETURN TRIP CHARGE - CONT</v>
          </cell>
          <cell r="K456">
            <v>25</v>
          </cell>
          <cell r="L456">
            <v>25</v>
          </cell>
        </row>
        <row r="457">
          <cell r="A457" t="str">
            <v>CARBONADOCOMMERCIALCTRIP</v>
          </cell>
          <cell r="B457" t="str">
            <v>ONCALL</v>
          </cell>
          <cell r="C457" t="str">
            <v>2111</v>
          </cell>
          <cell r="D457" t="str">
            <v>COMMERCIAL</v>
          </cell>
          <cell r="E457" t="b">
            <v>1</v>
          </cell>
          <cell r="F457" t="b">
            <v>0</v>
          </cell>
          <cell r="G457" t="str">
            <v>CARBONADO</v>
          </cell>
          <cell r="H457">
            <v>2320</v>
          </cell>
          <cell r="I457" t="str">
            <v>CTRIP</v>
          </cell>
          <cell r="J457" t="str">
            <v>RETURN TRIP CHARGE - CONT</v>
          </cell>
          <cell r="K457">
            <v>9.07</v>
          </cell>
          <cell r="L457">
            <v>9.07</v>
          </cell>
        </row>
        <row r="458">
          <cell r="A458" t="str">
            <v>M-EDGEWOODCOMMERCIALCTRIP</v>
          </cell>
          <cell r="B458" t="str">
            <v>ONCALL</v>
          </cell>
          <cell r="C458" t="str">
            <v>2111</v>
          </cell>
          <cell r="D458" t="str">
            <v>COMMERCIAL</v>
          </cell>
          <cell r="E458" t="b">
            <v>1</v>
          </cell>
          <cell r="F458" t="b">
            <v>0</v>
          </cell>
          <cell r="G458" t="str">
            <v>M-EDGEWOOD</v>
          </cell>
          <cell r="H458">
            <v>2320</v>
          </cell>
          <cell r="I458" t="str">
            <v>CTRIP</v>
          </cell>
          <cell r="J458" t="str">
            <v>RETURN TRIP CHARGE - CONT</v>
          </cell>
          <cell r="K458">
            <v>16.88</v>
          </cell>
          <cell r="L458">
            <v>16.88</v>
          </cell>
        </row>
        <row r="459">
          <cell r="A459" t="str">
            <v>M-FIFECOMMERCIALCTRIP</v>
          </cell>
          <cell r="B459" t="str">
            <v>ONCALL</v>
          </cell>
          <cell r="C459" t="str">
            <v>2111</v>
          </cell>
          <cell r="D459" t="str">
            <v>COMMERCIAL</v>
          </cell>
          <cell r="E459" t="b">
            <v>1</v>
          </cell>
          <cell r="F459" t="b">
            <v>0</v>
          </cell>
          <cell r="G459" t="str">
            <v>M-FIFE</v>
          </cell>
          <cell r="H459">
            <v>2320</v>
          </cell>
          <cell r="I459" t="str">
            <v>CTRIP</v>
          </cell>
          <cell r="J459" t="str">
            <v>RETURN TRIP CHARGE - CONT</v>
          </cell>
          <cell r="K459">
            <v>16.88</v>
          </cell>
          <cell r="L459">
            <v>16.88</v>
          </cell>
        </row>
        <row r="460">
          <cell r="A460" t="str">
            <v>MILTONCOMMERCIALCTRIP</v>
          </cell>
          <cell r="B460" t="str">
            <v>ONCALL</v>
          </cell>
          <cell r="C460" t="str">
            <v>2111</v>
          </cell>
          <cell r="D460" t="str">
            <v>COMMERCIAL</v>
          </cell>
          <cell r="E460" t="b">
            <v>1</v>
          </cell>
          <cell r="F460" t="b">
            <v>0</v>
          </cell>
          <cell r="G460" t="str">
            <v>MILTON</v>
          </cell>
          <cell r="H460">
            <v>2320</v>
          </cell>
          <cell r="I460" t="str">
            <v>CTRIP</v>
          </cell>
          <cell r="J460" t="str">
            <v>RETURN TRIP CHARGE - CONT</v>
          </cell>
          <cell r="K460">
            <v>8.33</v>
          </cell>
          <cell r="L460">
            <v>8.33</v>
          </cell>
        </row>
        <row r="461">
          <cell r="A461" t="str">
            <v>MURREYSCOMMERCIALCTRIP</v>
          </cell>
          <cell r="B461" t="str">
            <v>ONCALL</v>
          </cell>
          <cell r="C461" t="str">
            <v>2111</v>
          </cell>
          <cell r="D461" t="str">
            <v>COMMERCIAL</v>
          </cell>
          <cell r="E461" t="b">
            <v>1</v>
          </cell>
          <cell r="F461" t="b">
            <v>0</v>
          </cell>
          <cell r="G461" t="str">
            <v>MURREYS</v>
          </cell>
          <cell r="H461">
            <v>2320</v>
          </cell>
          <cell r="I461" t="str">
            <v>CTRIP</v>
          </cell>
          <cell r="J461" t="str">
            <v>RETURN TRIP CHARGE - CONT</v>
          </cell>
          <cell r="K461">
            <v>16.88</v>
          </cell>
          <cell r="L461">
            <v>16.88</v>
          </cell>
        </row>
        <row r="462">
          <cell r="A462" t="str">
            <v>ORTINGCOMMERCIALCTRIP</v>
          </cell>
          <cell r="B462" t="str">
            <v>ONCALL</v>
          </cell>
          <cell r="C462" t="str">
            <v>2111</v>
          </cell>
          <cell r="D462" t="str">
            <v>COMMERCIAL</v>
          </cell>
          <cell r="E462" t="b">
            <v>1</v>
          </cell>
          <cell r="F462" t="b">
            <v>0</v>
          </cell>
          <cell r="G462" t="str">
            <v>ORTING</v>
          </cell>
          <cell r="H462">
            <v>2320</v>
          </cell>
          <cell r="I462" t="str">
            <v>CTRIP</v>
          </cell>
          <cell r="J462" t="str">
            <v>RETURN TRIP CHARGE - CONT</v>
          </cell>
          <cell r="K462">
            <v>7.9</v>
          </cell>
          <cell r="L462">
            <v>7.9</v>
          </cell>
        </row>
        <row r="463">
          <cell r="A463" t="str">
            <v>PUYALLUPCOMMERCIALCTRIP</v>
          </cell>
          <cell r="B463" t="str">
            <v>ONCALL</v>
          </cell>
          <cell r="C463" t="str">
            <v>2111</v>
          </cell>
          <cell r="D463" t="str">
            <v>COMMERCIAL</v>
          </cell>
          <cell r="E463" t="b">
            <v>1</v>
          </cell>
          <cell r="F463" t="b">
            <v>0</v>
          </cell>
          <cell r="G463" t="str">
            <v>PUYALLUP</v>
          </cell>
          <cell r="H463">
            <v>2320</v>
          </cell>
          <cell r="I463" t="str">
            <v>CTRIP</v>
          </cell>
          <cell r="J463" t="str">
            <v>RETURN TRIP CHARGE - CONT</v>
          </cell>
          <cell r="K463">
            <v>28.93</v>
          </cell>
          <cell r="L463">
            <v>28.93</v>
          </cell>
        </row>
        <row r="464">
          <cell r="A464" t="str">
            <v>RUSTONCOMMERCIALCTRIP</v>
          </cell>
          <cell r="B464" t="str">
            <v>ONCALL</v>
          </cell>
          <cell r="C464" t="str">
            <v>2111</v>
          </cell>
          <cell r="D464" t="str">
            <v>COMMERCIAL</v>
          </cell>
          <cell r="E464" t="b">
            <v>1</v>
          </cell>
          <cell r="F464" t="b">
            <v>0</v>
          </cell>
          <cell r="G464" t="str">
            <v>RUSTON</v>
          </cell>
          <cell r="H464">
            <v>2320</v>
          </cell>
          <cell r="I464" t="str">
            <v>CTRIP</v>
          </cell>
          <cell r="J464" t="str">
            <v>RETURN TRIP CHARGE - CONT</v>
          </cell>
          <cell r="K464">
            <v>21.58</v>
          </cell>
          <cell r="L464">
            <v>21.58</v>
          </cell>
        </row>
        <row r="465">
          <cell r="A465" t="str">
            <v>SOUTH PRAIRIECOMMERCIALCTRIP</v>
          </cell>
          <cell r="B465" t="str">
            <v>ONCALL</v>
          </cell>
          <cell r="C465" t="str">
            <v>2111</v>
          </cell>
          <cell r="D465" t="str">
            <v>COMMERCIAL</v>
          </cell>
          <cell r="E465" t="b">
            <v>1</v>
          </cell>
          <cell r="F465" t="b">
            <v>0</v>
          </cell>
          <cell r="G465" t="str">
            <v>SOUTH PRAIRIE</v>
          </cell>
          <cell r="H465">
            <v>2320</v>
          </cell>
          <cell r="I465" t="str">
            <v>CTRIP</v>
          </cell>
          <cell r="J465" t="str">
            <v>RETURN TRIP CHARGE - CONT</v>
          </cell>
          <cell r="K465">
            <v>16.8</v>
          </cell>
          <cell r="L465">
            <v>16.8</v>
          </cell>
        </row>
        <row r="466">
          <cell r="A466" t="str">
            <v>SUMNERCOMMERCIALCTRIP</v>
          </cell>
          <cell r="B466" t="str">
            <v>ONCALL</v>
          </cell>
          <cell r="C466" t="str">
            <v>2111</v>
          </cell>
          <cell r="D466" t="str">
            <v>COMMERCIAL</v>
          </cell>
          <cell r="E466" t="b">
            <v>1</v>
          </cell>
          <cell r="F466" t="b">
            <v>0</v>
          </cell>
          <cell r="G466" t="str">
            <v>SUMNER</v>
          </cell>
          <cell r="H466">
            <v>2320</v>
          </cell>
          <cell r="I466" t="str">
            <v>CTRIP</v>
          </cell>
          <cell r="J466" t="str">
            <v>RETURN TRIP CHARGE - CONT</v>
          </cell>
          <cell r="K466">
            <v>18.11</v>
          </cell>
          <cell r="L466">
            <v>18.11</v>
          </cell>
        </row>
        <row r="467">
          <cell r="A467" t="str">
            <v>VASHONCOMMERCIALCTRIP</v>
          </cell>
          <cell r="B467" t="str">
            <v>ONCALL</v>
          </cell>
          <cell r="C467" t="str">
            <v>2111</v>
          </cell>
          <cell r="D467" t="str">
            <v>COMMERCIAL</v>
          </cell>
          <cell r="E467" t="b">
            <v>1</v>
          </cell>
          <cell r="F467" t="b">
            <v>0</v>
          </cell>
          <cell r="G467" t="str">
            <v>VASHON</v>
          </cell>
          <cell r="H467">
            <v>2320</v>
          </cell>
          <cell r="I467" t="str">
            <v>CTRIP</v>
          </cell>
          <cell r="J467" t="str">
            <v>RETURN TRIP CHARGE - CONT</v>
          </cell>
          <cell r="K467">
            <v>5.62</v>
          </cell>
          <cell r="L467">
            <v>5.62</v>
          </cell>
        </row>
        <row r="468">
          <cell r="A468" t="str">
            <v>M-EDGEWOODCOMMERCIALCTRIPCAN</v>
          </cell>
          <cell r="B468" t="str">
            <v>ONCALL</v>
          </cell>
          <cell r="C468" t="str">
            <v>2111</v>
          </cell>
          <cell r="D468" t="str">
            <v>COMMERCIAL</v>
          </cell>
          <cell r="E468" t="b">
            <v>1</v>
          </cell>
          <cell r="F468" t="b">
            <v>0</v>
          </cell>
          <cell r="G468" t="str">
            <v>M-EDGEWOOD</v>
          </cell>
          <cell r="H468">
            <v>3061</v>
          </cell>
          <cell r="I468" t="str">
            <v>CTRIPCAN</v>
          </cell>
          <cell r="J468" t="str">
            <v>RETURN TRIP CHG - CANS</v>
          </cell>
          <cell r="K468">
            <v>9.0299999999999994</v>
          </cell>
          <cell r="L468">
            <v>9.0299999999999994</v>
          </cell>
        </row>
        <row r="469">
          <cell r="A469" t="str">
            <v>M-FIFECOMMERCIALCTRIPCAN</v>
          </cell>
          <cell r="B469" t="str">
            <v>ONCALL</v>
          </cell>
          <cell r="C469" t="str">
            <v>2111</v>
          </cell>
          <cell r="D469" t="str">
            <v>COMMERCIAL</v>
          </cell>
          <cell r="E469" t="b">
            <v>1</v>
          </cell>
          <cell r="F469" t="b">
            <v>0</v>
          </cell>
          <cell r="G469" t="str">
            <v>M-FIFE</v>
          </cell>
          <cell r="H469">
            <v>3061</v>
          </cell>
          <cell r="I469" t="str">
            <v>CTRIPCAN</v>
          </cell>
          <cell r="J469" t="str">
            <v>RETURN TRIP CHG - CANS</v>
          </cell>
          <cell r="K469">
            <v>9.0299999999999994</v>
          </cell>
          <cell r="L469">
            <v>9.0299999999999994</v>
          </cell>
        </row>
        <row r="470">
          <cell r="A470" t="str">
            <v>MURREYSCOMMERCIALCTRIPCAN</v>
          </cell>
          <cell r="B470" t="str">
            <v>ONCALL</v>
          </cell>
          <cell r="C470" t="str">
            <v>2111</v>
          </cell>
          <cell r="D470" t="str">
            <v>COMMERCIAL</v>
          </cell>
          <cell r="E470" t="b">
            <v>1</v>
          </cell>
          <cell r="F470" t="b">
            <v>0</v>
          </cell>
          <cell r="G470" t="str">
            <v>MURREYS</v>
          </cell>
          <cell r="H470">
            <v>3061</v>
          </cell>
          <cell r="I470" t="str">
            <v>CTRIPCAN</v>
          </cell>
          <cell r="J470" t="str">
            <v>RETURN TRIP CHG - CANS</v>
          </cell>
          <cell r="K470">
            <v>9.0299999999999994</v>
          </cell>
          <cell r="L470">
            <v>9.0299999999999994</v>
          </cell>
        </row>
        <row r="471">
          <cell r="A471" t="str">
            <v>DMRCOMMERCIAL RECYCLECTRIPCANRECY</v>
          </cell>
          <cell r="B471" t="e">
            <v>#N/A</v>
          </cell>
          <cell r="C471" t="str">
            <v>2111</v>
          </cell>
          <cell r="D471" t="str">
            <v>COMMERCIAL RECYCLE</v>
          </cell>
          <cell r="E471" t="b">
            <v>1</v>
          </cell>
          <cell r="F471" t="b">
            <v>0</v>
          </cell>
          <cell r="G471" t="str">
            <v>DMR</v>
          </cell>
          <cell r="H471">
            <v>3573</v>
          </cell>
          <cell r="I471" t="str">
            <v>CTRIPCANRECY</v>
          </cell>
          <cell r="J471" t="str">
            <v>RECY TRIP CHARGE - COM</v>
          </cell>
          <cell r="K471">
            <v>24</v>
          </cell>
          <cell r="L471">
            <v>24</v>
          </cell>
        </row>
        <row r="472">
          <cell r="A472" t="str">
            <v>DMR-BCOMMERCIAL RECYCLECTRIPCANRECY</v>
          </cell>
          <cell r="B472" t="e">
            <v>#N/A</v>
          </cell>
          <cell r="C472" t="str">
            <v>2111</v>
          </cell>
          <cell r="D472" t="str">
            <v>COMMERCIAL RECYCLE</v>
          </cell>
          <cell r="E472" t="b">
            <v>1</v>
          </cell>
          <cell r="F472" t="b">
            <v>0</v>
          </cell>
          <cell r="G472" t="str">
            <v>DMR-B</v>
          </cell>
          <cell r="H472">
            <v>3573</v>
          </cell>
          <cell r="I472" t="str">
            <v>CTRIPCANRECY</v>
          </cell>
          <cell r="J472" t="str">
            <v>RECY TRIP CHARGE - COM</v>
          </cell>
          <cell r="K472">
            <v>20.079999999999998</v>
          </cell>
          <cell r="L472">
            <v>20.079999999999998</v>
          </cell>
        </row>
        <row r="473">
          <cell r="A473" t="str">
            <v>DMR-BLCOMMERCIAL RECYCLECTRIPCANRECY</v>
          </cell>
          <cell r="B473" t="e">
            <v>#N/A</v>
          </cell>
          <cell r="C473" t="str">
            <v>2111</v>
          </cell>
          <cell r="D473" t="str">
            <v>COMMERCIAL RECYCLE</v>
          </cell>
          <cell r="E473" t="b">
            <v>1</v>
          </cell>
          <cell r="F473" t="b">
            <v>0</v>
          </cell>
          <cell r="G473" t="str">
            <v>DMR-BL</v>
          </cell>
          <cell r="H473">
            <v>3573</v>
          </cell>
          <cell r="I473" t="str">
            <v>CTRIPCANRECY</v>
          </cell>
          <cell r="J473" t="str">
            <v>RECY TRIP CHARGE - COM</v>
          </cell>
          <cell r="K473">
            <v>19.27</v>
          </cell>
          <cell r="L473">
            <v>19.27</v>
          </cell>
        </row>
        <row r="474">
          <cell r="A474" t="str">
            <v>DMR-CPCOMMERCIAL RECYCLECTRIPCANRECY</v>
          </cell>
          <cell r="B474" t="e">
            <v>#N/A</v>
          </cell>
          <cell r="C474" t="str">
            <v>2111</v>
          </cell>
          <cell r="D474" t="str">
            <v>COMMERCIAL RECYCLE</v>
          </cell>
          <cell r="E474" t="b">
            <v>1</v>
          </cell>
          <cell r="F474" t="b">
            <v>0</v>
          </cell>
          <cell r="G474" t="str">
            <v>DMR-CP</v>
          </cell>
          <cell r="H474">
            <v>3573</v>
          </cell>
          <cell r="I474" t="str">
            <v>CTRIPCANRECY</v>
          </cell>
          <cell r="J474" t="str">
            <v>RECY TRIP CHARGE - COM</v>
          </cell>
          <cell r="K474">
            <v>18.329999999999998</v>
          </cell>
          <cell r="L474">
            <v>18.329999999999998</v>
          </cell>
        </row>
        <row r="475">
          <cell r="A475" t="str">
            <v>DMR-MILCOMMERCIAL RECYCLECTRIPCANRECY</v>
          </cell>
          <cell r="B475" t="e">
            <v>#N/A</v>
          </cell>
          <cell r="C475" t="str">
            <v>2111</v>
          </cell>
          <cell r="D475" t="str">
            <v>COMMERCIAL RECYCLE</v>
          </cell>
          <cell r="E475" t="b">
            <v>1</v>
          </cell>
          <cell r="F475" t="b">
            <v>0</v>
          </cell>
          <cell r="G475" t="str">
            <v>DMR-MIL</v>
          </cell>
          <cell r="H475">
            <v>3573</v>
          </cell>
          <cell r="I475" t="str">
            <v>CTRIPCANRECY</v>
          </cell>
          <cell r="J475" t="str">
            <v>RECY TRIP CHARGE - COM</v>
          </cell>
          <cell r="K475">
            <v>8.33</v>
          </cell>
          <cell r="L475">
            <v>8.33</v>
          </cell>
        </row>
        <row r="476">
          <cell r="A476" t="str">
            <v>DMRCOMMERCIAL RECYCLECTRIPRECY</v>
          </cell>
          <cell r="B476" t="e">
            <v>#N/A</v>
          </cell>
          <cell r="C476" t="str">
            <v>2111</v>
          </cell>
          <cell r="D476" t="str">
            <v>COMMERCIAL RECYCLE</v>
          </cell>
          <cell r="E476" t="b">
            <v>1</v>
          </cell>
          <cell r="F476" t="b">
            <v>0</v>
          </cell>
          <cell r="G476" t="str">
            <v>DMR</v>
          </cell>
          <cell r="H476">
            <v>3572</v>
          </cell>
          <cell r="I476" t="str">
            <v>CTRIPRECY</v>
          </cell>
          <cell r="J476" t="str">
            <v>RETURN TRIP CHARGE - CONT</v>
          </cell>
          <cell r="K476">
            <v>24</v>
          </cell>
          <cell r="L476">
            <v>24</v>
          </cell>
        </row>
        <row r="477">
          <cell r="A477" t="str">
            <v>DMR-BCOMMERCIAL RECYCLECTRIPRECY</v>
          </cell>
          <cell r="B477" t="e">
            <v>#N/A</v>
          </cell>
          <cell r="C477" t="str">
            <v>2111</v>
          </cell>
          <cell r="D477" t="str">
            <v>COMMERCIAL RECYCLE</v>
          </cell>
          <cell r="E477" t="b">
            <v>1</v>
          </cell>
          <cell r="F477" t="b">
            <v>0</v>
          </cell>
          <cell r="G477" t="str">
            <v>DMR-B</v>
          </cell>
          <cell r="H477">
            <v>3572</v>
          </cell>
          <cell r="I477" t="str">
            <v>CTRIPRECY</v>
          </cell>
          <cell r="J477" t="str">
            <v>RETURN TRIP CHARGE - CONT</v>
          </cell>
          <cell r="K477">
            <v>20.079999999999998</v>
          </cell>
          <cell r="L477">
            <v>20.079999999999998</v>
          </cell>
        </row>
        <row r="478">
          <cell r="A478" t="str">
            <v>DMR-BLCOMMERCIAL RECYCLECTRIPRECY</v>
          </cell>
          <cell r="B478" t="e">
            <v>#N/A</v>
          </cell>
          <cell r="C478" t="str">
            <v>2111</v>
          </cell>
          <cell r="D478" t="str">
            <v>COMMERCIAL RECYCLE</v>
          </cell>
          <cell r="E478" t="b">
            <v>1</v>
          </cell>
          <cell r="F478" t="b">
            <v>0</v>
          </cell>
          <cell r="G478" t="str">
            <v>DMR-BL</v>
          </cell>
          <cell r="H478">
            <v>3572</v>
          </cell>
          <cell r="I478" t="str">
            <v>CTRIPRECY</v>
          </cell>
          <cell r="J478" t="str">
            <v>RETURN TRIP CHARGE - CONT</v>
          </cell>
          <cell r="K478">
            <v>19.27</v>
          </cell>
          <cell r="L478">
            <v>19.27</v>
          </cell>
        </row>
        <row r="479">
          <cell r="A479" t="str">
            <v>DMR-CPCOMMERCIAL RECYCLECTRIPRECY</v>
          </cell>
          <cell r="B479" t="e">
            <v>#N/A</v>
          </cell>
          <cell r="C479" t="str">
            <v>2111</v>
          </cell>
          <cell r="D479" t="str">
            <v>COMMERCIAL RECYCLE</v>
          </cell>
          <cell r="E479" t="b">
            <v>1</v>
          </cell>
          <cell r="F479" t="b">
            <v>0</v>
          </cell>
          <cell r="G479" t="str">
            <v>DMR-CP</v>
          </cell>
          <cell r="H479">
            <v>3572</v>
          </cell>
          <cell r="I479" t="str">
            <v>CTRIPRECY</v>
          </cell>
          <cell r="J479" t="str">
            <v>RETURN TRIP CHARGE - CONT</v>
          </cell>
          <cell r="K479">
            <v>18.329999999999998</v>
          </cell>
          <cell r="L479">
            <v>18.329999999999998</v>
          </cell>
        </row>
        <row r="480">
          <cell r="A480" t="str">
            <v>DMR-MILCOMMERCIAL RECYCLECTRIPRECY</v>
          </cell>
          <cell r="B480" t="e">
            <v>#N/A</v>
          </cell>
          <cell r="C480" t="str">
            <v>2111</v>
          </cell>
          <cell r="D480" t="str">
            <v>COMMERCIAL RECYCLE</v>
          </cell>
          <cell r="E480" t="b">
            <v>1</v>
          </cell>
          <cell r="F480" t="b">
            <v>0</v>
          </cell>
          <cell r="G480" t="str">
            <v>DMR-MIL</v>
          </cell>
          <cell r="H480">
            <v>3572</v>
          </cell>
          <cell r="I480" t="str">
            <v>CTRIPRECY</v>
          </cell>
          <cell r="J480" t="str">
            <v>RETURN TRIP CHARGE - CONT</v>
          </cell>
          <cell r="K480">
            <v>8.33</v>
          </cell>
          <cell r="L480">
            <v>8.33</v>
          </cell>
        </row>
        <row r="481">
          <cell r="A481" t="str">
            <v>M-EDGEWOODCOMMERCIALCUNLOCK</v>
          </cell>
          <cell r="B481" t="e">
            <v>#N/A</v>
          </cell>
          <cell r="C481" t="str">
            <v>2111</v>
          </cell>
          <cell r="D481" t="str">
            <v>COMMERCIAL</v>
          </cell>
          <cell r="E481" t="b">
            <v>0</v>
          </cell>
          <cell r="F481" t="b">
            <v>0</v>
          </cell>
          <cell r="G481" t="str">
            <v>M-EDGEWOOD</v>
          </cell>
          <cell r="H481">
            <v>3483</v>
          </cell>
          <cell r="I481" t="str">
            <v>CUNLOCK</v>
          </cell>
          <cell r="J481" t="str">
            <v>COMM UNLOCK GATE OR CONT</v>
          </cell>
          <cell r="K481">
            <v>4.76</v>
          </cell>
          <cell r="L481">
            <v>4.76</v>
          </cell>
        </row>
        <row r="482">
          <cell r="A482" t="str">
            <v>M-FIFECOMMERCIALCUNLOCK</v>
          </cell>
          <cell r="B482" t="e">
            <v>#N/A</v>
          </cell>
          <cell r="C482" t="str">
            <v>2111</v>
          </cell>
          <cell r="D482" t="str">
            <v>COMMERCIAL</v>
          </cell>
          <cell r="E482" t="b">
            <v>0</v>
          </cell>
          <cell r="F482" t="b">
            <v>0</v>
          </cell>
          <cell r="G482" t="str">
            <v>M-FIFE</v>
          </cell>
          <cell r="H482">
            <v>3483</v>
          </cell>
          <cell r="I482" t="str">
            <v>CUNLOCK</v>
          </cell>
          <cell r="J482" t="str">
            <v>COMM UNLOCK GATE OR CONT</v>
          </cell>
          <cell r="K482">
            <v>4.76</v>
          </cell>
          <cell r="L482">
            <v>4.76</v>
          </cell>
        </row>
        <row r="483">
          <cell r="A483" t="str">
            <v>MURREYSCOMMERCIALCUNLOCK</v>
          </cell>
          <cell r="B483" t="e">
            <v>#N/A</v>
          </cell>
          <cell r="C483" t="str">
            <v>2111</v>
          </cell>
          <cell r="D483" t="str">
            <v>COMMERCIAL</v>
          </cell>
          <cell r="E483" t="b">
            <v>0</v>
          </cell>
          <cell r="F483" t="b">
            <v>0</v>
          </cell>
          <cell r="G483" t="str">
            <v>MURREYS</v>
          </cell>
          <cell r="H483">
            <v>3483</v>
          </cell>
          <cell r="I483" t="str">
            <v>CUNLOCK</v>
          </cell>
          <cell r="J483" t="str">
            <v>COMM UNLOCK GATE OR CONT</v>
          </cell>
          <cell r="K483">
            <v>4.76</v>
          </cell>
          <cell r="L483">
            <v>4.76</v>
          </cell>
        </row>
        <row r="484">
          <cell r="A484" t="str">
            <v>BONNEY LAKERESIDENTIALDELCART</v>
          </cell>
          <cell r="B484" t="str">
            <v>ONCALL</v>
          </cell>
          <cell r="C484" t="str">
            <v>2111</v>
          </cell>
          <cell r="D484" t="str">
            <v>RESIDENTIAL</v>
          </cell>
          <cell r="E484" t="b">
            <v>1</v>
          </cell>
          <cell r="F484" t="b">
            <v>0</v>
          </cell>
          <cell r="G484" t="str">
            <v>BONNEY LAKE</v>
          </cell>
          <cell r="H484">
            <v>3290</v>
          </cell>
          <cell r="I484" t="str">
            <v>DELCART</v>
          </cell>
          <cell r="J484" t="str">
            <v>CART REDELIVERY</v>
          </cell>
          <cell r="K484">
            <v>21.24</v>
          </cell>
          <cell r="L484">
            <v>21.24</v>
          </cell>
        </row>
        <row r="485">
          <cell r="A485" t="str">
            <v>BUCKLEYRESIDENTIALDELCART</v>
          </cell>
          <cell r="B485" t="str">
            <v>ONCALL</v>
          </cell>
          <cell r="C485" t="str">
            <v>2111</v>
          </cell>
          <cell r="D485" t="str">
            <v>RESIDENTIAL</v>
          </cell>
          <cell r="E485" t="b">
            <v>1</v>
          </cell>
          <cell r="F485" t="b">
            <v>0</v>
          </cell>
          <cell r="G485" t="str">
            <v>BUCKLEY</v>
          </cell>
          <cell r="H485">
            <v>3290</v>
          </cell>
          <cell r="I485" t="str">
            <v>DELCART</v>
          </cell>
          <cell r="J485" t="str">
            <v>CART REDELIVERY</v>
          </cell>
          <cell r="K485">
            <v>25</v>
          </cell>
          <cell r="L485">
            <v>25</v>
          </cell>
        </row>
        <row r="486">
          <cell r="A486" t="str">
            <v>CARBONADORESIDENTIALDELCART</v>
          </cell>
          <cell r="B486" t="str">
            <v>ONCALL</v>
          </cell>
          <cell r="C486" t="str">
            <v>2111</v>
          </cell>
          <cell r="D486" t="str">
            <v>RESIDENTIAL</v>
          </cell>
          <cell r="E486" t="b">
            <v>1</v>
          </cell>
          <cell r="F486" t="b">
            <v>0</v>
          </cell>
          <cell r="G486" t="str">
            <v>CARBONADO</v>
          </cell>
          <cell r="H486">
            <v>3290</v>
          </cell>
          <cell r="I486" t="str">
            <v>DELCART</v>
          </cell>
          <cell r="J486" t="str">
            <v>CART REDELIVERY</v>
          </cell>
          <cell r="K486">
            <v>22.18</v>
          </cell>
          <cell r="L486">
            <v>22.18</v>
          </cell>
        </row>
        <row r="487">
          <cell r="A487" t="str">
            <v>M-EDGEWOODRESIDENTIALDELCART</v>
          </cell>
          <cell r="B487" t="str">
            <v>ONCALL</v>
          </cell>
          <cell r="C487" t="str">
            <v>2111</v>
          </cell>
          <cell r="D487" t="str">
            <v>RESIDENTIAL</v>
          </cell>
          <cell r="E487" t="b">
            <v>1</v>
          </cell>
          <cell r="F487" t="b">
            <v>0</v>
          </cell>
          <cell r="G487" t="str">
            <v>M-EDGEWOOD</v>
          </cell>
          <cell r="H487">
            <v>3290</v>
          </cell>
          <cell r="I487" t="str">
            <v>DELCART</v>
          </cell>
          <cell r="J487" t="str">
            <v>CART REDELIVERY</v>
          </cell>
          <cell r="K487">
            <v>22.64</v>
          </cell>
          <cell r="L487">
            <v>22.64</v>
          </cell>
        </row>
        <row r="488">
          <cell r="A488" t="str">
            <v>M-FIFERESIDENTIALDELCART</v>
          </cell>
          <cell r="B488" t="str">
            <v>ONCALL</v>
          </cell>
          <cell r="C488" t="str">
            <v>2111</v>
          </cell>
          <cell r="D488" t="str">
            <v>RESIDENTIAL</v>
          </cell>
          <cell r="E488" t="b">
            <v>1</v>
          </cell>
          <cell r="F488" t="b">
            <v>0</v>
          </cell>
          <cell r="G488" t="str">
            <v>M-FIFE</v>
          </cell>
          <cell r="H488">
            <v>3290</v>
          </cell>
          <cell r="I488" t="str">
            <v>DELCART</v>
          </cell>
          <cell r="J488" t="str">
            <v>CART REDELIVERY</v>
          </cell>
          <cell r="K488">
            <v>22.64</v>
          </cell>
          <cell r="L488">
            <v>22.64</v>
          </cell>
        </row>
        <row r="489">
          <cell r="A489" t="str">
            <v>MILTONRESIDENTIALDELCART</v>
          </cell>
          <cell r="B489" t="str">
            <v>ONCALL</v>
          </cell>
          <cell r="C489" t="str">
            <v>2111</v>
          </cell>
          <cell r="D489" t="str">
            <v>RESIDENTIAL</v>
          </cell>
          <cell r="E489" t="b">
            <v>1</v>
          </cell>
          <cell r="F489" t="b">
            <v>0</v>
          </cell>
          <cell r="G489" t="str">
            <v>MILTON</v>
          </cell>
          <cell r="H489">
            <v>3290</v>
          </cell>
          <cell r="I489" t="str">
            <v>DELCART</v>
          </cell>
          <cell r="J489" t="str">
            <v>CART REDELIVERY</v>
          </cell>
          <cell r="K489">
            <v>27.72</v>
          </cell>
          <cell r="L489">
            <v>27.72</v>
          </cell>
        </row>
        <row r="490">
          <cell r="A490" t="str">
            <v>MURREYSRESIDENTIALDELCART</v>
          </cell>
          <cell r="B490" t="str">
            <v>ONCALL</v>
          </cell>
          <cell r="C490" t="str">
            <v>2111</v>
          </cell>
          <cell r="D490" t="str">
            <v>RESIDENTIAL</v>
          </cell>
          <cell r="E490" t="b">
            <v>1</v>
          </cell>
          <cell r="F490" t="b">
            <v>0</v>
          </cell>
          <cell r="G490" t="str">
            <v>MURREYS</v>
          </cell>
          <cell r="H490">
            <v>3290</v>
          </cell>
          <cell r="I490" t="str">
            <v>DELCART</v>
          </cell>
          <cell r="J490" t="str">
            <v>CART REDELIVERY</v>
          </cell>
          <cell r="K490">
            <v>22.64</v>
          </cell>
          <cell r="L490">
            <v>22.64</v>
          </cell>
        </row>
        <row r="491">
          <cell r="A491" t="str">
            <v>ORTINGRESIDENTIALDELCART</v>
          </cell>
          <cell r="B491" t="str">
            <v>ONCALL</v>
          </cell>
          <cell r="C491" t="str">
            <v>2111</v>
          </cell>
          <cell r="D491" t="str">
            <v>RESIDENTIAL</v>
          </cell>
          <cell r="E491" t="b">
            <v>1</v>
          </cell>
          <cell r="F491" t="b">
            <v>0</v>
          </cell>
          <cell r="G491" t="str">
            <v>ORTING</v>
          </cell>
          <cell r="H491">
            <v>3290</v>
          </cell>
          <cell r="I491" t="str">
            <v>DELCART</v>
          </cell>
          <cell r="J491" t="str">
            <v>CART REDELIVERY</v>
          </cell>
          <cell r="K491">
            <v>17.059999999999999</v>
          </cell>
          <cell r="L491">
            <v>17.059999999999999</v>
          </cell>
        </row>
        <row r="492">
          <cell r="A492" t="str">
            <v>PUYALLUPRESIDENTIALDELCART</v>
          </cell>
          <cell r="B492" t="str">
            <v>ONCALL</v>
          </cell>
          <cell r="C492" t="str">
            <v>2111</v>
          </cell>
          <cell r="D492" t="str">
            <v>RESIDENTIAL</v>
          </cell>
          <cell r="E492" t="b">
            <v>1</v>
          </cell>
          <cell r="F492" t="b">
            <v>0</v>
          </cell>
          <cell r="G492" t="str">
            <v>PUYALLUP</v>
          </cell>
          <cell r="H492">
            <v>3290</v>
          </cell>
          <cell r="I492" t="str">
            <v>DELCART</v>
          </cell>
          <cell r="J492" t="str">
            <v>CART REDELIVERY</v>
          </cell>
          <cell r="K492">
            <v>15.73</v>
          </cell>
          <cell r="L492">
            <v>15.73</v>
          </cell>
        </row>
        <row r="493">
          <cell r="A493" t="str">
            <v>RUSTONRESIDENTIALDELCART</v>
          </cell>
          <cell r="B493" t="str">
            <v>ONCALL</v>
          </cell>
          <cell r="C493" t="str">
            <v>2111</v>
          </cell>
          <cell r="D493" t="str">
            <v>RESIDENTIAL</v>
          </cell>
          <cell r="E493" t="b">
            <v>1</v>
          </cell>
          <cell r="F493" t="b">
            <v>0</v>
          </cell>
          <cell r="G493" t="str">
            <v>RUSTON</v>
          </cell>
          <cell r="H493">
            <v>3290</v>
          </cell>
          <cell r="I493" t="str">
            <v>DELCART</v>
          </cell>
          <cell r="J493" t="str">
            <v>CART REDELIVERY</v>
          </cell>
          <cell r="K493">
            <v>25</v>
          </cell>
          <cell r="L493">
            <v>25</v>
          </cell>
        </row>
        <row r="494">
          <cell r="A494" t="str">
            <v>SOUTH PRAIRIERESIDENTIALDELCART</v>
          </cell>
          <cell r="B494" t="str">
            <v>ONCALL</v>
          </cell>
          <cell r="C494" t="str">
            <v>2111</v>
          </cell>
          <cell r="D494" t="str">
            <v>RESIDENTIAL</v>
          </cell>
          <cell r="E494" t="b">
            <v>1</v>
          </cell>
          <cell r="F494" t="b">
            <v>0</v>
          </cell>
          <cell r="G494" t="str">
            <v>SOUTH PRAIRIE</v>
          </cell>
          <cell r="H494">
            <v>3290</v>
          </cell>
          <cell r="I494" t="str">
            <v>DELCART</v>
          </cell>
          <cell r="J494" t="str">
            <v>CART REDELIVERY</v>
          </cell>
          <cell r="K494">
            <v>22.53</v>
          </cell>
          <cell r="L494">
            <v>22.53</v>
          </cell>
        </row>
        <row r="495">
          <cell r="A495" t="str">
            <v>SUMNERRESIDENTIALDELCART</v>
          </cell>
          <cell r="B495" t="str">
            <v>ONCALL</v>
          </cell>
          <cell r="C495" t="str">
            <v>2111</v>
          </cell>
          <cell r="D495" t="str">
            <v>RESIDENTIAL</v>
          </cell>
          <cell r="E495" t="b">
            <v>1</v>
          </cell>
          <cell r="F495" t="b">
            <v>0</v>
          </cell>
          <cell r="G495" t="str">
            <v>SUMNER</v>
          </cell>
          <cell r="H495">
            <v>3290</v>
          </cell>
          <cell r="I495" t="str">
            <v>DELCART</v>
          </cell>
          <cell r="J495" t="str">
            <v>CART REDELIVERY</v>
          </cell>
          <cell r="K495">
            <v>25</v>
          </cell>
          <cell r="L495">
            <v>25</v>
          </cell>
        </row>
        <row r="496">
          <cell r="A496" t="str">
            <v>DMRROLL OFFDELREC-RO</v>
          </cell>
          <cell r="B496" t="str">
            <v>ONCALL</v>
          </cell>
          <cell r="C496" t="str">
            <v>2111</v>
          </cell>
          <cell r="D496" t="str">
            <v>ROLL OFF</v>
          </cell>
          <cell r="E496" t="b">
            <v>1</v>
          </cell>
          <cell r="F496" t="b">
            <v>0</v>
          </cell>
          <cell r="G496" t="str">
            <v>DMR</v>
          </cell>
          <cell r="H496">
            <v>13358</v>
          </cell>
          <cell r="I496" t="str">
            <v>DELREC-RO</v>
          </cell>
          <cell r="J496" t="str">
            <v>ROLL OFF RECYCLE DELIVERY</v>
          </cell>
          <cell r="K496">
            <v>150</v>
          </cell>
          <cell r="L496">
            <v>150</v>
          </cell>
        </row>
        <row r="497">
          <cell r="A497" t="str">
            <v>BONNEY LAKEROLL OFFDISP</v>
          </cell>
          <cell r="B497" t="str">
            <v>ONCALL</v>
          </cell>
          <cell r="C497" t="str">
            <v>2111</v>
          </cell>
          <cell r="D497" t="str">
            <v>ROLL OFF</v>
          </cell>
          <cell r="E497" t="b">
            <v>1</v>
          </cell>
          <cell r="F497" t="b">
            <v>1</v>
          </cell>
          <cell r="G497" t="str">
            <v>BONNEY LAKE</v>
          </cell>
          <cell r="H497">
            <v>3068</v>
          </cell>
          <cell r="I497" t="str">
            <v>DISP</v>
          </cell>
          <cell r="J497" t="str">
            <v>DISPOSAL FEE PER TON</v>
          </cell>
          <cell r="K497">
            <v>168.51</v>
          </cell>
          <cell r="L497">
            <v>168.51</v>
          </cell>
        </row>
        <row r="498">
          <cell r="A498" t="str">
            <v>DM-PIERROLL OFFDISP</v>
          </cell>
          <cell r="B498" t="str">
            <v>ONCALL</v>
          </cell>
          <cell r="C498" t="str">
            <v>2111</v>
          </cell>
          <cell r="D498" t="str">
            <v>ROLL OFF</v>
          </cell>
          <cell r="E498" t="b">
            <v>1</v>
          </cell>
          <cell r="F498" t="b">
            <v>1</v>
          </cell>
          <cell r="G498" t="str">
            <v>DM-PIER</v>
          </cell>
          <cell r="H498">
            <v>3068</v>
          </cell>
          <cell r="I498" t="str">
            <v>DISP</v>
          </cell>
          <cell r="J498" t="str">
            <v>DISPOSAL FEE PER TON</v>
          </cell>
          <cell r="K498">
            <v>168.51</v>
          </cell>
          <cell r="L498">
            <v>168.51</v>
          </cell>
        </row>
        <row r="499">
          <cell r="A499" t="str">
            <v>M-EDGEWOODROLL OFFDISP</v>
          </cell>
          <cell r="B499" t="str">
            <v>ONCALL</v>
          </cell>
          <cell r="C499" t="str">
            <v>2111</v>
          </cell>
          <cell r="D499" t="str">
            <v>ROLL OFF</v>
          </cell>
          <cell r="E499" t="b">
            <v>1</v>
          </cell>
          <cell r="F499" t="b">
            <v>1</v>
          </cell>
          <cell r="G499" t="str">
            <v>M-EDGEWOOD</v>
          </cell>
          <cell r="H499">
            <v>3068</v>
          </cell>
          <cell r="I499" t="str">
            <v>DISP</v>
          </cell>
          <cell r="J499" t="str">
            <v>DISPOSAL FEE PER TON</v>
          </cell>
          <cell r="K499">
            <v>168.51</v>
          </cell>
          <cell r="L499">
            <v>168.51</v>
          </cell>
        </row>
        <row r="500">
          <cell r="A500" t="str">
            <v>M-FIFEROLL OFFDISP</v>
          </cell>
          <cell r="B500" t="str">
            <v>ONCALL</v>
          </cell>
          <cell r="C500" t="str">
            <v>2111</v>
          </cell>
          <cell r="D500" t="str">
            <v>ROLL OFF</v>
          </cell>
          <cell r="E500" t="b">
            <v>1</v>
          </cell>
          <cell r="F500" t="b">
            <v>1</v>
          </cell>
          <cell r="G500" t="str">
            <v>M-FIFE</v>
          </cell>
          <cell r="H500">
            <v>3068</v>
          </cell>
          <cell r="I500" t="str">
            <v>DISP</v>
          </cell>
          <cell r="J500" t="str">
            <v>DISPOSAL FEE PER TON</v>
          </cell>
          <cell r="K500">
            <v>168.51</v>
          </cell>
          <cell r="L500">
            <v>168.51</v>
          </cell>
        </row>
        <row r="501">
          <cell r="A501" t="str">
            <v>MURREYSROLL OFFDISP</v>
          </cell>
          <cell r="B501" t="str">
            <v>ONCALL</v>
          </cell>
          <cell r="C501" t="str">
            <v>2111</v>
          </cell>
          <cell r="D501" t="str">
            <v>ROLL OFF</v>
          </cell>
          <cell r="E501" t="b">
            <v>1</v>
          </cell>
          <cell r="F501" t="b">
            <v>1</v>
          </cell>
          <cell r="G501" t="str">
            <v>MURREYS</v>
          </cell>
          <cell r="H501">
            <v>3068</v>
          </cell>
          <cell r="I501" t="str">
            <v>DISP</v>
          </cell>
          <cell r="J501" t="str">
            <v>DISPOSAL FEE PER TON</v>
          </cell>
          <cell r="K501">
            <v>168.51</v>
          </cell>
          <cell r="L501">
            <v>168.51</v>
          </cell>
        </row>
        <row r="502">
          <cell r="A502" t="str">
            <v>PUYALLUPROLL OFFDISP</v>
          </cell>
          <cell r="B502" t="str">
            <v>ONCALL</v>
          </cell>
          <cell r="C502" t="str">
            <v>2111</v>
          </cell>
          <cell r="D502" t="str">
            <v>ROLL OFF</v>
          </cell>
          <cell r="E502" t="b">
            <v>1</v>
          </cell>
          <cell r="F502" t="b">
            <v>1</v>
          </cell>
          <cell r="G502" t="str">
            <v>PUYALLUP</v>
          </cell>
          <cell r="H502">
            <v>3068</v>
          </cell>
          <cell r="I502" t="str">
            <v>DISP</v>
          </cell>
          <cell r="J502" t="str">
            <v>DISPOSAL FEE PER TON</v>
          </cell>
          <cell r="K502">
            <v>168.51</v>
          </cell>
          <cell r="L502">
            <v>168.51</v>
          </cell>
        </row>
        <row r="503">
          <cell r="A503" t="str">
            <v>RUSTONROLL OFFDISP</v>
          </cell>
          <cell r="B503" t="str">
            <v>ONCALL</v>
          </cell>
          <cell r="C503" t="str">
            <v>2111</v>
          </cell>
          <cell r="D503" t="str">
            <v>ROLL OFF</v>
          </cell>
          <cell r="E503" t="b">
            <v>1</v>
          </cell>
          <cell r="F503" t="b">
            <v>1</v>
          </cell>
          <cell r="G503" t="str">
            <v>RUSTON</v>
          </cell>
          <cell r="H503">
            <v>3068</v>
          </cell>
          <cell r="I503" t="str">
            <v>DISP</v>
          </cell>
          <cell r="J503" t="str">
            <v>DISPOSAL FEE PER TON</v>
          </cell>
          <cell r="K503">
            <v>168.51</v>
          </cell>
          <cell r="L503">
            <v>168.51</v>
          </cell>
        </row>
        <row r="504">
          <cell r="A504" t="str">
            <v>VASHONROLL OFFDISP</v>
          </cell>
          <cell r="B504" t="str">
            <v>ONCALL</v>
          </cell>
          <cell r="C504" t="str">
            <v>2111</v>
          </cell>
          <cell r="D504" t="str">
            <v>ROLL OFF</v>
          </cell>
          <cell r="E504" t="b">
            <v>1</v>
          </cell>
          <cell r="F504" t="b">
            <v>1</v>
          </cell>
          <cell r="G504" t="str">
            <v>VASHON</v>
          </cell>
          <cell r="H504">
            <v>3068</v>
          </cell>
          <cell r="I504" t="str">
            <v>DISP</v>
          </cell>
          <cell r="J504" t="str">
            <v>DISPOSAL FEE PER TON</v>
          </cell>
          <cell r="K504">
            <v>154.02000000000001</v>
          </cell>
          <cell r="L504">
            <v>154.02000000000001</v>
          </cell>
        </row>
        <row r="505">
          <cell r="A505" t="str">
            <v>VASHONCOMMERCIALDRIVEDWAY-COMM</v>
          </cell>
          <cell r="B505" t="str">
            <v>ONCALL</v>
          </cell>
          <cell r="C505" t="str">
            <v>2111</v>
          </cell>
          <cell r="D505" t="str">
            <v>COMMERCIAL</v>
          </cell>
          <cell r="E505" t="b">
            <v>0</v>
          </cell>
          <cell r="F505" t="b">
            <v>0</v>
          </cell>
          <cell r="G505" t="str">
            <v>VASHON</v>
          </cell>
          <cell r="H505">
            <v>3472</v>
          </cell>
          <cell r="I505" t="str">
            <v>DRIVEDWAY-COMM</v>
          </cell>
          <cell r="J505" t="str">
            <v>DRIVE IN DRIVEWAY - COMM</v>
          </cell>
          <cell r="K505">
            <v>2.9</v>
          </cell>
          <cell r="L505">
            <v>2.9</v>
          </cell>
        </row>
        <row r="506">
          <cell r="A506" t="str">
            <v>VASHONRESIDENTIALDRIVEPRVT-RES</v>
          </cell>
          <cell r="B506" t="str">
            <v>BI-MONTHLY SPLIT ODD</v>
          </cell>
          <cell r="C506" t="str">
            <v>2111</v>
          </cell>
          <cell r="D506" t="str">
            <v>RESIDENTIAL</v>
          </cell>
          <cell r="E506" t="b">
            <v>0</v>
          </cell>
          <cell r="F506" t="b">
            <v>0</v>
          </cell>
          <cell r="G506" t="str">
            <v>VASHON</v>
          </cell>
          <cell r="H506">
            <v>3459</v>
          </cell>
          <cell r="I506" t="str">
            <v>DRIVEPRVT-RES</v>
          </cell>
          <cell r="J506" t="str">
            <v>DRIVE IN PRIVATE RD - RES</v>
          </cell>
          <cell r="K506">
            <v>11.24</v>
          </cell>
          <cell r="L506">
            <v>5.62</v>
          </cell>
        </row>
        <row r="507">
          <cell r="A507" t="str">
            <v>VASHONCOMMERCIALDRIVEPVT-COMM</v>
          </cell>
          <cell r="B507" t="str">
            <v>ONCALL</v>
          </cell>
          <cell r="C507" t="str">
            <v>2111</v>
          </cell>
          <cell r="D507" t="str">
            <v>COMMERCIAL</v>
          </cell>
          <cell r="E507" t="b">
            <v>0</v>
          </cell>
          <cell r="F507" t="b">
            <v>0</v>
          </cell>
          <cell r="G507" t="str">
            <v>VASHON</v>
          </cell>
          <cell r="H507">
            <v>3471</v>
          </cell>
          <cell r="I507" t="str">
            <v>DRIVEPVT-COMM</v>
          </cell>
          <cell r="J507" t="str">
            <v>DRIVE IN PRIVATE RD - COMM</v>
          </cell>
          <cell r="K507">
            <v>6.06</v>
          </cell>
          <cell r="L507">
            <v>6.06</v>
          </cell>
        </row>
        <row r="508">
          <cell r="A508" t="str">
            <v>M-EDGEWOODCOMMERCIALDRVNC</v>
          </cell>
          <cell r="B508" t="str">
            <v>MONTHLY ARREARS</v>
          </cell>
          <cell r="C508" t="str">
            <v>2111</v>
          </cell>
          <cell r="D508" t="str">
            <v>COMMERCIAL</v>
          </cell>
          <cell r="E508" t="b">
            <v>0</v>
          </cell>
          <cell r="F508" t="b">
            <v>0</v>
          </cell>
          <cell r="G508" t="str">
            <v>M-EDGEWOOD</v>
          </cell>
          <cell r="H508">
            <v>3145</v>
          </cell>
          <cell r="I508" t="str">
            <v>DRVNC</v>
          </cell>
          <cell r="J508" t="str">
            <v>DRIVE IN - CMML</v>
          </cell>
          <cell r="K508">
            <v>5.07</v>
          </cell>
          <cell r="L508">
            <v>5.07</v>
          </cell>
        </row>
        <row r="509">
          <cell r="A509" t="str">
            <v>M-FIFECOMMERCIALDRVNC</v>
          </cell>
          <cell r="B509" t="str">
            <v>MONTHLY ARREARS</v>
          </cell>
          <cell r="C509" t="str">
            <v>2111</v>
          </cell>
          <cell r="D509" t="str">
            <v>COMMERCIAL</v>
          </cell>
          <cell r="E509" t="b">
            <v>0</v>
          </cell>
          <cell r="F509" t="b">
            <v>0</v>
          </cell>
          <cell r="G509" t="str">
            <v>M-FIFE</v>
          </cell>
          <cell r="H509">
            <v>3145</v>
          </cell>
          <cell r="I509" t="str">
            <v>DRVNC</v>
          </cell>
          <cell r="J509" t="str">
            <v>DRIVE IN - CMML</v>
          </cell>
          <cell r="K509">
            <v>5.07</v>
          </cell>
          <cell r="L509">
            <v>5.07</v>
          </cell>
        </row>
        <row r="510">
          <cell r="A510" t="str">
            <v>MURREYSCOMMERCIALDRVNC</v>
          </cell>
          <cell r="B510" t="str">
            <v>MONTHLY ARREARS</v>
          </cell>
          <cell r="C510" t="str">
            <v>2111</v>
          </cell>
          <cell r="D510" t="str">
            <v>COMMERCIAL</v>
          </cell>
          <cell r="E510" t="b">
            <v>0</v>
          </cell>
          <cell r="F510" t="b">
            <v>0</v>
          </cell>
          <cell r="G510" t="str">
            <v>MURREYS</v>
          </cell>
          <cell r="H510">
            <v>3145</v>
          </cell>
          <cell r="I510" t="str">
            <v>DRVNC</v>
          </cell>
          <cell r="J510" t="str">
            <v>DRIVE IN - CMML</v>
          </cell>
          <cell r="K510">
            <v>5.07</v>
          </cell>
          <cell r="L510">
            <v>5.07</v>
          </cell>
        </row>
        <row r="511">
          <cell r="A511" t="str">
            <v>M-EDGEWOODMULTI-FAMILYDRVNM</v>
          </cell>
          <cell r="B511" t="str">
            <v>MONTHLY ARREARS</v>
          </cell>
          <cell r="C511" t="str">
            <v>2111</v>
          </cell>
          <cell r="D511" t="str">
            <v>MULTI-FAMILY</v>
          </cell>
          <cell r="E511" t="b">
            <v>0</v>
          </cell>
          <cell r="F511" t="b">
            <v>0</v>
          </cell>
          <cell r="G511" t="str">
            <v>M-EDGEWOOD</v>
          </cell>
          <cell r="H511">
            <v>55</v>
          </cell>
          <cell r="I511" t="str">
            <v>DRVNM</v>
          </cell>
          <cell r="J511" t="str">
            <v>DRIVE IN - MULTIFAMILY</v>
          </cell>
          <cell r="K511">
            <v>5.07</v>
          </cell>
          <cell r="L511">
            <v>5.07</v>
          </cell>
        </row>
        <row r="512">
          <cell r="A512" t="str">
            <v>M-FIFEMULTI-FAMILYDRVNM</v>
          </cell>
          <cell r="B512" t="str">
            <v>MONTHLY ARREARS</v>
          </cell>
          <cell r="C512" t="str">
            <v>2111</v>
          </cell>
          <cell r="D512" t="str">
            <v>MULTI-FAMILY</v>
          </cell>
          <cell r="E512" t="b">
            <v>0</v>
          </cell>
          <cell r="F512" t="b">
            <v>0</v>
          </cell>
          <cell r="G512" t="str">
            <v>M-FIFE</v>
          </cell>
          <cell r="H512">
            <v>55</v>
          </cell>
          <cell r="I512" t="str">
            <v>DRVNM</v>
          </cell>
          <cell r="J512" t="str">
            <v>DRIVE IN - MULTIFAMILY</v>
          </cell>
          <cell r="K512">
            <v>5.07</v>
          </cell>
          <cell r="L512">
            <v>5.07</v>
          </cell>
        </row>
        <row r="513">
          <cell r="A513" t="str">
            <v>MURREYSMULTI-FAMILYDRVNM</v>
          </cell>
          <cell r="B513" t="str">
            <v>MONTHLY ARREARS</v>
          </cell>
          <cell r="C513" t="str">
            <v>2111</v>
          </cell>
          <cell r="D513" t="str">
            <v>MULTI-FAMILY</v>
          </cell>
          <cell r="E513" t="b">
            <v>0</v>
          </cell>
          <cell r="F513" t="b">
            <v>0</v>
          </cell>
          <cell r="G513" t="str">
            <v>MURREYS</v>
          </cell>
          <cell r="H513">
            <v>55</v>
          </cell>
          <cell r="I513" t="str">
            <v>DRVNM</v>
          </cell>
          <cell r="J513" t="str">
            <v>DRIVE IN - MULTIFAMILY</v>
          </cell>
          <cell r="K513">
            <v>5.07</v>
          </cell>
          <cell r="L513">
            <v>5.07</v>
          </cell>
        </row>
        <row r="514">
          <cell r="A514" t="str">
            <v>M-EDGEWOODRESIDENTIALDRVNR-RECYCLE</v>
          </cell>
          <cell r="B514" t="str">
            <v>BI-MONTHLY SPLIT ODD</v>
          </cell>
          <cell r="C514" t="str">
            <v>2111</v>
          </cell>
          <cell r="D514" t="str">
            <v>RESIDENTIAL</v>
          </cell>
          <cell r="E514" t="b">
            <v>0</v>
          </cell>
          <cell r="F514" t="b">
            <v>0</v>
          </cell>
          <cell r="G514" t="str">
            <v>M-EDGEWOOD</v>
          </cell>
          <cell r="H514">
            <v>3344</v>
          </cell>
          <cell r="I514" t="str">
            <v>DRVNR-RECYCLE</v>
          </cell>
          <cell r="J514" t="str">
            <v>DRIVE IN RECYCLE</v>
          </cell>
          <cell r="K514">
            <v>9.26</v>
          </cell>
          <cell r="L514">
            <v>4.63</v>
          </cell>
        </row>
        <row r="515">
          <cell r="A515" t="str">
            <v>M-FIFERESIDENTIALDRVNR-RECYCLE</v>
          </cell>
          <cell r="B515" t="str">
            <v>BI-MONTHLY SPLIT ODD</v>
          </cell>
          <cell r="C515" t="str">
            <v>2111</v>
          </cell>
          <cell r="D515" t="str">
            <v>RESIDENTIAL</v>
          </cell>
          <cell r="E515" t="b">
            <v>0</v>
          </cell>
          <cell r="F515" t="b">
            <v>0</v>
          </cell>
          <cell r="G515" t="str">
            <v>M-FIFE</v>
          </cell>
          <cell r="H515">
            <v>3344</v>
          </cell>
          <cell r="I515" t="str">
            <v>DRVNR-RECYCLE</v>
          </cell>
          <cell r="J515" t="str">
            <v>DRIVE IN RECYCLE</v>
          </cell>
          <cell r="K515">
            <v>9.26</v>
          </cell>
          <cell r="L515">
            <v>4.63</v>
          </cell>
        </row>
        <row r="516">
          <cell r="A516" t="str">
            <v>MURREYSRESIDENTIALDRVNR-RECYCLE</v>
          </cell>
          <cell r="B516" t="str">
            <v>BI-MONTHLY SPLIT ODD</v>
          </cell>
          <cell r="C516" t="str">
            <v>2111</v>
          </cell>
          <cell r="D516" t="str">
            <v>RESIDENTIAL</v>
          </cell>
          <cell r="E516" t="b">
            <v>0</v>
          </cell>
          <cell r="F516" t="b">
            <v>0</v>
          </cell>
          <cell r="G516" t="str">
            <v>MURREYS</v>
          </cell>
          <cell r="H516">
            <v>3344</v>
          </cell>
          <cell r="I516" t="str">
            <v>DRVNR-RECYCLE</v>
          </cell>
          <cell r="J516" t="str">
            <v>DRIVE IN RECYCLE</v>
          </cell>
          <cell r="K516">
            <v>9.26</v>
          </cell>
          <cell r="L516">
            <v>4.63</v>
          </cell>
        </row>
        <row r="517">
          <cell r="A517" t="str">
            <v>M-EDGEWOODRESIDENTIALDRVNR-YARDWASTE</v>
          </cell>
          <cell r="B517" t="str">
            <v>BI-MONTHLY SPLIT ODD</v>
          </cell>
          <cell r="C517" t="str">
            <v>2111</v>
          </cell>
          <cell r="D517" t="str">
            <v>RESIDENTIAL</v>
          </cell>
          <cell r="E517" t="b">
            <v>0</v>
          </cell>
          <cell r="F517" t="b">
            <v>0</v>
          </cell>
          <cell r="G517" t="str">
            <v>M-EDGEWOOD</v>
          </cell>
          <cell r="H517">
            <v>3343</v>
          </cell>
          <cell r="I517" t="str">
            <v>DRVNR-YARDWASTE</v>
          </cell>
          <cell r="J517" t="str">
            <v>DRIVE IN YARDWASTE</v>
          </cell>
          <cell r="K517">
            <v>8.66</v>
          </cell>
          <cell r="L517">
            <v>4.33</v>
          </cell>
        </row>
        <row r="518">
          <cell r="A518" t="str">
            <v>M-FIFERESIDENTIALDRVNR-YARDWASTE</v>
          </cell>
          <cell r="B518" t="str">
            <v>BI-MONTHLY SPLIT ODD</v>
          </cell>
          <cell r="C518" t="str">
            <v>2111</v>
          </cell>
          <cell r="D518" t="str">
            <v>RESIDENTIAL</v>
          </cell>
          <cell r="E518" t="b">
            <v>0</v>
          </cell>
          <cell r="F518" t="b">
            <v>0</v>
          </cell>
          <cell r="G518" t="str">
            <v>M-FIFE</v>
          </cell>
          <cell r="H518">
            <v>3343</v>
          </cell>
          <cell r="I518" t="str">
            <v>DRVNR-YARDWASTE</v>
          </cell>
          <cell r="J518" t="str">
            <v>DRIVE IN YARDWASTE</v>
          </cell>
          <cell r="K518">
            <v>8.66</v>
          </cell>
          <cell r="L518">
            <v>4.33</v>
          </cell>
        </row>
        <row r="519">
          <cell r="A519" t="str">
            <v>MURREYSRESIDENTIALDRVNR-YARDWASTE</v>
          </cell>
          <cell r="B519" t="str">
            <v>BI-MONTHLY SPLIT ODD</v>
          </cell>
          <cell r="C519" t="str">
            <v>2111</v>
          </cell>
          <cell r="D519" t="str">
            <v>RESIDENTIAL</v>
          </cell>
          <cell r="E519" t="b">
            <v>0</v>
          </cell>
          <cell r="F519" t="b">
            <v>0</v>
          </cell>
          <cell r="G519" t="str">
            <v>MURREYS</v>
          </cell>
          <cell r="H519">
            <v>3343</v>
          </cell>
          <cell r="I519" t="str">
            <v>DRVNR-YARDWASTE</v>
          </cell>
          <cell r="J519" t="str">
            <v>DRIVE IN YARDWASTE</v>
          </cell>
          <cell r="K519">
            <v>8.66</v>
          </cell>
          <cell r="L519">
            <v>4.33</v>
          </cell>
        </row>
        <row r="520">
          <cell r="A520" t="str">
            <v>VASHONRESIDENTIALDRVNRE1</v>
          </cell>
          <cell r="B520" t="str">
            <v>BI-MONTHLY SPLIT ODD</v>
          </cell>
          <cell r="C520" t="str">
            <v>2111</v>
          </cell>
          <cell r="D520" t="str">
            <v>RESIDENTIAL</v>
          </cell>
          <cell r="E520" t="b">
            <v>0</v>
          </cell>
          <cell r="F520" t="b">
            <v>0</v>
          </cell>
          <cell r="G520" t="str">
            <v>VASHON</v>
          </cell>
          <cell r="H520">
            <v>2130</v>
          </cell>
          <cell r="I520" t="str">
            <v>DRVNRE1</v>
          </cell>
          <cell r="J520" t="str">
            <v>DRIVE IN UP TO 125-EOW</v>
          </cell>
          <cell r="K520">
            <v>5.62</v>
          </cell>
          <cell r="L520">
            <v>2.81</v>
          </cell>
        </row>
        <row r="521">
          <cell r="A521" t="str">
            <v>BONNEY LAKERESIDENTIALDRVNRW1</v>
          </cell>
          <cell r="B521" t="str">
            <v>BI-MONTHLY SPLIT ODD</v>
          </cell>
          <cell r="C521" t="str">
            <v>2111</v>
          </cell>
          <cell r="D521" t="str">
            <v>RESIDENTIAL</v>
          </cell>
          <cell r="E521" t="b">
            <v>0</v>
          </cell>
          <cell r="F521" t="b">
            <v>0</v>
          </cell>
          <cell r="G521" t="str">
            <v>BONNEY LAKE</v>
          </cell>
          <cell r="H521">
            <v>2135</v>
          </cell>
          <cell r="I521" t="str">
            <v>DRVNRW1</v>
          </cell>
          <cell r="J521" t="str">
            <v>DRIVE IN UP TO 125-WKLY</v>
          </cell>
          <cell r="K521">
            <v>38.659999999999997</v>
          </cell>
          <cell r="L521">
            <v>19.329999999999998</v>
          </cell>
        </row>
        <row r="522">
          <cell r="A522" t="str">
            <v>BUCKLEYRESIDENTIALDRVNRW1</v>
          </cell>
          <cell r="B522" t="str">
            <v>BI-MONTHLY SPLIT ODD</v>
          </cell>
          <cell r="C522" t="str">
            <v>2111</v>
          </cell>
          <cell r="D522" t="str">
            <v>RESIDENTIAL</v>
          </cell>
          <cell r="E522" t="b">
            <v>0</v>
          </cell>
          <cell r="F522" t="b">
            <v>0</v>
          </cell>
          <cell r="G522" t="str">
            <v>BUCKLEY</v>
          </cell>
          <cell r="H522">
            <v>2135</v>
          </cell>
          <cell r="I522" t="str">
            <v>DRVNRW1</v>
          </cell>
          <cell r="J522" t="str">
            <v>DRIVE IN UP TO 125-WKLY</v>
          </cell>
          <cell r="K522">
            <v>11.24</v>
          </cell>
          <cell r="L522">
            <v>5.62</v>
          </cell>
        </row>
        <row r="523">
          <cell r="A523" t="str">
            <v>CARBONADORESIDENTIALDRVNRW1</v>
          </cell>
          <cell r="B523" t="str">
            <v>BI-MONTHLY SPLIT ODD</v>
          </cell>
          <cell r="C523" t="str">
            <v>2111</v>
          </cell>
          <cell r="D523" t="str">
            <v>RESIDENTIAL</v>
          </cell>
          <cell r="E523" t="b">
            <v>0</v>
          </cell>
          <cell r="F523" t="b">
            <v>0</v>
          </cell>
          <cell r="G523" t="str">
            <v>CARBONADO</v>
          </cell>
          <cell r="H523">
            <v>2135</v>
          </cell>
          <cell r="I523" t="str">
            <v>DRVNRW1</v>
          </cell>
          <cell r="J523" t="str">
            <v>DRIVE IN UP TO 125-WKLY</v>
          </cell>
          <cell r="K523">
            <v>5.58</v>
          </cell>
          <cell r="L523">
            <v>2.79</v>
          </cell>
        </row>
        <row r="524">
          <cell r="A524" t="str">
            <v>M-EDGEWOODRESIDENTIALDRVNRW1</v>
          </cell>
          <cell r="B524" t="str">
            <v>BI-MONTHLY SPLIT ODD</v>
          </cell>
          <cell r="C524" t="str">
            <v>2111</v>
          </cell>
          <cell r="D524" t="str">
            <v>RESIDENTIAL</v>
          </cell>
          <cell r="E524" t="b">
            <v>0</v>
          </cell>
          <cell r="F524" t="b">
            <v>0</v>
          </cell>
          <cell r="G524" t="str">
            <v>M-EDGEWOOD</v>
          </cell>
          <cell r="H524">
            <v>2135</v>
          </cell>
          <cell r="I524" t="str">
            <v>DRVNRW1</v>
          </cell>
          <cell r="J524" t="str">
            <v>DRIVE IN UP TO 125-WKLY</v>
          </cell>
          <cell r="K524">
            <v>10.119999999999999</v>
          </cell>
          <cell r="L524">
            <v>5.0599999999999996</v>
          </cell>
        </row>
        <row r="525">
          <cell r="A525" t="str">
            <v>M-FIFERESIDENTIALDRVNRW1</v>
          </cell>
          <cell r="B525" t="str">
            <v>BI-MONTHLY SPLIT ODD</v>
          </cell>
          <cell r="C525" t="str">
            <v>2111</v>
          </cell>
          <cell r="D525" t="str">
            <v>RESIDENTIAL</v>
          </cell>
          <cell r="E525" t="b">
            <v>0</v>
          </cell>
          <cell r="F525" t="b">
            <v>0</v>
          </cell>
          <cell r="G525" t="str">
            <v>M-FIFE</v>
          </cell>
          <cell r="H525">
            <v>2135</v>
          </cell>
          <cell r="I525" t="str">
            <v>DRVNRW1</v>
          </cell>
          <cell r="J525" t="str">
            <v>DRIVE IN UP TO 125-WKLY</v>
          </cell>
          <cell r="K525">
            <v>10.119999999999999</v>
          </cell>
          <cell r="L525">
            <v>5.0599999999999996</v>
          </cell>
        </row>
        <row r="526">
          <cell r="A526" t="str">
            <v>MILTONRESIDENTIALDRVNRW1</v>
          </cell>
          <cell r="B526" t="str">
            <v>BI-MONTHLY SPLIT ODD</v>
          </cell>
          <cell r="C526" t="str">
            <v>2111</v>
          </cell>
          <cell r="D526" t="str">
            <v>RESIDENTIAL</v>
          </cell>
          <cell r="E526" t="b">
            <v>0</v>
          </cell>
          <cell r="F526" t="b">
            <v>0</v>
          </cell>
          <cell r="G526" t="str">
            <v>MILTON</v>
          </cell>
          <cell r="H526">
            <v>2135</v>
          </cell>
          <cell r="I526" t="str">
            <v>DRVNRW1</v>
          </cell>
          <cell r="J526" t="str">
            <v>DRIVE IN UP TO 125-WKLY</v>
          </cell>
          <cell r="K526">
            <v>13.78</v>
          </cell>
          <cell r="L526">
            <v>6.89</v>
          </cell>
        </row>
        <row r="527">
          <cell r="A527" t="str">
            <v>MURREYSRESIDENTIALDRVNRW1</v>
          </cell>
          <cell r="B527" t="str">
            <v>BI-MONTHLY SPLIT ODD</v>
          </cell>
          <cell r="C527" t="str">
            <v>2111</v>
          </cell>
          <cell r="D527" t="str">
            <v>RESIDENTIAL</v>
          </cell>
          <cell r="E527" t="b">
            <v>0</v>
          </cell>
          <cell r="F527" t="b">
            <v>0</v>
          </cell>
          <cell r="G527" t="str">
            <v>MURREYS</v>
          </cell>
          <cell r="H527">
            <v>2135</v>
          </cell>
          <cell r="I527" t="str">
            <v>DRVNRW1</v>
          </cell>
          <cell r="J527" t="str">
            <v>DRIVE IN UP TO 125-WKLY</v>
          </cell>
          <cell r="K527">
            <v>10.119999999999999</v>
          </cell>
          <cell r="L527">
            <v>5.0599999999999996</v>
          </cell>
        </row>
        <row r="528">
          <cell r="A528" t="str">
            <v>ORTINGRESIDENTIALDRVNRW1</v>
          </cell>
          <cell r="B528" t="str">
            <v>BI-MONTHLY SPLIT ODD</v>
          </cell>
          <cell r="C528" t="str">
            <v>2111</v>
          </cell>
          <cell r="D528" t="str">
            <v>RESIDENTIAL</v>
          </cell>
          <cell r="E528" t="b">
            <v>0</v>
          </cell>
          <cell r="F528" t="b">
            <v>0</v>
          </cell>
          <cell r="G528" t="str">
            <v>ORTING</v>
          </cell>
          <cell r="H528">
            <v>2135</v>
          </cell>
          <cell r="I528" t="str">
            <v>DRVNRW1</v>
          </cell>
          <cell r="J528" t="str">
            <v>DRIVE IN UP TO 125-WKLY</v>
          </cell>
          <cell r="K528">
            <v>20.66</v>
          </cell>
          <cell r="L528">
            <v>10.33</v>
          </cell>
        </row>
        <row r="529">
          <cell r="A529" t="str">
            <v>PUYALLUPRESIDENTIALDRVNRW1</v>
          </cell>
          <cell r="B529" t="str">
            <v>BI-MONTHLY SPLIT ODD</v>
          </cell>
          <cell r="C529" t="str">
            <v>2111</v>
          </cell>
          <cell r="D529" t="str">
            <v>RESIDENTIAL</v>
          </cell>
          <cell r="E529" t="b">
            <v>0</v>
          </cell>
          <cell r="F529" t="b">
            <v>0</v>
          </cell>
          <cell r="G529" t="str">
            <v>PUYALLUP</v>
          </cell>
          <cell r="H529">
            <v>2135</v>
          </cell>
          <cell r="I529" t="str">
            <v>DRVNRW1</v>
          </cell>
          <cell r="J529" t="str">
            <v>DRIVE IN UP TO 125-WKLY</v>
          </cell>
          <cell r="K529">
            <v>26.58</v>
          </cell>
          <cell r="L529">
            <v>13.29</v>
          </cell>
        </row>
        <row r="530">
          <cell r="A530" t="str">
            <v>RUSTONRESIDENTIALDRVNRW1</v>
          </cell>
          <cell r="B530" t="str">
            <v>BI-MONTHLY SPLIT ODD</v>
          </cell>
          <cell r="C530" t="str">
            <v>2111</v>
          </cell>
          <cell r="D530" t="str">
            <v>RESIDENTIAL</v>
          </cell>
          <cell r="E530" t="b">
            <v>0</v>
          </cell>
          <cell r="F530" t="b">
            <v>0</v>
          </cell>
          <cell r="G530" t="str">
            <v>RUSTON</v>
          </cell>
          <cell r="H530">
            <v>2135</v>
          </cell>
          <cell r="I530" t="str">
            <v>DRVNRW1</v>
          </cell>
          <cell r="J530" t="str">
            <v>DRIVE IN UP TO 125-WKLY</v>
          </cell>
          <cell r="K530">
            <v>39.24</v>
          </cell>
          <cell r="L530">
            <v>19.62</v>
          </cell>
        </row>
        <row r="531">
          <cell r="A531" t="str">
            <v>SOUTH PRAIRIERESIDENTIALDRVNRW1</v>
          </cell>
          <cell r="B531" t="str">
            <v>BI-MONTHLY SPLIT ODD</v>
          </cell>
          <cell r="C531" t="str">
            <v>2111</v>
          </cell>
          <cell r="D531" t="str">
            <v>RESIDENTIAL</v>
          </cell>
          <cell r="E531" t="b">
            <v>0</v>
          </cell>
          <cell r="F531" t="b">
            <v>0</v>
          </cell>
          <cell r="G531" t="str">
            <v>SOUTH PRAIRIE</v>
          </cell>
          <cell r="H531">
            <v>2135</v>
          </cell>
          <cell r="I531" t="str">
            <v>DRVNRW1</v>
          </cell>
          <cell r="J531" t="str">
            <v>DRIVE IN UP TO 125-WKLY</v>
          </cell>
          <cell r="K531">
            <v>10.08</v>
          </cell>
          <cell r="L531">
            <v>5.04</v>
          </cell>
        </row>
        <row r="532">
          <cell r="A532" t="str">
            <v>SUMNERRESIDENTIALDRVNRW1</v>
          </cell>
          <cell r="B532" t="str">
            <v>BI-MONTHLY SPLIT ODD</v>
          </cell>
          <cell r="C532" t="str">
            <v>2111</v>
          </cell>
          <cell r="D532" t="str">
            <v>RESIDENTIAL</v>
          </cell>
          <cell r="E532" t="b">
            <v>0</v>
          </cell>
          <cell r="F532" t="b">
            <v>0</v>
          </cell>
          <cell r="G532" t="str">
            <v>SUMNER</v>
          </cell>
          <cell r="H532">
            <v>2135</v>
          </cell>
          <cell r="I532" t="str">
            <v>DRVNRW1</v>
          </cell>
          <cell r="J532" t="str">
            <v>DRIVE IN UP TO 125-WKLY</v>
          </cell>
          <cell r="K532">
            <v>25.8</v>
          </cell>
          <cell r="L532">
            <v>12.9</v>
          </cell>
        </row>
        <row r="533">
          <cell r="A533" t="str">
            <v>VASHONRESIDENTIALDRVNRW1</v>
          </cell>
          <cell r="B533" t="str">
            <v>BI-MONTHLY SPLIT ODD</v>
          </cell>
          <cell r="C533" t="str">
            <v>2111</v>
          </cell>
          <cell r="D533" t="str">
            <v>RESIDENTIAL</v>
          </cell>
          <cell r="E533" t="b">
            <v>0</v>
          </cell>
          <cell r="F533" t="b">
            <v>0</v>
          </cell>
          <cell r="G533" t="str">
            <v>VASHON</v>
          </cell>
          <cell r="H533">
            <v>2135</v>
          </cell>
          <cell r="I533" t="str">
            <v>DRVNRW1</v>
          </cell>
          <cell r="J533" t="str">
            <v>DRIVE IN UP TO 125-WKLY</v>
          </cell>
          <cell r="K533">
            <v>5.62</v>
          </cell>
          <cell r="L533">
            <v>2.81</v>
          </cell>
        </row>
        <row r="534">
          <cell r="A534" t="str">
            <v>VASHONRESIDENTIALDRVNRW2</v>
          </cell>
          <cell r="B534" t="str">
            <v>BI-MONTHLY SPLIT ODD</v>
          </cell>
          <cell r="C534" t="str">
            <v>2111</v>
          </cell>
          <cell r="D534" t="str">
            <v>RESIDENTIAL</v>
          </cell>
          <cell r="E534" t="b">
            <v>0</v>
          </cell>
          <cell r="F534" t="b">
            <v>0</v>
          </cell>
          <cell r="G534" t="str">
            <v>VASHON</v>
          </cell>
          <cell r="H534">
            <v>2136</v>
          </cell>
          <cell r="I534" t="str">
            <v>DRVNRW2</v>
          </cell>
          <cell r="J534" t="str">
            <v>DRIVE IN OVER 125-WKLY</v>
          </cell>
          <cell r="K534">
            <v>5.62</v>
          </cell>
          <cell r="L534">
            <v>2.81</v>
          </cell>
        </row>
        <row r="535">
          <cell r="A535" t="str">
            <v>PUYALLUPRESIDENTIALEMPLOYEER</v>
          </cell>
          <cell r="B535" t="str">
            <v>ONCALL</v>
          </cell>
          <cell r="C535" t="str">
            <v>2111</v>
          </cell>
          <cell r="D535" t="str">
            <v>RESIDENTIAL</v>
          </cell>
          <cell r="E535" t="b">
            <v>0</v>
          </cell>
          <cell r="F535" t="b">
            <v>0</v>
          </cell>
          <cell r="G535" t="str">
            <v>PUYALLUP</v>
          </cell>
          <cell r="H535">
            <v>3238</v>
          </cell>
          <cell r="I535" t="str">
            <v>EMPLOYEER</v>
          </cell>
          <cell r="J535" t="str">
            <v>EMPLOYEE SERVICE</v>
          </cell>
          <cell r="K535">
            <v>0</v>
          </cell>
          <cell r="L535">
            <v>0</v>
          </cell>
        </row>
        <row r="536">
          <cell r="A536" t="str">
            <v>RUSTONRESIDENTIALEMPLOYEER</v>
          </cell>
          <cell r="B536" t="str">
            <v>ONCALL</v>
          </cell>
          <cell r="C536" t="str">
            <v>2111</v>
          </cell>
          <cell r="D536" t="str">
            <v>RESIDENTIAL</v>
          </cell>
          <cell r="E536" t="b">
            <v>0</v>
          </cell>
          <cell r="F536" t="b">
            <v>0</v>
          </cell>
          <cell r="G536" t="str">
            <v>RUSTON</v>
          </cell>
          <cell r="H536">
            <v>3238</v>
          </cell>
          <cell r="I536" t="str">
            <v>EMPLOYEER</v>
          </cell>
          <cell r="J536" t="str">
            <v>EMPLOYEE SERVICE</v>
          </cell>
          <cell r="K536">
            <v>0</v>
          </cell>
          <cell r="L536">
            <v>0</v>
          </cell>
        </row>
        <row r="537">
          <cell r="A537" t="str">
            <v>BUCKLEYMULTI-FAMILYEXTRA-MF</v>
          </cell>
          <cell r="B537" t="str">
            <v>ONCALL</v>
          </cell>
          <cell r="C537" t="str">
            <v>2111</v>
          </cell>
          <cell r="D537" t="str">
            <v>MULTI-FAMILY</v>
          </cell>
          <cell r="E537" t="b">
            <v>1</v>
          </cell>
          <cell r="F537" t="b">
            <v>0</v>
          </cell>
          <cell r="G537" t="str">
            <v>BUCKLEY</v>
          </cell>
          <cell r="H537">
            <v>17025</v>
          </cell>
          <cell r="I537" t="str">
            <v>EXTRA-MF</v>
          </cell>
          <cell r="J537" t="str">
            <v>EXTRA CANS - MF</v>
          </cell>
          <cell r="K537">
            <v>4.41</v>
          </cell>
          <cell r="L537">
            <v>4.41</v>
          </cell>
        </row>
        <row r="538">
          <cell r="A538" t="str">
            <v>CARBONADOMULTI-FAMILYEXTRA-MF</v>
          </cell>
          <cell r="B538" t="str">
            <v>ONCALL</v>
          </cell>
          <cell r="C538" t="str">
            <v>2111</v>
          </cell>
          <cell r="D538" t="str">
            <v>MULTI-FAMILY</v>
          </cell>
          <cell r="E538" t="b">
            <v>1</v>
          </cell>
          <cell r="F538" t="b">
            <v>0</v>
          </cell>
          <cell r="G538" t="str">
            <v>CARBONADO</v>
          </cell>
          <cell r="H538">
            <v>17025</v>
          </cell>
          <cell r="I538" t="str">
            <v>EXTRA-MF</v>
          </cell>
          <cell r="J538" t="str">
            <v>EXTRA CANS - MF</v>
          </cell>
          <cell r="K538">
            <v>5.28</v>
          </cell>
          <cell r="L538">
            <v>5.28</v>
          </cell>
        </row>
        <row r="539">
          <cell r="A539" t="str">
            <v>M-EDGEWOODMULTI-FAMILYEXTRA-MF</v>
          </cell>
          <cell r="B539" t="str">
            <v>ONCALL</v>
          </cell>
          <cell r="C539" t="str">
            <v>2111</v>
          </cell>
          <cell r="D539" t="str">
            <v>MULTI-FAMILY</v>
          </cell>
          <cell r="E539" t="b">
            <v>1</v>
          </cell>
          <cell r="F539" t="b">
            <v>0</v>
          </cell>
          <cell r="G539" t="str">
            <v>M-EDGEWOOD</v>
          </cell>
          <cell r="H539">
            <v>17025</v>
          </cell>
          <cell r="I539" t="str">
            <v>EXTRA-MF</v>
          </cell>
          <cell r="J539" t="str">
            <v>EXTRA CANS - MF</v>
          </cell>
          <cell r="K539">
            <v>4.8499999999999996</v>
          </cell>
          <cell r="L539">
            <v>4.8499999999999996</v>
          </cell>
        </row>
        <row r="540">
          <cell r="A540" t="str">
            <v>M-FIFEMULTI-FAMILYEXTRA-MF</v>
          </cell>
          <cell r="B540" t="str">
            <v>ONCALL</v>
          </cell>
          <cell r="C540" t="str">
            <v>2111</v>
          </cell>
          <cell r="D540" t="str">
            <v>MULTI-FAMILY</v>
          </cell>
          <cell r="E540" t="b">
            <v>1</v>
          </cell>
          <cell r="F540" t="b">
            <v>0</v>
          </cell>
          <cell r="G540" t="str">
            <v>M-FIFE</v>
          </cell>
          <cell r="H540">
            <v>17025</v>
          </cell>
          <cell r="I540" t="str">
            <v>EXTRA-MF</v>
          </cell>
          <cell r="J540" t="str">
            <v>EXTRA CANS - MF</v>
          </cell>
          <cell r="K540">
            <v>4.8499999999999996</v>
          </cell>
          <cell r="L540">
            <v>4.8499999999999996</v>
          </cell>
        </row>
        <row r="541">
          <cell r="A541" t="str">
            <v>MURREYSMULTI-FAMILYEXTRA-MF</v>
          </cell>
          <cell r="B541" t="str">
            <v>ONCALL</v>
          </cell>
          <cell r="C541" t="str">
            <v>2111</v>
          </cell>
          <cell r="D541" t="str">
            <v>MULTI-FAMILY</v>
          </cell>
          <cell r="E541" t="b">
            <v>1</v>
          </cell>
          <cell r="F541" t="b">
            <v>0</v>
          </cell>
          <cell r="G541" t="str">
            <v>MURREYS</v>
          </cell>
          <cell r="H541">
            <v>17025</v>
          </cell>
          <cell r="I541" t="str">
            <v>EXTRA-MF</v>
          </cell>
          <cell r="J541" t="str">
            <v>EXTRA CANS - MF</v>
          </cell>
          <cell r="K541">
            <v>4.8499999999999996</v>
          </cell>
          <cell r="L541">
            <v>4.8499999999999996</v>
          </cell>
        </row>
        <row r="542">
          <cell r="A542" t="str">
            <v>BUCKLEYCOMMERCIALF1.5YD1W</v>
          </cell>
          <cell r="B542" t="str">
            <v>MONTHLY ARREARS</v>
          </cell>
          <cell r="C542" t="str">
            <v>2111</v>
          </cell>
          <cell r="D542" t="str">
            <v>COMMERCIAL</v>
          </cell>
          <cell r="E542" t="b">
            <v>0</v>
          </cell>
          <cell r="F542" t="b">
            <v>0</v>
          </cell>
          <cell r="G542" t="str">
            <v>BUCKLEY</v>
          </cell>
          <cell r="H542">
            <v>3159</v>
          </cell>
          <cell r="I542" t="str">
            <v>F1.5YD1W</v>
          </cell>
          <cell r="J542" t="str">
            <v>1.5YD CONT 1X WEEKLY</v>
          </cell>
          <cell r="K542">
            <v>166.66</v>
          </cell>
          <cell r="L542">
            <v>166.66</v>
          </cell>
        </row>
        <row r="543">
          <cell r="A543" t="str">
            <v>M-EDGEWOODCOMMERCIALF1.5YD1W</v>
          </cell>
          <cell r="B543" t="str">
            <v>MONTHLY ARREARS</v>
          </cell>
          <cell r="C543" t="str">
            <v>2111</v>
          </cell>
          <cell r="D543" t="str">
            <v>COMMERCIAL</v>
          </cell>
          <cell r="E543" t="b">
            <v>0</v>
          </cell>
          <cell r="F543" t="b">
            <v>0</v>
          </cell>
          <cell r="G543" t="str">
            <v>M-EDGEWOOD</v>
          </cell>
          <cell r="H543">
            <v>3159</v>
          </cell>
          <cell r="I543" t="str">
            <v>F1.5YD1W</v>
          </cell>
          <cell r="J543" t="str">
            <v>1.5YD CONT 1X WEEKLY</v>
          </cell>
          <cell r="K543">
            <v>143.97</v>
          </cell>
          <cell r="L543">
            <v>143.97</v>
          </cell>
        </row>
        <row r="544">
          <cell r="A544" t="str">
            <v>M-FIFECOMMERCIALF1.5YD1W</v>
          </cell>
          <cell r="B544" t="str">
            <v>MONTHLY ARREARS</v>
          </cell>
          <cell r="C544" t="str">
            <v>2111</v>
          </cell>
          <cell r="D544" t="str">
            <v>COMMERCIAL</v>
          </cell>
          <cell r="E544" t="b">
            <v>0</v>
          </cell>
          <cell r="F544" t="b">
            <v>0</v>
          </cell>
          <cell r="G544" t="str">
            <v>M-FIFE</v>
          </cell>
          <cell r="H544">
            <v>3159</v>
          </cell>
          <cell r="I544" t="str">
            <v>F1.5YD1W</v>
          </cell>
          <cell r="J544" t="str">
            <v>1.5YD CONT 1X WEEKLY</v>
          </cell>
          <cell r="K544">
            <v>143.97</v>
          </cell>
          <cell r="L544">
            <v>143.97</v>
          </cell>
        </row>
        <row r="545">
          <cell r="A545" t="str">
            <v>MURREYSCOMMERCIALF1.5YD1W</v>
          </cell>
          <cell r="B545" t="str">
            <v>MONTHLY ARREARS</v>
          </cell>
          <cell r="C545" t="str">
            <v>2111</v>
          </cell>
          <cell r="D545" t="str">
            <v>COMMERCIAL</v>
          </cell>
          <cell r="E545" t="b">
            <v>0</v>
          </cell>
          <cell r="F545" t="b">
            <v>0</v>
          </cell>
          <cell r="G545" t="str">
            <v>MURREYS</v>
          </cell>
          <cell r="H545">
            <v>3159</v>
          </cell>
          <cell r="I545" t="str">
            <v>F1.5YD1W</v>
          </cell>
          <cell r="J545" t="str">
            <v>1.5YD CONT 1X WEEKLY</v>
          </cell>
          <cell r="K545">
            <v>143.97</v>
          </cell>
          <cell r="L545">
            <v>143.97</v>
          </cell>
        </row>
        <row r="546">
          <cell r="A546" t="str">
            <v>BUCKLEYCOMMERCIALF1.5YD2W</v>
          </cell>
          <cell r="B546" t="str">
            <v>MONTHLY ARREARS</v>
          </cell>
          <cell r="C546" t="str">
            <v>2111</v>
          </cell>
          <cell r="D546" t="str">
            <v>COMMERCIAL</v>
          </cell>
          <cell r="E546" t="b">
            <v>0</v>
          </cell>
          <cell r="F546" t="b">
            <v>0</v>
          </cell>
          <cell r="G546" t="str">
            <v>BUCKLEY</v>
          </cell>
          <cell r="H546">
            <v>3160</v>
          </cell>
          <cell r="I546" t="str">
            <v>F1.5YD2W</v>
          </cell>
          <cell r="J546" t="str">
            <v>1.5YD CONT 2X WEEKLY</v>
          </cell>
          <cell r="K546">
            <v>337.67</v>
          </cell>
          <cell r="L546">
            <v>337.67</v>
          </cell>
        </row>
        <row r="547">
          <cell r="A547" t="str">
            <v>M-EDGEWOODCOMMERCIALF1.5YD2W</v>
          </cell>
          <cell r="B547" t="str">
            <v>MONTHLY ARREARS</v>
          </cell>
          <cell r="C547" t="str">
            <v>2111</v>
          </cell>
          <cell r="D547" t="str">
            <v>COMMERCIAL</v>
          </cell>
          <cell r="E547" t="b">
            <v>0</v>
          </cell>
          <cell r="F547" t="b">
            <v>0</v>
          </cell>
          <cell r="G547" t="str">
            <v>M-EDGEWOOD</v>
          </cell>
          <cell r="H547">
            <v>3160</v>
          </cell>
          <cell r="I547" t="str">
            <v>F1.5YD2W</v>
          </cell>
          <cell r="J547" t="str">
            <v>1.5YD CONT 2X WEEKLY</v>
          </cell>
          <cell r="K547">
            <v>287.95</v>
          </cell>
          <cell r="L547">
            <v>287.95</v>
          </cell>
        </row>
        <row r="548">
          <cell r="A548" t="str">
            <v>M-FIFECOMMERCIALF1.5YD2W</v>
          </cell>
          <cell r="B548" t="str">
            <v>MONTHLY ARREARS</v>
          </cell>
          <cell r="C548" t="str">
            <v>2111</v>
          </cell>
          <cell r="D548" t="str">
            <v>COMMERCIAL</v>
          </cell>
          <cell r="E548" t="b">
            <v>0</v>
          </cell>
          <cell r="F548" t="b">
            <v>0</v>
          </cell>
          <cell r="G548" t="str">
            <v>M-FIFE</v>
          </cell>
          <cell r="H548">
            <v>3160</v>
          </cell>
          <cell r="I548" t="str">
            <v>F1.5YD2W</v>
          </cell>
          <cell r="J548" t="str">
            <v>1.5YD CONT 2X WEEKLY</v>
          </cell>
          <cell r="K548">
            <v>287.95</v>
          </cell>
          <cell r="L548">
            <v>287.95</v>
          </cell>
        </row>
        <row r="549">
          <cell r="A549" t="str">
            <v>MURREYSCOMMERCIALF1.5YD2W</v>
          </cell>
          <cell r="B549" t="str">
            <v>MONTHLY ARREARS</v>
          </cell>
          <cell r="C549" t="str">
            <v>2111</v>
          </cell>
          <cell r="D549" t="str">
            <v>COMMERCIAL</v>
          </cell>
          <cell r="E549" t="b">
            <v>0</v>
          </cell>
          <cell r="F549" t="b">
            <v>0</v>
          </cell>
          <cell r="G549" t="str">
            <v>MURREYS</v>
          </cell>
          <cell r="H549">
            <v>3160</v>
          </cell>
          <cell r="I549" t="str">
            <v>F1.5YD2W</v>
          </cell>
          <cell r="J549" t="str">
            <v>1.5YD CONT 2X WEEKLY</v>
          </cell>
          <cell r="K549">
            <v>287.95</v>
          </cell>
          <cell r="L549">
            <v>287.95</v>
          </cell>
        </row>
        <row r="550">
          <cell r="A550" t="str">
            <v>M-EDGEWOODCOMMERCIALF1.5YD3W</v>
          </cell>
          <cell r="B550" t="str">
            <v>MONTHLY ARREARS</v>
          </cell>
          <cell r="C550" t="str">
            <v>2111</v>
          </cell>
          <cell r="D550" t="str">
            <v>COMMERCIAL</v>
          </cell>
          <cell r="E550" t="b">
            <v>0</v>
          </cell>
          <cell r="F550" t="b">
            <v>0</v>
          </cell>
          <cell r="G550" t="str">
            <v>M-EDGEWOOD</v>
          </cell>
          <cell r="H550">
            <v>3161</v>
          </cell>
          <cell r="I550" t="str">
            <v>F1.5YD3W</v>
          </cell>
          <cell r="J550" t="str">
            <v>1.5YD CONT 3X WEEKLY</v>
          </cell>
          <cell r="K550">
            <v>431.92</v>
          </cell>
          <cell r="L550">
            <v>431.92</v>
          </cell>
        </row>
        <row r="551">
          <cell r="A551" t="str">
            <v>M-FIFECOMMERCIALF1.5YD3W</v>
          </cell>
          <cell r="B551" t="str">
            <v>MONTHLY ARREARS</v>
          </cell>
          <cell r="C551" t="str">
            <v>2111</v>
          </cell>
          <cell r="D551" t="str">
            <v>COMMERCIAL</v>
          </cell>
          <cell r="E551" t="b">
            <v>0</v>
          </cell>
          <cell r="F551" t="b">
            <v>0</v>
          </cell>
          <cell r="G551" t="str">
            <v>M-FIFE</v>
          </cell>
          <cell r="H551">
            <v>3161</v>
          </cell>
          <cell r="I551" t="str">
            <v>F1.5YD3W</v>
          </cell>
          <cell r="J551" t="str">
            <v>1.5YD CONT 3X WEEKLY</v>
          </cell>
          <cell r="K551">
            <v>431.92</v>
          </cell>
          <cell r="L551">
            <v>431.92</v>
          </cell>
        </row>
        <row r="552">
          <cell r="A552" t="str">
            <v>MILTONCOMMERCIALF1.5YD3W</v>
          </cell>
          <cell r="B552" t="str">
            <v>MONTHLY ARREARS</v>
          </cell>
          <cell r="C552" t="str">
            <v>2111</v>
          </cell>
          <cell r="D552" t="str">
            <v>COMMERCIAL</v>
          </cell>
          <cell r="E552" t="b">
            <v>0</v>
          </cell>
          <cell r="F552" t="b">
            <v>0</v>
          </cell>
          <cell r="G552" t="str">
            <v>MILTON</v>
          </cell>
          <cell r="H552">
            <v>3161</v>
          </cell>
          <cell r="I552" t="str">
            <v>F1.5YD3W</v>
          </cell>
          <cell r="J552" t="str">
            <v>1.5YD CONT 3X WEEKLY</v>
          </cell>
          <cell r="K552">
            <v>958.9</v>
          </cell>
          <cell r="L552">
            <v>958.9</v>
          </cell>
        </row>
        <row r="553">
          <cell r="A553" t="str">
            <v>MURREYSCOMMERCIALF1.5YD3W</v>
          </cell>
          <cell r="B553" t="str">
            <v>MONTHLY ARREARS</v>
          </cell>
          <cell r="C553" t="str">
            <v>2111</v>
          </cell>
          <cell r="D553" t="str">
            <v>COMMERCIAL</v>
          </cell>
          <cell r="E553" t="b">
            <v>0</v>
          </cell>
          <cell r="F553" t="b">
            <v>0</v>
          </cell>
          <cell r="G553" t="str">
            <v>MURREYS</v>
          </cell>
          <cell r="H553">
            <v>3161</v>
          </cell>
          <cell r="I553" t="str">
            <v>F1.5YD3W</v>
          </cell>
          <cell r="J553" t="str">
            <v>1.5YD CONT 3X WEEKLY</v>
          </cell>
          <cell r="K553">
            <v>431.92</v>
          </cell>
          <cell r="L553">
            <v>431.92</v>
          </cell>
        </row>
        <row r="554">
          <cell r="A554" t="str">
            <v>BUCKLEYCOMMERCIALF1YD1W</v>
          </cell>
          <cell r="B554" t="str">
            <v>MONTHLY ARREARS</v>
          </cell>
          <cell r="C554" t="str">
            <v>2111</v>
          </cell>
          <cell r="D554" t="str">
            <v>COMMERCIAL</v>
          </cell>
          <cell r="E554" t="b">
            <v>0</v>
          </cell>
          <cell r="F554" t="b">
            <v>0</v>
          </cell>
          <cell r="G554" t="str">
            <v>BUCKLEY</v>
          </cell>
          <cell r="H554">
            <v>3163</v>
          </cell>
          <cell r="I554" t="str">
            <v>F1YD1W</v>
          </cell>
          <cell r="J554" t="str">
            <v>1YD CONT 1X WEEKLY</v>
          </cell>
          <cell r="K554">
            <v>124.16</v>
          </cell>
          <cell r="L554">
            <v>124.16</v>
          </cell>
        </row>
        <row r="555">
          <cell r="A555" t="str">
            <v>M-EDGEWOODCOMMERCIALF1YD1W</v>
          </cell>
          <cell r="B555" t="str">
            <v>MONTHLY ARREARS</v>
          </cell>
          <cell r="C555" t="str">
            <v>2111</v>
          </cell>
          <cell r="D555" t="str">
            <v>COMMERCIAL</v>
          </cell>
          <cell r="E555" t="b">
            <v>0</v>
          </cell>
          <cell r="F555" t="b">
            <v>0</v>
          </cell>
          <cell r="G555" t="str">
            <v>M-EDGEWOOD</v>
          </cell>
          <cell r="H555">
            <v>3163</v>
          </cell>
          <cell r="I555" t="str">
            <v>F1YD1W</v>
          </cell>
          <cell r="J555" t="str">
            <v>1YD CONT 1X WEEKLY</v>
          </cell>
          <cell r="K555">
            <v>104.05</v>
          </cell>
          <cell r="L555">
            <v>104.05</v>
          </cell>
        </row>
        <row r="556">
          <cell r="A556" t="str">
            <v>M-FIFECOMMERCIALF1YD1W</v>
          </cell>
          <cell r="B556" t="str">
            <v>MONTHLY ARREARS</v>
          </cell>
          <cell r="C556" t="str">
            <v>2111</v>
          </cell>
          <cell r="D556" t="str">
            <v>COMMERCIAL</v>
          </cell>
          <cell r="E556" t="b">
            <v>0</v>
          </cell>
          <cell r="F556" t="b">
            <v>0</v>
          </cell>
          <cell r="G556" t="str">
            <v>M-FIFE</v>
          </cell>
          <cell r="H556">
            <v>3163</v>
          </cell>
          <cell r="I556" t="str">
            <v>F1YD1W</v>
          </cell>
          <cell r="J556" t="str">
            <v>1YD CONT 1X WEEKLY</v>
          </cell>
          <cell r="K556">
            <v>104.05</v>
          </cell>
          <cell r="L556">
            <v>104.05</v>
          </cell>
        </row>
        <row r="557">
          <cell r="A557" t="str">
            <v>MURREYSCOMMERCIALF1YD1W</v>
          </cell>
          <cell r="B557" t="str">
            <v>MONTHLY ARREARS</v>
          </cell>
          <cell r="C557" t="str">
            <v>2111</v>
          </cell>
          <cell r="D557" t="str">
            <v>COMMERCIAL</v>
          </cell>
          <cell r="E557" t="b">
            <v>0</v>
          </cell>
          <cell r="F557" t="b">
            <v>0</v>
          </cell>
          <cell r="G557" t="str">
            <v>MURREYS</v>
          </cell>
          <cell r="H557">
            <v>3163</v>
          </cell>
          <cell r="I557" t="str">
            <v>F1YD1W</v>
          </cell>
          <cell r="J557" t="str">
            <v>1YD CONT 1X WEEKLY</v>
          </cell>
          <cell r="K557">
            <v>104.05</v>
          </cell>
          <cell r="L557">
            <v>104.05</v>
          </cell>
        </row>
        <row r="558">
          <cell r="A558" t="str">
            <v>BUCKLEYCOMMERCIALF1YD2W</v>
          </cell>
          <cell r="B558" t="str">
            <v>MONTHLY ARREARS</v>
          </cell>
          <cell r="C558" t="str">
            <v>2111</v>
          </cell>
          <cell r="D558" t="str">
            <v>COMMERCIAL</v>
          </cell>
          <cell r="E558" t="b">
            <v>0</v>
          </cell>
          <cell r="F558" t="b">
            <v>0</v>
          </cell>
          <cell r="G558" t="str">
            <v>BUCKLEY</v>
          </cell>
          <cell r="H558">
            <v>3164</v>
          </cell>
          <cell r="I558" t="str">
            <v>F1YD2W</v>
          </cell>
          <cell r="J558" t="str">
            <v>1YD CONT 2X WEEKLY</v>
          </cell>
          <cell r="K558">
            <v>242.74</v>
          </cell>
          <cell r="L558">
            <v>242.74</v>
          </cell>
        </row>
        <row r="559">
          <cell r="A559" t="str">
            <v>M-EDGEWOODCOMMERCIALF1YD2W</v>
          </cell>
          <cell r="B559" t="str">
            <v>MONTHLY ARREARS</v>
          </cell>
          <cell r="C559" t="str">
            <v>2111</v>
          </cell>
          <cell r="D559" t="str">
            <v>COMMERCIAL</v>
          </cell>
          <cell r="E559" t="b">
            <v>0</v>
          </cell>
          <cell r="F559" t="b">
            <v>0</v>
          </cell>
          <cell r="G559" t="str">
            <v>M-EDGEWOOD</v>
          </cell>
          <cell r="H559">
            <v>3164</v>
          </cell>
          <cell r="I559" t="str">
            <v>F1YD2W</v>
          </cell>
          <cell r="J559" t="str">
            <v>1YD CONT 2X WEEKLY</v>
          </cell>
          <cell r="K559">
            <v>208.1</v>
          </cell>
          <cell r="L559">
            <v>208.1</v>
          </cell>
        </row>
        <row r="560">
          <cell r="A560" t="str">
            <v>M-FIFECOMMERCIALF1YD2W</v>
          </cell>
          <cell r="B560" t="str">
            <v>MONTHLY ARREARS</v>
          </cell>
          <cell r="C560" t="str">
            <v>2111</v>
          </cell>
          <cell r="D560" t="str">
            <v>COMMERCIAL</v>
          </cell>
          <cell r="E560" t="b">
            <v>0</v>
          </cell>
          <cell r="F560" t="b">
            <v>0</v>
          </cell>
          <cell r="G560" t="str">
            <v>M-FIFE</v>
          </cell>
          <cell r="H560">
            <v>3164</v>
          </cell>
          <cell r="I560" t="str">
            <v>F1YD2W</v>
          </cell>
          <cell r="J560" t="str">
            <v>1YD CONT 2X WEEKLY</v>
          </cell>
          <cell r="K560">
            <v>208.1</v>
          </cell>
          <cell r="L560">
            <v>208.1</v>
          </cell>
        </row>
        <row r="561">
          <cell r="A561" t="str">
            <v>MURREYSCOMMERCIALF1YD2W</v>
          </cell>
          <cell r="B561" t="str">
            <v>MONTHLY ARREARS</v>
          </cell>
          <cell r="C561" t="str">
            <v>2111</v>
          </cell>
          <cell r="D561" t="str">
            <v>COMMERCIAL</v>
          </cell>
          <cell r="E561" t="b">
            <v>0</v>
          </cell>
          <cell r="F561" t="b">
            <v>0</v>
          </cell>
          <cell r="G561" t="str">
            <v>MURREYS</v>
          </cell>
          <cell r="H561">
            <v>3164</v>
          </cell>
          <cell r="I561" t="str">
            <v>F1YD2W</v>
          </cell>
          <cell r="J561" t="str">
            <v>1YD CONT 2X WEEKLY</v>
          </cell>
          <cell r="K561">
            <v>208.1</v>
          </cell>
          <cell r="L561">
            <v>208.1</v>
          </cell>
        </row>
        <row r="562">
          <cell r="A562" t="str">
            <v>M-EDGEWOODCOMMERCIALF1YDEX</v>
          </cell>
          <cell r="B562" t="str">
            <v>MONTHLY ARREARS</v>
          </cell>
          <cell r="C562" t="str">
            <v>2111</v>
          </cell>
          <cell r="D562" t="str">
            <v>COMMERCIAL</v>
          </cell>
          <cell r="E562" t="b">
            <v>1</v>
          </cell>
          <cell r="F562" t="b">
            <v>0</v>
          </cell>
          <cell r="G562" t="str">
            <v>M-EDGEWOOD</v>
          </cell>
          <cell r="H562">
            <v>3167</v>
          </cell>
          <cell r="I562" t="str">
            <v>F1YDEX</v>
          </cell>
          <cell r="J562" t="str">
            <v>1YD CONT EXTRA</v>
          </cell>
          <cell r="K562">
            <v>26.21</v>
          </cell>
          <cell r="L562">
            <v>26.21</v>
          </cell>
        </row>
        <row r="563">
          <cell r="A563" t="str">
            <v>M-FIFECOMMERCIALF1YDEX</v>
          </cell>
          <cell r="B563" t="str">
            <v>MONTHLY ARREARS</v>
          </cell>
          <cell r="C563" t="str">
            <v>2111</v>
          </cell>
          <cell r="D563" t="str">
            <v>COMMERCIAL</v>
          </cell>
          <cell r="E563" t="b">
            <v>1</v>
          </cell>
          <cell r="F563" t="b">
            <v>0</v>
          </cell>
          <cell r="G563" t="str">
            <v>M-FIFE</v>
          </cell>
          <cell r="H563">
            <v>3167</v>
          </cell>
          <cell r="I563" t="str">
            <v>F1YDEX</v>
          </cell>
          <cell r="J563" t="str">
            <v>1YD CONT EXTRA</v>
          </cell>
          <cell r="K563">
            <v>26.21</v>
          </cell>
          <cell r="L563">
            <v>26.21</v>
          </cell>
        </row>
        <row r="564">
          <cell r="A564" t="str">
            <v>MURREYSCOMMERCIALF1YDEX</v>
          </cell>
          <cell r="B564" t="str">
            <v>MONTHLY ARREARS</v>
          </cell>
          <cell r="C564" t="str">
            <v>2111</v>
          </cell>
          <cell r="D564" t="str">
            <v>COMMERCIAL</v>
          </cell>
          <cell r="E564" t="b">
            <v>1</v>
          </cell>
          <cell r="F564" t="b">
            <v>0</v>
          </cell>
          <cell r="G564" t="str">
            <v>MURREYS</v>
          </cell>
          <cell r="H564">
            <v>3167</v>
          </cell>
          <cell r="I564" t="str">
            <v>F1YDEX</v>
          </cell>
          <cell r="J564" t="str">
            <v>1YD CONT EXTRA</v>
          </cell>
          <cell r="K564">
            <v>26.21</v>
          </cell>
          <cell r="L564">
            <v>26.21</v>
          </cell>
        </row>
        <row r="565">
          <cell r="A565" t="str">
            <v>BUCKLEYCOMMERCIALF2YD1W</v>
          </cell>
          <cell r="B565" t="str">
            <v>MONTHLY ARREARS</v>
          </cell>
          <cell r="C565" t="str">
            <v>2111</v>
          </cell>
          <cell r="D565" t="str">
            <v>COMMERCIAL</v>
          </cell>
          <cell r="E565" t="b">
            <v>0</v>
          </cell>
          <cell r="F565" t="b">
            <v>0</v>
          </cell>
          <cell r="G565" t="str">
            <v>BUCKLEY</v>
          </cell>
          <cell r="H565">
            <v>3168</v>
          </cell>
          <cell r="I565" t="str">
            <v>F2YD1W</v>
          </cell>
          <cell r="J565" t="str">
            <v>2YD CONT 1X WEEKLY</v>
          </cell>
          <cell r="K565">
            <v>217.24</v>
          </cell>
          <cell r="L565">
            <v>217.24</v>
          </cell>
        </row>
        <row r="566">
          <cell r="A566" t="str">
            <v>M-EDGEWOODCOMMERCIALF2YD1W</v>
          </cell>
          <cell r="B566" t="str">
            <v>MONTHLY ARREARS</v>
          </cell>
          <cell r="C566" t="str">
            <v>2111</v>
          </cell>
          <cell r="D566" t="str">
            <v>COMMERCIAL</v>
          </cell>
          <cell r="E566" t="b">
            <v>0</v>
          </cell>
          <cell r="F566" t="b">
            <v>0</v>
          </cell>
          <cell r="G566" t="str">
            <v>M-EDGEWOOD</v>
          </cell>
          <cell r="H566">
            <v>3168</v>
          </cell>
          <cell r="I566" t="str">
            <v>F2YD1W</v>
          </cell>
          <cell r="J566" t="str">
            <v>2YD CONT 1X WEEKLY</v>
          </cell>
          <cell r="K566">
            <v>179.7</v>
          </cell>
          <cell r="L566">
            <v>179.7</v>
          </cell>
        </row>
        <row r="567">
          <cell r="A567" t="str">
            <v>M-FIFECOMMERCIALF2YD1W</v>
          </cell>
          <cell r="B567" t="str">
            <v>MONTHLY ARREARS</v>
          </cell>
          <cell r="C567" t="str">
            <v>2111</v>
          </cell>
          <cell r="D567" t="str">
            <v>COMMERCIAL</v>
          </cell>
          <cell r="E567" t="b">
            <v>0</v>
          </cell>
          <cell r="F567" t="b">
            <v>0</v>
          </cell>
          <cell r="G567" t="str">
            <v>M-FIFE</v>
          </cell>
          <cell r="H567">
            <v>3168</v>
          </cell>
          <cell r="I567" t="str">
            <v>F2YD1W</v>
          </cell>
          <cell r="J567" t="str">
            <v>2YD CONT 1X WEEKLY</v>
          </cell>
          <cell r="K567">
            <v>179.7</v>
          </cell>
          <cell r="L567">
            <v>179.7</v>
          </cell>
        </row>
        <row r="568">
          <cell r="A568" t="str">
            <v>MURREYSCOMMERCIALF2YD1W</v>
          </cell>
          <cell r="B568" t="str">
            <v>MONTHLY ARREARS</v>
          </cell>
          <cell r="C568" t="str">
            <v>2111</v>
          </cell>
          <cell r="D568" t="str">
            <v>COMMERCIAL</v>
          </cell>
          <cell r="E568" t="b">
            <v>0</v>
          </cell>
          <cell r="F568" t="b">
            <v>0</v>
          </cell>
          <cell r="G568" t="str">
            <v>MURREYS</v>
          </cell>
          <cell r="H568">
            <v>3168</v>
          </cell>
          <cell r="I568" t="str">
            <v>F2YD1W</v>
          </cell>
          <cell r="J568" t="str">
            <v>2YD CONT 1X WEEKLY</v>
          </cell>
          <cell r="K568">
            <v>179.7</v>
          </cell>
          <cell r="L568">
            <v>179.7</v>
          </cell>
        </row>
        <row r="569">
          <cell r="A569" t="str">
            <v>BUCKLEYCOMMERCIALF2YD2W</v>
          </cell>
          <cell r="B569" t="str">
            <v>MONTHLY ARREARS</v>
          </cell>
          <cell r="C569" t="str">
            <v>2111</v>
          </cell>
          <cell r="D569" t="str">
            <v>COMMERCIAL</v>
          </cell>
          <cell r="E569" t="b">
            <v>0</v>
          </cell>
          <cell r="F569" t="b">
            <v>0</v>
          </cell>
          <cell r="G569" t="str">
            <v>BUCKLEY</v>
          </cell>
          <cell r="H569">
            <v>3169</v>
          </cell>
          <cell r="I569" t="str">
            <v>F2YD2W</v>
          </cell>
          <cell r="J569" t="str">
            <v>2YD CONT 2X WEEKLY</v>
          </cell>
          <cell r="K569">
            <v>439.36</v>
          </cell>
          <cell r="L569">
            <v>439.36</v>
          </cell>
        </row>
        <row r="570">
          <cell r="A570" t="str">
            <v>M-EDGEWOODCOMMERCIALF2YD2W</v>
          </cell>
          <cell r="B570" t="str">
            <v>MONTHLY ARREARS</v>
          </cell>
          <cell r="C570" t="str">
            <v>2111</v>
          </cell>
          <cell r="D570" t="str">
            <v>COMMERCIAL</v>
          </cell>
          <cell r="E570" t="b">
            <v>0</v>
          </cell>
          <cell r="F570" t="b">
            <v>0</v>
          </cell>
          <cell r="G570" t="str">
            <v>M-EDGEWOOD</v>
          </cell>
          <cell r="H570">
            <v>3169</v>
          </cell>
          <cell r="I570" t="str">
            <v>F2YD2W</v>
          </cell>
          <cell r="J570" t="str">
            <v>2YD CONT 2X WEEKLY</v>
          </cell>
          <cell r="K570">
            <v>359.39</v>
          </cell>
          <cell r="L570">
            <v>359.39</v>
          </cell>
        </row>
        <row r="571">
          <cell r="A571" t="str">
            <v>M-FIFECOMMERCIALF2YD2W</v>
          </cell>
          <cell r="B571" t="str">
            <v>MONTHLY ARREARS</v>
          </cell>
          <cell r="C571" t="str">
            <v>2111</v>
          </cell>
          <cell r="D571" t="str">
            <v>COMMERCIAL</v>
          </cell>
          <cell r="E571" t="b">
            <v>0</v>
          </cell>
          <cell r="F571" t="b">
            <v>0</v>
          </cell>
          <cell r="G571" t="str">
            <v>M-FIFE</v>
          </cell>
          <cell r="H571">
            <v>3169</v>
          </cell>
          <cell r="I571" t="str">
            <v>F2YD2W</v>
          </cell>
          <cell r="J571" t="str">
            <v>2YD CONT 2X WEEKLY</v>
          </cell>
          <cell r="K571">
            <v>359.39</v>
          </cell>
          <cell r="L571">
            <v>359.39</v>
          </cell>
        </row>
        <row r="572">
          <cell r="A572" t="str">
            <v>MURREYSCOMMERCIALF2YD2W</v>
          </cell>
          <cell r="B572" t="str">
            <v>MONTHLY ARREARS</v>
          </cell>
          <cell r="C572" t="str">
            <v>2111</v>
          </cell>
          <cell r="D572" t="str">
            <v>COMMERCIAL</v>
          </cell>
          <cell r="E572" t="b">
            <v>0</v>
          </cell>
          <cell r="F572" t="b">
            <v>0</v>
          </cell>
          <cell r="G572" t="str">
            <v>MURREYS</v>
          </cell>
          <cell r="H572">
            <v>3169</v>
          </cell>
          <cell r="I572" t="str">
            <v>F2YD2W</v>
          </cell>
          <cell r="J572" t="str">
            <v>2YD CONT 2X WEEKLY</v>
          </cell>
          <cell r="K572">
            <v>359.39</v>
          </cell>
          <cell r="L572">
            <v>359.39</v>
          </cell>
        </row>
        <row r="573">
          <cell r="A573" t="str">
            <v>SUMNERCOMMERCIALF2YD2W</v>
          </cell>
          <cell r="B573" t="str">
            <v>MONTHLY ARREARS</v>
          </cell>
          <cell r="C573" t="str">
            <v>2111</v>
          </cell>
          <cell r="D573" t="str">
            <v>COMMERCIAL</v>
          </cell>
          <cell r="E573" t="b">
            <v>0</v>
          </cell>
          <cell r="F573" t="b">
            <v>0</v>
          </cell>
          <cell r="G573" t="str">
            <v>SUMNER</v>
          </cell>
          <cell r="H573">
            <v>3169</v>
          </cell>
          <cell r="I573" t="str">
            <v>F2YD2W</v>
          </cell>
          <cell r="J573" t="str">
            <v>2YD CONT 2X WEEKLY</v>
          </cell>
          <cell r="K573">
            <v>439.36</v>
          </cell>
          <cell r="L573">
            <v>439.36</v>
          </cell>
        </row>
        <row r="574">
          <cell r="A574" t="str">
            <v>BUCKLEYCOMMERCIALF2YD3W</v>
          </cell>
          <cell r="B574" t="str">
            <v>MONTHLY ARREARS</v>
          </cell>
          <cell r="C574" t="str">
            <v>2111</v>
          </cell>
          <cell r="D574" t="str">
            <v>COMMERCIAL</v>
          </cell>
          <cell r="E574" t="b">
            <v>0</v>
          </cell>
          <cell r="F574" t="b">
            <v>0</v>
          </cell>
          <cell r="G574" t="str">
            <v>BUCKLEY</v>
          </cell>
          <cell r="H574">
            <v>3170</v>
          </cell>
          <cell r="I574" t="str">
            <v>F2YD3W</v>
          </cell>
          <cell r="J574" t="str">
            <v>2YD CONT 3X WEEKLY</v>
          </cell>
          <cell r="K574">
            <v>659.09</v>
          </cell>
          <cell r="L574">
            <v>659.09</v>
          </cell>
        </row>
        <row r="575">
          <cell r="A575" t="str">
            <v>M-EDGEWOODCOMMERCIALF2YD3W</v>
          </cell>
          <cell r="B575" t="str">
            <v>MONTHLY ARREARS</v>
          </cell>
          <cell r="C575" t="str">
            <v>2111</v>
          </cell>
          <cell r="D575" t="str">
            <v>COMMERCIAL</v>
          </cell>
          <cell r="E575" t="b">
            <v>0</v>
          </cell>
          <cell r="F575" t="b">
            <v>0</v>
          </cell>
          <cell r="G575" t="str">
            <v>M-EDGEWOOD</v>
          </cell>
          <cell r="H575">
            <v>3170</v>
          </cell>
          <cell r="I575" t="str">
            <v>F2YD3W</v>
          </cell>
          <cell r="J575" t="str">
            <v>2YD CONT 3X WEEKLY</v>
          </cell>
          <cell r="K575">
            <v>539.09</v>
          </cell>
          <cell r="L575">
            <v>539.09</v>
          </cell>
        </row>
        <row r="576">
          <cell r="A576" t="str">
            <v>M-FIFECOMMERCIALF2YD3W</v>
          </cell>
          <cell r="B576" t="str">
            <v>MONTHLY ARREARS</v>
          </cell>
          <cell r="C576" t="str">
            <v>2111</v>
          </cell>
          <cell r="D576" t="str">
            <v>COMMERCIAL</v>
          </cell>
          <cell r="E576" t="b">
            <v>0</v>
          </cell>
          <cell r="F576" t="b">
            <v>0</v>
          </cell>
          <cell r="G576" t="str">
            <v>M-FIFE</v>
          </cell>
          <cell r="H576">
            <v>3170</v>
          </cell>
          <cell r="I576" t="str">
            <v>F2YD3W</v>
          </cell>
          <cell r="J576" t="str">
            <v>2YD CONT 3X WEEKLY</v>
          </cell>
          <cell r="K576">
            <v>539.09</v>
          </cell>
          <cell r="L576">
            <v>539.09</v>
          </cell>
        </row>
        <row r="577">
          <cell r="A577" t="str">
            <v>MURREYSCOMMERCIALF2YD3W</v>
          </cell>
          <cell r="B577" t="str">
            <v>MONTHLY ARREARS</v>
          </cell>
          <cell r="C577" t="str">
            <v>2111</v>
          </cell>
          <cell r="D577" t="str">
            <v>COMMERCIAL</v>
          </cell>
          <cell r="E577" t="b">
            <v>0</v>
          </cell>
          <cell r="F577" t="b">
            <v>0</v>
          </cell>
          <cell r="G577" t="str">
            <v>MURREYS</v>
          </cell>
          <cell r="H577">
            <v>3170</v>
          </cell>
          <cell r="I577" t="str">
            <v>F2YD3W</v>
          </cell>
          <cell r="J577" t="str">
            <v>2YD CONT 3X WEEKLY</v>
          </cell>
          <cell r="K577">
            <v>539.09</v>
          </cell>
          <cell r="L577">
            <v>539.09</v>
          </cell>
        </row>
        <row r="578">
          <cell r="A578" t="str">
            <v>RUSTONCOMMERCIALF2YD3W</v>
          </cell>
          <cell r="B578" t="str">
            <v>MONTHLY ARREARS</v>
          </cell>
          <cell r="C578" t="str">
            <v>2111</v>
          </cell>
          <cell r="D578" t="str">
            <v>COMMERCIAL</v>
          </cell>
          <cell r="E578" t="b">
            <v>0</v>
          </cell>
          <cell r="F578" t="b">
            <v>0</v>
          </cell>
          <cell r="G578" t="str">
            <v>RUSTON</v>
          </cell>
          <cell r="H578">
            <v>3170</v>
          </cell>
          <cell r="I578" t="str">
            <v>F2YD3W</v>
          </cell>
          <cell r="J578" t="str">
            <v>2YD CONT 3X WEEKLY</v>
          </cell>
          <cell r="K578">
            <v>845.21</v>
          </cell>
          <cell r="L578">
            <v>845.21</v>
          </cell>
        </row>
        <row r="579">
          <cell r="A579" t="str">
            <v>BONNEY LAKECOMMERCIALF2YDEX</v>
          </cell>
          <cell r="B579" t="str">
            <v>ONCALL</v>
          </cell>
          <cell r="C579" t="str">
            <v>2111</v>
          </cell>
          <cell r="D579" t="str">
            <v>COMMERCIAL</v>
          </cell>
          <cell r="E579" t="b">
            <v>1</v>
          </cell>
          <cell r="F579" t="b">
            <v>0</v>
          </cell>
          <cell r="G579" t="str">
            <v>BONNEY LAKE</v>
          </cell>
          <cell r="H579">
            <v>3172</v>
          </cell>
          <cell r="I579" t="str">
            <v>F2YDEX</v>
          </cell>
          <cell r="J579" t="str">
            <v>2YD CONT EXTRA</v>
          </cell>
          <cell r="K579">
            <v>52.41</v>
          </cell>
          <cell r="L579">
            <v>52.41</v>
          </cell>
        </row>
        <row r="580">
          <cell r="A580" t="str">
            <v>BUCKLEYCOMMERCIALF2YDEX</v>
          </cell>
          <cell r="B580" t="str">
            <v>ONCALL</v>
          </cell>
          <cell r="C580" t="str">
            <v>2111</v>
          </cell>
          <cell r="D580" t="str">
            <v>COMMERCIAL</v>
          </cell>
          <cell r="E580" t="b">
            <v>1</v>
          </cell>
          <cell r="F580" t="b">
            <v>0</v>
          </cell>
          <cell r="G580" t="str">
            <v>BUCKLEY</v>
          </cell>
          <cell r="H580">
            <v>3172</v>
          </cell>
          <cell r="I580" t="str">
            <v>F2YDEX</v>
          </cell>
          <cell r="J580" t="str">
            <v>2YD CONT EXTRA</v>
          </cell>
          <cell r="K580">
            <v>56.14</v>
          </cell>
          <cell r="L580">
            <v>56.14</v>
          </cell>
        </row>
        <row r="581">
          <cell r="A581" t="str">
            <v>CARBONADOCOMMERCIALF2YDEX</v>
          </cell>
          <cell r="B581" t="str">
            <v>ONCALL</v>
          </cell>
          <cell r="C581" t="str">
            <v>2111</v>
          </cell>
          <cell r="D581" t="str">
            <v>COMMERCIAL</v>
          </cell>
          <cell r="E581" t="b">
            <v>1</v>
          </cell>
          <cell r="F581" t="b">
            <v>0</v>
          </cell>
          <cell r="G581" t="str">
            <v>CARBONADO</v>
          </cell>
          <cell r="H581">
            <v>3172</v>
          </cell>
          <cell r="I581" t="str">
            <v>F2YDEX</v>
          </cell>
          <cell r="J581" t="str">
            <v>2YD CONT EXTRA</v>
          </cell>
          <cell r="K581">
            <v>42.99</v>
          </cell>
          <cell r="L581">
            <v>42.99</v>
          </cell>
        </row>
        <row r="582">
          <cell r="A582" t="str">
            <v>M-EDGEWOODCOMMERCIALF2YDEX</v>
          </cell>
          <cell r="B582" t="str">
            <v>ONCALL</v>
          </cell>
          <cell r="C582" t="str">
            <v>2111</v>
          </cell>
          <cell r="D582" t="str">
            <v>COMMERCIAL</v>
          </cell>
          <cell r="E582" t="b">
            <v>1</v>
          </cell>
          <cell r="F582" t="b">
            <v>0</v>
          </cell>
          <cell r="G582" t="str">
            <v>M-EDGEWOOD</v>
          </cell>
          <cell r="H582">
            <v>3172</v>
          </cell>
          <cell r="I582" t="str">
            <v>F2YDEX</v>
          </cell>
          <cell r="J582" t="str">
            <v>2YD CONT EXTRA</v>
          </cell>
          <cell r="K582">
            <v>43.67</v>
          </cell>
          <cell r="L582">
            <v>43.67</v>
          </cell>
        </row>
        <row r="583">
          <cell r="A583" t="str">
            <v>M-FIFECOMMERCIALF2YDEX</v>
          </cell>
          <cell r="B583" t="str">
            <v>ONCALL</v>
          </cell>
          <cell r="C583" t="str">
            <v>2111</v>
          </cell>
          <cell r="D583" t="str">
            <v>COMMERCIAL</v>
          </cell>
          <cell r="E583" t="b">
            <v>1</v>
          </cell>
          <cell r="F583" t="b">
            <v>0</v>
          </cell>
          <cell r="G583" t="str">
            <v>M-FIFE</v>
          </cell>
          <cell r="H583">
            <v>3172</v>
          </cell>
          <cell r="I583" t="str">
            <v>F2YDEX</v>
          </cell>
          <cell r="J583" t="str">
            <v>2YD CONT EXTRA</v>
          </cell>
          <cell r="K583">
            <v>43.67</v>
          </cell>
          <cell r="L583">
            <v>43.67</v>
          </cell>
        </row>
        <row r="584">
          <cell r="A584" t="str">
            <v>MILTONCOMMERCIALF2YDEX</v>
          </cell>
          <cell r="B584" t="str">
            <v>ONCALL</v>
          </cell>
          <cell r="C584" t="str">
            <v>2111</v>
          </cell>
          <cell r="D584" t="str">
            <v>COMMERCIAL</v>
          </cell>
          <cell r="E584" t="b">
            <v>1</v>
          </cell>
          <cell r="F584" t="b">
            <v>0</v>
          </cell>
          <cell r="G584" t="str">
            <v>MILTON</v>
          </cell>
          <cell r="H584">
            <v>3172</v>
          </cell>
          <cell r="I584" t="str">
            <v>F2YDEX</v>
          </cell>
          <cell r="J584" t="str">
            <v>2YD CONT EXTRA</v>
          </cell>
          <cell r="K584">
            <v>42.33</v>
          </cell>
          <cell r="L584">
            <v>42.33</v>
          </cell>
        </row>
        <row r="585">
          <cell r="A585" t="str">
            <v>MURREYSCOMMERCIALF2YDEX</v>
          </cell>
          <cell r="B585" t="str">
            <v>ONCALL</v>
          </cell>
          <cell r="C585" t="str">
            <v>2111</v>
          </cell>
          <cell r="D585" t="str">
            <v>COMMERCIAL</v>
          </cell>
          <cell r="E585" t="b">
            <v>1</v>
          </cell>
          <cell r="F585" t="b">
            <v>0</v>
          </cell>
          <cell r="G585" t="str">
            <v>MURREYS</v>
          </cell>
          <cell r="H585">
            <v>3172</v>
          </cell>
          <cell r="I585" t="str">
            <v>F2YDEX</v>
          </cell>
          <cell r="J585" t="str">
            <v>2YD CONT EXTRA</v>
          </cell>
          <cell r="K585">
            <v>43.67</v>
          </cell>
          <cell r="L585">
            <v>43.67</v>
          </cell>
        </row>
        <row r="586">
          <cell r="A586" t="str">
            <v>ORTINGCOMMERCIALF2YDEX</v>
          </cell>
          <cell r="B586" t="str">
            <v>ONCALL</v>
          </cell>
          <cell r="C586" t="str">
            <v>2111</v>
          </cell>
          <cell r="D586" t="str">
            <v>COMMERCIAL</v>
          </cell>
          <cell r="E586" t="b">
            <v>1</v>
          </cell>
          <cell r="F586" t="b">
            <v>0</v>
          </cell>
          <cell r="G586" t="str">
            <v>ORTING</v>
          </cell>
          <cell r="H586">
            <v>3172</v>
          </cell>
          <cell r="I586" t="str">
            <v>F2YDEX</v>
          </cell>
          <cell r="J586" t="str">
            <v>2YD CONT EXTRA</v>
          </cell>
          <cell r="K586">
            <v>46.07</v>
          </cell>
          <cell r="L586">
            <v>46.07</v>
          </cell>
        </row>
        <row r="587">
          <cell r="A587" t="str">
            <v>PUYALLUPCOMMERCIALF2YDEX</v>
          </cell>
          <cell r="B587" t="str">
            <v>ONCALL</v>
          </cell>
          <cell r="C587" t="str">
            <v>2111</v>
          </cell>
          <cell r="D587" t="str">
            <v>COMMERCIAL</v>
          </cell>
          <cell r="E587" t="b">
            <v>1</v>
          </cell>
          <cell r="F587" t="b">
            <v>0</v>
          </cell>
          <cell r="G587" t="str">
            <v>PUYALLUP</v>
          </cell>
          <cell r="H587">
            <v>3172</v>
          </cell>
          <cell r="I587" t="str">
            <v>F2YDEX</v>
          </cell>
          <cell r="J587" t="str">
            <v>2YD CONT EXTRA</v>
          </cell>
          <cell r="K587">
            <v>59.33</v>
          </cell>
          <cell r="L587">
            <v>59.33</v>
          </cell>
        </row>
        <row r="588">
          <cell r="A588" t="str">
            <v>RUSTONCOMMERCIALF2YDEX</v>
          </cell>
          <cell r="B588" t="str">
            <v>ONCALL</v>
          </cell>
          <cell r="C588" t="str">
            <v>2111</v>
          </cell>
          <cell r="D588" t="str">
            <v>COMMERCIAL</v>
          </cell>
          <cell r="E588" t="b">
            <v>1</v>
          </cell>
          <cell r="F588" t="b">
            <v>0</v>
          </cell>
          <cell r="G588" t="str">
            <v>RUSTON</v>
          </cell>
          <cell r="H588">
            <v>3172</v>
          </cell>
          <cell r="I588" t="str">
            <v>F2YDEX</v>
          </cell>
          <cell r="J588" t="str">
            <v>2YD CONT EXTRA</v>
          </cell>
          <cell r="K588">
            <v>55.9</v>
          </cell>
          <cell r="L588">
            <v>55.9</v>
          </cell>
        </row>
        <row r="589">
          <cell r="A589" t="str">
            <v>SOUTH PRAIRIECOMMERCIALF2YDEX</v>
          </cell>
          <cell r="B589" t="str">
            <v>ONCALL</v>
          </cell>
          <cell r="C589" t="str">
            <v>2111</v>
          </cell>
          <cell r="D589" t="str">
            <v>COMMERCIAL</v>
          </cell>
          <cell r="E589" t="b">
            <v>1</v>
          </cell>
          <cell r="F589" t="b">
            <v>0</v>
          </cell>
          <cell r="G589" t="str">
            <v>SOUTH PRAIRIE</v>
          </cell>
          <cell r="H589">
            <v>3172</v>
          </cell>
          <cell r="I589" t="str">
            <v>F2YDEX</v>
          </cell>
          <cell r="J589" t="str">
            <v>2YD CONT EXTRA</v>
          </cell>
          <cell r="K589">
            <v>43.47</v>
          </cell>
          <cell r="L589">
            <v>43.47</v>
          </cell>
        </row>
        <row r="590">
          <cell r="A590" t="str">
            <v>SUMNERCOMMERCIALF2YDEX</v>
          </cell>
          <cell r="B590" t="str">
            <v>ONCALL</v>
          </cell>
          <cell r="C590" t="str">
            <v>2111</v>
          </cell>
          <cell r="D590" t="str">
            <v>COMMERCIAL</v>
          </cell>
          <cell r="E590" t="b">
            <v>1</v>
          </cell>
          <cell r="F590" t="b">
            <v>0</v>
          </cell>
          <cell r="G590" t="str">
            <v>SUMNER</v>
          </cell>
          <cell r="H590">
            <v>3172</v>
          </cell>
          <cell r="I590" t="str">
            <v>F2YDEX</v>
          </cell>
          <cell r="J590" t="str">
            <v>2YD CONT EXTRA</v>
          </cell>
          <cell r="K590">
            <v>56.14</v>
          </cell>
          <cell r="L590">
            <v>56.14</v>
          </cell>
        </row>
        <row r="591">
          <cell r="A591" t="str">
            <v>BONNEY LAKECOMMERCIALF4YD1W</v>
          </cell>
          <cell r="B591" t="str">
            <v>MONTHLY ARREARS</v>
          </cell>
          <cell r="C591" t="str">
            <v>2111</v>
          </cell>
          <cell r="D591" t="str">
            <v>COMMERCIAL</v>
          </cell>
          <cell r="E591" t="b">
            <v>0</v>
          </cell>
          <cell r="F591" t="b">
            <v>0</v>
          </cell>
          <cell r="G591" t="str">
            <v>BONNEY LAKE</v>
          </cell>
          <cell r="H591">
            <v>3131</v>
          </cell>
          <cell r="I591" t="str">
            <v>F4YD1W</v>
          </cell>
          <cell r="J591" t="str">
            <v>4YD CONT 1X WEEKLY</v>
          </cell>
          <cell r="K591">
            <v>802.86</v>
          </cell>
          <cell r="L591">
            <v>802.86</v>
          </cell>
        </row>
        <row r="592">
          <cell r="A592" t="str">
            <v>BUCKLEYCOMMERCIALF4YD1W</v>
          </cell>
          <cell r="B592" t="str">
            <v>MONTHLY ARREARS</v>
          </cell>
          <cell r="C592" t="str">
            <v>2111</v>
          </cell>
          <cell r="D592" t="str">
            <v>COMMERCIAL</v>
          </cell>
          <cell r="E592" t="b">
            <v>0</v>
          </cell>
          <cell r="F592" t="b">
            <v>0</v>
          </cell>
          <cell r="G592" t="str">
            <v>BUCKLEY</v>
          </cell>
          <cell r="H592">
            <v>3131</v>
          </cell>
          <cell r="I592" t="str">
            <v>F4YD1W</v>
          </cell>
          <cell r="J592" t="str">
            <v>4YD CONT 1X WEEKLY</v>
          </cell>
          <cell r="K592">
            <v>422</v>
          </cell>
          <cell r="L592">
            <v>422</v>
          </cell>
        </row>
        <row r="593">
          <cell r="A593" t="str">
            <v>M-EDGEWOODCOMMERCIALF4YD1W</v>
          </cell>
          <cell r="B593" t="str">
            <v>MONTHLY ARREARS</v>
          </cell>
          <cell r="C593" t="str">
            <v>2111</v>
          </cell>
          <cell r="D593" t="str">
            <v>COMMERCIAL</v>
          </cell>
          <cell r="E593" t="b">
            <v>0</v>
          </cell>
          <cell r="F593" t="b">
            <v>0</v>
          </cell>
          <cell r="G593" t="str">
            <v>M-EDGEWOOD</v>
          </cell>
          <cell r="H593">
            <v>3131</v>
          </cell>
          <cell r="I593" t="str">
            <v>F4YD1W</v>
          </cell>
          <cell r="J593" t="str">
            <v>4YD CONT 1X WEEKLY</v>
          </cell>
          <cell r="K593">
            <v>337.65</v>
          </cell>
          <cell r="L593">
            <v>337.65</v>
          </cell>
        </row>
        <row r="594">
          <cell r="A594" t="str">
            <v>M-FIFECOMMERCIALF4YD1W</v>
          </cell>
          <cell r="B594" t="str">
            <v>MONTHLY ARREARS</v>
          </cell>
          <cell r="C594" t="str">
            <v>2111</v>
          </cell>
          <cell r="D594" t="str">
            <v>COMMERCIAL</v>
          </cell>
          <cell r="E594" t="b">
            <v>0</v>
          </cell>
          <cell r="F594" t="b">
            <v>0</v>
          </cell>
          <cell r="G594" t="str">
            <v>M-FIFE</v>
          </cell>
          <cell r="H594">
            <v>3131</v>
          </cell>
          <cell r="I594" t="str">
            <v>F4YD1W</v>
          </cell>
          <cell r="J594" t="str">
            <v>4YD CONT 1X WEEKLY</v>
          </cell>
          <cell r="K594">
            <v>337.65</v>
          </cell>
          <cell r="L594">
            <v>337.65</v>
          </cell>
        </row>
        <row r="595">
          <cell r="A595" t="str">
            <v>MILTONCOMMERCIALF4YD1W</v>
          </cell>
          <cell r="B595" t="str">
            <v>MONTHLY ARREARS</v>
          </cell>
          <cell r="C595" t="str">
            <v>2111</v>
          </cell>
          <cell r="D595" t="str">
            <v>COMMERCIAL</v>
          </cell>
          <cell r="E595" t="b">
            <v>0</v>
          </cell>
          <cell r="F595" t="b">
            <v>0</v>
          </cell>
          <cell r="G595" t="str">
            <v>MILTON</v>
          </cell>
          <cell r="H595">
            <v>3131</v>
          </cell>
          <cell r="I595" t="str">
            <v>F4YD1W</v>
          </cell>
          <cell r="J595" t="str">
            <v>4YD CONT 1X WEEKLY</v>
          </cell>
          <cell r="K595">
            <v>812.28</v>
          </cell>
          <cell r="L595">
            <v>812.28</v>
          </cell>
        </row>
        <row r="596">
          <cell r="A596" t="str">
            <v>MURREYSCOMMERCIALF4YD1W</v>
          </cell>
          <cell r="B596" t="str">
            <v>MONTHLY ARREARS</v>
          </cell>
          <cell r="C596" t="str">
            <v>2111</v>
          </cell>
          <cell r="D596" t="str">
            <v>COMMERCIAL</v>
          </cell>
          <cell r="E596" t="b">
            <v>0</v>
          </cell>
          <cell r="F596" t="b">
            <v>0</v>
          </cell>
          <cell r="G596" t="str">
            <v>MURREYS</v>
          </cell>
          <cell r="H596">
            <v>3131</v>
          </cell>
          <cell r="I596" t="str">
            <v>F4YD1W</v>
          </cell>
          <cell r="J596" t="str">
            <v>4YD CONT 1X WEEKLY</v>
          </cell>
          <cell r="K596">
            <v>337.65</v>
          </cell>
          <cell r="L596">
            <v>337.65</v>
          </cell>
        </row>
        <row r="597">
          <cell r="A597" t="str">
            <v>ORTINGCOMMERCIALF4YD1W</v>
          </cell>
          <cell r="B597" t="str">
            <v>MONTHLY ARREARS</v>
          </cell>
          <cell r="C597" t="str">
            <v>2111</v>
          </cell>
          <cell r="D597" t="str">
            <v>COMMERCIAL</v>
          </cell>
          <cell r="E597" t="b">
            <v>0</v>
          </cell>
          <cell r="F597" t="b">
            <v>0</v>
          </cell>
          <cell r="G597" t="str">
            <v>ORTING</v>
          </cell>
          <cell r="H597">
            <v>3131</v>
          </cell>
          <cell r="I597" t="str">
            <v>F4YD1W</v>
          </cell>
          <cell r="J597" t="str">
            <v>4YD CONT 1X WEEKLY</v>
          </cell>
          <cell r="K597">
            <v>744.86</v>
          </cell>
          <cell r="L597">
            <v>744.86</v>
          </cell>
        </row>
        <row r="598">
          <cell r="A598" t="str">
            <v>PUYALLUPCOMMERCIALF4YD1W</v>
          </cell>
          <cell r="B598" t="str">
            <v>MONTHLY ARREARS</v>
          </cell>
          <cell r="C598" t="str">
            <v>2111</v>
          </cell>
          <cell r="D598" t="str">
            <v>COMMERCIAL</v>
          </cell>
          <cell r="E598" t="b">
            <v>0</v>
          </cell>
          <cell r="F598" t="b">
            <v>0</v>
          </cell>
          <cell r="G598" t="str">
            <v>PUYALLUP</v>
          </cell>
          <cell r="H598">
            <v>3131</v>
          </cell>
          <cell r="I598" t="str">
            <v>F4YD1W</v>
          </cell>
          <cell r="J598" t="str">
            <v>4YD CONT 1X WEEKLY</v>
          </cell>
          <cell r="K598">
            <v>906.38</v>
          </cell>
          <cell r="L598">
            <v>906.38</v>
          </cell>
        </row>
        <row r="599">
          <cell r="A599" t="str">
            <v>RUSTONCOMMERCIALF4YD1W</v>
          </cell>
          <cell r="B599" t="str">
            <v>MONTHLY ARREARS</v>
          </cell>
          <cell r="C599" t="str">
            <v>2111</v>
          </cell>
          <cell r="D599" t="str">
            <v>COMMERCIAL</v>
          </cell>
          <cell r="E599" t="b">
            <v>0</v>
          </cell>
          <cell r="F599" t="b">
            <v>0</v>
          </cell>
          <cell r="G599" t="str">
            <v>RUSTON</v>
          </cell>
          <cell r="H599">
            <v>3131</v>
          </cell>
          <cell r="I599" t="str">
            <v>F4YD1W</v>
          </cell>
          <cell r="J599" t="str">
            <v>4YD CONT 1X WEEKLY</v>
          </cell>
          <cell r="K599">
            <v>491.48</v>
          </cell>
          <cell r="L599">
            <v>491.48</v>
          </cell>
        </row>
        <row r="600">
          <cell r="A600" t="str">
            <v>SOUTH PRAIRIECOMMERCIALF4YD1W</v>
          </cell>
          <cell r="B600" t="str">
            <v>MONTHLY ARREARS</v>
          </cell>
          <cell r="C600" t="str">
            <v>2111</v>
          </cell>
          <cell r="D600" t="str">
            <v>COMMERCIAL</v>
          </cell>
          <cell r="E600" t="b">
            <v>0</v>
          </cell>
          <cell r="F600" t="b">
            <v>0</v>
          </cell>
          <cell r="G600" t="str">
            <v>SOUTH PRAIRIE</v>
          </cell>
          <cell r="H600">
            <v>3131</v>
          </cell>
          <cell r="I600" t="str">
            <v>F4YD1W</v>
          </cell>
          <cell r="J600" t="str">
            <v>4YD CONT 1X WEEKLY</v>
          </cell>
          <cell r="K600">
            <v>336.09</v>
          </cell>
          <cell r="L600">
            <v>336.09</v>
          </cell>
        </row>
        <row r="601">
          <cell r="A601" t="str">
            <v>SUMNERCOMMERCIALF4YD1W</v>
          </cell>
          <cell r="B601" t="str">
            <v>MONTHLY ARREARS</v>
          </cell>
          <cell r="C601" t="str">
            <v>2111</v>
          </cell>
          <cell r="D601" t="str">
            <v>COMMERCIAL</v>
          </cell>
          <cell r="E601" t="b">
            <v>0</v>
          </cell>
          <cell r="F601" t="b">
            <v>0</v>
          </cell>
          <cell r="G601" t="str">
            <v>SUMNER</v>
          </cell>
          <cell r="H601">
            <v>3131</v>
          </cell>
          <cell r="I601" t="str">
            <v>F4YD1W</v>
          </cell>
          <cell r="J601" t="str">
            <v>4YD CONT 1X WEEKLY</v>
          </cell>
          <cell r="K601">
            <v>415.19</v>
          </cell>
          <cell r="L601">
            <v>415.19</v>
          </cell>
        </row>
        <row r="602">
          <cell r="A602" t="str">
            <v>BONNEY LAKECOMMERCIALF4YD2W</v>
          </cell>
          <cell r="B602" t="str">
            <v>MONTHLY ARREARS</v>
          </cell>
          <cell r="C602" t="str">
            <v>2111</v>
          </cell>
          <cell r="D602" t="str">
            <v>COMMERCIAL</v>
          </cell>
          <cell r="E602" t="b">
            <v>0</v>
          </cell>
          <cell r="F602" t="b">
            <v>0</v>
          </cell>
          <cell r="G602" t="str">
            <v>BONNEY LAKE</v>
          </cell>
          <cell r="H602">
            <v>3199</v>
          </cell>
          <cell r="I602" t="str">
            <v>F4YD2W</v>
          </cell>
          <cell r="J602" t="str">
            <v>4YD CONT 2X WEEKLY</v>
          </cell>
          <cell r="K602">
            <v>1605.72</v>
          </cell>
          <cell r="L602">
            <v>1605.72</v>
          </cell>
        </row>
        <row r="603">
          <cell r="A603" t="str">
            <v>BUCKLEYCOMMERCIALF4YD2W</v>
          </cell>
          <cell r="B603" t="str">
            <v>MONTHLY ARREARS</v>
          </cell>
          <cell r="C603" t="str">
            <v>2111</v>
          </cell>
          <cell r="D603" t="str">
            <v>COMMERCIAL</v>
          </cell>
          <cell r="E603" t="b">
            <v>0</v>
          </cell>
          <cell r="F603" t="b">
            <v>0</v>
          </cell>
          <cell r="G603" t="str">
            <v>BUCKLEY</v>
          </cell>
          <cell r="H603">
            <v>3199</v>
          </cell>
          <cell r="I603" t="str">
            <v>F4YD2W</v>
          </cell>
          <cell r="J603" t="str">
            <v>4YD CONT 2X WEEKLY</v>
          </cell>
          <cell r="K603">
            <v>830.41</v>
          </cell>
          <cell r="L603">
            <v>830.41</v>
          </cell>
        </row>
        <row r="604">
          <cell r="A604" t="str">
            <v>M-EDGEWOODCOMMERCIALF4YD2W</v>
          </cell>
          <cell r="B604" t="str">
            <v>MONTHLY ARREARS</v>
          </cell>
          <cell r="C604" t="str">
            <v>2111</v>
          </cell>
          <cell r="D604" t="str">
            <v>COMMERCIAL</v>
          </cell>
          <cell r="E604" t="b">
            <v>0</v>
          </cell>
          <cell r="F604" t="b">
            <v>0</v>
          </cell>
          <cell r="G604" t="str">
            <v>M-EDGEWOOD</v>
          </cell>
          <cell r="H604">
            <v>3199</v>
          </cell>
          <cell r="I604" t="str">
            <v>F4YD2W</v>
          </cell>
          <cell r="J604" t="str">
            <v>4YD CONT 2X WEEKLY</v>
          </cell>
          <cell r="K604">
            <v>675.31</v>
          </cell>
          <cell r="L604">
            <v>675.31</v>
          </cell>
        </row>
        <row r="605">
          <cell r="A605" t="str">
            <v>M-FIFECOMMERCIALF4YD2W</v>
          </cell>
          <cell r="B605" t="str">
            <v>MONTHLY ARREARS</v>
          </cell>
          <cell r="C605" t="str">
            <v>2111</v>
          </cell>
          <cell r="D605" t="str">
            <v>COMMERCIAL</v>
          </cell>
          <cell r="E605" t="b">
            <v>0</v>
          </cell>
          <cell r="F605" t="b">
            <v>0</v>
          </cell>
          <cell r="G605" t="str">
            <v>M-FIFE</v>
          </cell>
          <cell r="H605">
            <v>3199</v>
          </cell>
          <cell r="I605" t="str">
            <v>F4YD2W</v>
          </cell>
          <cell r="J605" t="str">
            <v>4YD CONT 2X WEEKLY</v>
          </cell>
          <cell r="K605">
            <v>675.31</v>
          </cell>
          <cell r="L605">
            <v>675.31</v>
          </cell>
        </row>
        <row r="606">
          <cell r="A606" t="str">
            <v>MILTONCOMMERCIALF4YD2W</v>
          </cell>
          <cell r="B606" t="str">
            <v>MONTHLY ARREARS</v>
          </cell>
          <cell r="C606" t="str">
            <v>2111</v>
          </cell>
          <cell r="D606" t="str">
            <v>COMMERCIAL</v>
          </cell>
          <cell r="E606" t="b">
            <v>0</v>
          </cell>
          <cell r="F606" t="b">
            <v>0</v>
          </cell>
          <cell r="G606" t="str">
            <v>MILTON</v>
          </cell>
          <cell r="H606">
            <v>3199</v>
          </cell>
          <cell r="I606" t="str">
            <v>F4YD2W</v>
          </cell>
          <cell r="J606" t="str">
            <v>4YD CONT 2X WEEKLY</v>
          </cell>
          <cell r="K606">
            <v>1624.08</v>
          </cell>
          <cell r="L606">
            <v>1624.08</v>
          </cell>
        </row>
        <row r="607">
          <cell r="A607" t="str">
            <v>MURREYSCOMMERCIALF4YD2W</v>
          </cell>
          <cell r="B607" t="str">
            <v>MONTHLY ARREARS</v>
          </cell>
          <cell r="C607" t="str">
            <v>2111</v>
          </cell>
          <cell r="D607" t="str">
            <v>COMMERCIAL</v>
          </cell>
          <cell r="E607" t="b">
            <v>0</v>
          </cell>
          <cell r="F607" t="b">
            <v>0</v>
          </cell>
          <cell r="G607" t="str">
            <v>MURREYS</v>
          </cell>
          <cell r="H607">
            <v>3199</v>
          </cell>
          <cell r="I607" t="str">
            <v>F4YD2W</v>
          </cell>
          <cell r="J607" t="str">
            <v>4YD CONT 2X WEEKLY</v>
          </cell>
          <cell r="K607">
            <v>675.31</v>
          </cell>
          <cell r="L607">
            <v>675.31</v>
          </cell>
        </row>
        <row r="608">
          <cell r="A608" t="str">
            <v>ORTINGCOMMERCIALF4YD2W</v>
          </cell>
          <cell r="B608" t="str">
            <v>MONTHLY ARREARS</v>
          </cell>
          <cell r="C608" t="str">
            <v>2111</v>
          </cell>
          <cell r="D608" t="str">
            <v>COMMERCIAL</v>
          </cell>
          <cell r="E608" t="b">
            <v>0</v>
          </cell>
          <cell r="F608" t="b">
            <v>0</v>
          </cell>
          <cell r="G608" t="str">
            <v>ORTING</v>
          </cell>
          <cell r="H608">
            <v>3199</v>
          </cell>
          <cell r="I608" t="str">
            <v>F4YD2W</v>
          </cell>
          <cell r="J608" t="str">
            <v>4YD CONT 2X WEEKLY</v>
          </cell>
          <cell r="K608">
            <v>1489.64</v>
          </cell>
          <cell r="L608">
            <v>1489.64</v>
          </cell>
        </row>
        <row r="609">
          <cell r="A609" t="str">
            <v>PUYALLUPCOMMERCIALF4YD2W</v>
          </cell>
          <cell r="B609" t="str">
            <v>MONTHLY ARREARS</v>
          </cell>
          <cell r="C609" t="str">
            <v>2111</v>
          </cell>
          <cell r="D609" t="str">
            <v>COMMERCIAL</v>
          </cell>
          <cell r="E609" t="b">
            <v>0</v>
          </cell>
          <cell r="F609" t="b">
            <v>0</v>
          </cell>
          <cell r="G609" t="str">
            <v>PUYALLUP</v>
          </cell>
          <cell r="H609">
            <v>3199</v>
          </cell>
          <cell r="I609" t="str">
            <v>F4YD2W</v>
          </cell>
          <cell r="J609" t="str">
            <v>4YD CONT 2X WEEKLY</v>
          </cell>
          <cell r="K609">
            <v>1797.02</v>
          </cell>
          <cell r="L609">
            <v>1797.02</v>
          </cell>
        </row>
        <row r="610">
          <cell r="A610" t="str">
            <v>RUSTONCOMMERCIALF4YD2W</v>
          </cell>
          <cell r="B610" t="str">
            <v>MONTHLY ARREARS</v>
          </cell>
          <cell r="C610" t="str">
            <v>2111</v>
          </cell>
          <cell r="D610" t="str">
            <v>COMMERCIAL</v>
          </cell>
          <cell r="E610" t="b">
            <v>0</v>
          </cell>
          <cell r="F610" t="b">
            <v>0</v>
          </cell>
          <cell r="G610" t="str">
            <v>RUSTON</v>
          </cell>
          <cell r="H610">
            <v>3199</v>
          </cell>
          <cell r="I610" t="str">
            <v>F4YD2W</v>
          </cell>
          <cell r="J610" t="str">
            <v>4YD CONT 2X WEEKLY</v>
          </cell>
          <cell r="K610">
            <v>982.94</v>
          </cell>
          <cell r="L610">
            <v>982.94</v>
          </cell>
        </row>
        <row r="611">
          <cell r="A611" t="str">
            <v>SOUTH PRAIRIECOMMERCIALF4YD2W</v>
          </cell>
          <cell r="B611" t="str">
            <v>MONTHLY ARREARS</v>
          </cell>
          <cell r="C611" t="str">
            <v>2111</v>
          </cell>
          <cell r="D611" t="str">
            <v>COMMERCIAL</v>
          </cell>
          <cell r="E611" t="b">
            <v>0</v>
          </cell>
          <cell r="F611" t="b">
            <v>0</v>
          </cell>
          <cell r="G611" t="str">
            <v>SOUTH PRAIRIE</v>
          </cell>
          <cell r="H611">
            <v>3199</v>
          </cell>
          <cell r="I611" t="str">
            <v>F4YD2W</v>
          </cell>
          <cell r="J611" t="str">
            <v>4YD CONT 2X WEEKLY</v>
          </cell>
          <cell r="K611">
            <v>672.18</v>
          </cell>
          <cell r="L611">
            <v>672.18</v>
          </cell>
        </row>
        <row r="612">
          <cell r="A612" t="str">
            <v>SUMNERCOMMERCIALF4YD2W</v>
          </cell>
          <cell r="B612" t="str">
            <v>MONTHLY ARREARS</v>
          </cell>
          <cell r="C612" t="str">
            <v>2111</v>
          </cell>
          <cell r="D612" t="str">
            <v>COMMERCIAL</v>
          </cell>
          <cell r="E612" t="b">
            <v>0</v>
          </cell>
          <cell r="F612" t="b">
            <v>0</v>
          </cell>
          <cell r="G612" t="str">
            <v>SUMNER</v>
          </cell>
          <cell r="H612">
            <v>3199</v>
          </cell>
          <cell r="I612" t="str">
            <v>F4YD2W</v>
          </cell>
          <cell r="J612" t="str">
            <v>4YD CONT 2X WEEKLY</v>
          </cell>
          <cell r="K612">
            <v>830.41</v>
          </cell>
          <cell r="L612">
            <v>830.41</v>
          </cell>
        </row>
        <row r="613">
          <cell r="A613" t="str">
            <v>BONNEY LAKECOMMERCIALF4YD3W</v>
          </cell>
          <cell r="B613" t="str">
            <v>MONTHLY ARREARS</v>
          </cell>
          <cell r="C613" t="str">
            <v>2111</v>
          </cell>
          <cell r="D613" t="str">
            <v>COMMERCIAL</v>
          </cell>
          <cell r="E613" t="b">
            <v>0</v>
          </cell>
          <cell r="F613" t="b">
            <v>0</v>
          </cell>
          <cell r="G613" t="str">
            <v>BONNEY LAKE</v>
          </cell>
          <cell r="H613">
            <v>3130</v>
          </cell>
          <cell r="I613" t="str">
            <v>F4YD3W</v>
          </cell>
          <cell r="J613" t="str">
            <v>4YD CONT 3X WEEKLY</v>
          </cell>
          <cell r="K613">
            <v>2408.7399999999998</v>
          </cell>
          <cell r="L613">
            <v>2408.7399999999998</v>
          </cell>
        </row>
        <row r="614">
          <cell r="A614" t="str">
            <v>BUCKLEYCOMMERCIALF4YD3W</v>
          </cell>
          <cell r="B614" t="str">
            <v>MONTHLY ARREARS</v>
          </cell>
          <cell r="C614" t="str">
            <v>2111</v>
          </cell>
          <cell r="D614" t="str">
            <v>COMMERCIAL</v>
          </cell>
          <cell r="E614" t="b">
            <v>0</v>
          </cell>
          <cell r="F614" t="b">
            <v>0</v>
          </cell>
          <cell r="G614" t="str">
            <v>BUCKLEY</v>
          </cell>
          <cell r="H614">
            <v>3130</v>
          </cell>
          <cell r="I614" t="str">
            <v>F4YD3W</v>
          </cell>
          <cell r="J614" t="str">
            <v>4YD CONT 3X WEEKLY</v>
          </cell>
          <cell r="K614">
            <v>1245.58</v>
          </cell>
          <cell r="L614">
            <v>1245.58</v>
          </cell>
        </row>
        <row r="615">
          <cell r="A615" t="str">
            <v>M-EDGEWOODCOMMERCIALF4YD3W</v>
          </cell>
          <cell r="B615" t="str">
            <v>MONTHLY ARREARS</v>
          </cell>
          <cell r="C615" t="str">
            <v>2111</v>
          </cell>
          <cell r="D615" t="str">
            <v>COMMERCIAL</v>
          </cell>
          <cell r="E615" t="b">
            <v>0</v>
          </cell>
          <cell r="F615" t="b">
            <v>0</v>
          </cell>
          <cell r="G615" t="str">
            <v>M-EDGEWOOD</v>
          </cell>
          <cell r="H615">
            <v>3130</v>
          </cell>
          <cell r="I615" t="str">
            <v>F4YD3W</v>
          </cell>
          <cell r="J615" t="str">
            <v>4YD CONT 3X WEEKLY</v>
          </cell>
          <cell r="K615">
            <v>1012.96</v>
          </cell>
          <cell r="L615">
            <v>1012.96</v>
          </cell>
        </row>
        <row r="616">
          <cell r="A616" t="str">
            <v>M-FIFECOMMERCIALF4YD3W</v>
          </cell>
          <cell r="B616" t="str">
            <v>MONTHLY ARREARS</v>
          </cell>
          <cell r="C616" t="str">
            <v>2111</v>
          </cell>
          <cell r="D616" t="str">
            <v>COMMERCIAL</v>
          </cell>
          <cell r="E616" t="b">
            <v>0</v>
          </cell>
          <cell r="F616" t="b">
            <v>0</v>
          </cell>
          <cell r="G616" t="str">
            <v>M-FIFE</v>
          </cell>
          <cell r="H616">
            <v>3130</v>
          </cell>
          <cell r="I616" t="str">
            <v>F4YD3W</v>
          </cell>
          <cell r="J616" t="str">
            <v>4YD CONT 3X WEEKLY</v>
          </cell>
          <cell r="K616">
            <v>1012.96</v>
          </cell>
          <cell r="L616">
            <v>1012.96</v>
          </cell>
        </row>
        <row r="617">
          <cell r="A617" t="str">
            <v>MILTONCOMMERCIALF4YD3W</v>
          </cell>
          <cell r="B617" t="str">
            <v>MONTHLY ARREARS</v>
          </cell>
          <cell r="C617" t="str">
            <v>2111</v>
          </cell>
          <cell r="D617" t="str">
            <v>COMMERCIAL</v>
          </cell>
          <cell r="E617" t="b">
            <v>0</v>
          </cell>
          <cell r="F617" t="b">
            <v>0</v>
          </cell>
          <cell r="G617" t="str">
            <v>MILTON</v>
          </cell>
          <cell r="H617">
            <v>3130</v>
          </cell>
          <cell r="I617" t="str">
            <v>F4YD3W</v>
          </cell>
          <cell r="J617" t="str">
            <v>4YD CONT 3X WEEKLY</v>
          </cell>
          <cell r="K617">
            <v>2436.7800000000002</v>
          </cell>
          <cell r="L617">
            <v>2436.7800000000002</v>
          </cell>
        </row>
        <row r="618">
          <cell r="A618" t="str">
            <v>MURREYSCOMMERCIALF4YD3W</v>
          </cell>
          <cell r="B618" t="str">
            <v>MONTHLY ARREARS</v>
          </cell>
          <cell r="C618" t="str">
            <v>2111</v>
          </cell>
          <cell r="D618" t="str">
            <v>COMMERCIAL</v>
          </cell>
          <cell r="E618" t="b">
            <v>0</v>
          </cell>
          <cell r="F618" t="b">
            <v>0</v>
          </cell>
          <cell r="G618" t="str">
            <v>MURREYS</v>
          </cell>
          <cell r="H618">
            <v>3130</v>
          </cell>
          <cell r="I618" t="str">
            <v>F4YD3W</v>
          </cell>
          <cell r="J618" t="str">
            <v>4YD CONT 3X WEEKLY</v>
          </cell>
          <cell r="K618">
            <v>1012.96</v>
          </cell>
          <cell r="L618">
            <v>1012.96</v>
          </cell>
        </row>
        <row r="619">
          <cell r="A619" t="str">
            <v>PUYALLUPCOMMERCIALF4YD3W</v>
          </cell>
          <cell r="B619" t="str">
            <v>MONTHLY ARREARS</v>
          </cell>
          <cell r="C619" t="str">
            <v>2111</v>
          </cell>
          <cell r="D619" t="str">
            <v>COMMERCIAL</v>
          </cell>
          <cell r="E619" t="b">
            <v>0</v>
          </cell>
          <cell r="F619" t="b">
            <v>0</v>
          </cell>
          <cell r="G619" t="str">
            <v>PUYALLUP</v>
          </cell>
          <cell r="H619">
            <v>3130</v>
          </cell>
          <cell r="I619" t="str">
            <v>F4YD3W</v>
          </cell>
          <cell r="J619" t="str">
            <v>4YD CONT 3X WEEKLY</v>
          </cell>
          <cell r="K619">
            <v>2687.4</v>
          </cell>
          <cell r="L619">
            <v>2687.4</v>
          </cell>
        </row>
        <row r="620">
          <cell r="A620" t="str">
            <v>RUSTONCOMMERCIALF4YD3W</v>
          </cell>
          <cell r="B620" t="str">
            <v>MONTHLY ARREARS</v>
          </cell>
          <cell r="C620" t="str">
            <v>2111</v>
          </cell>
          <cell r="D620" t="str">
            <v>COMMERCIAL</v>
          </cell>
          <cell r="E620" t="b">
            <v>0</v>
          </cell>
          <cell r="F620" t="b">
            <v>0</v>
          </cell>
          <cell r="G620" t="str">
            <v>RUSTON</v>
          </cell>
          <cell r="H620">
            <v>3130</v>
          </cell>
          <cell r="I620" t="str">
            <v>F4YD3W</v>
          </cell>
          <cell r="J620" t="str">
            <v>4YD CONT 3X WEEKLY</v>
          </cell>
          <cell r="K620">
            <v>1474.41</v>
          </cell>
          <cell r="L620">
            <v>1474.41</v>
          </cell>
        </row>
        <row r="621">
          <cell r="A621" t="str">
            <v>SOUTH PRAIRIECOMMERCIALF4YD3W</v>
          </cell>
          <cell r="B621" t="str">
            <v>MONTHLY ARREARS</v>
          </cell>
          <cell r="C621" t="str">
            <v>2111</v>
          </cell>
          <cell r="D621" t="str">
            <v>COMMERCIAL</v>
          </cell>
          <cell r="E621" t="b">
            <v>0</v>
          </cell>
          <cell r="F621" t="b">
            <v>0</v>
          </cell>
          <cell r="G621" t="str">
            <v>SOUTH PRAIRIE</v>
          </cell>
          <cell r="H621">
            <v>3130</v>
          </cell>
          <cell r="I621" t="str">
            <v>F4YD3W</v>
          </cell>
          <cell r="J621" t="str">
            <v>4YD CONT 3X WEEKLY</v>
          </cell>
          <cell r="K621">
            <v>1008.27</v>
          </cell>
          <cell r="L621">
            <v>1008.27</v>
          </cell>
        </row>
        <row r="622">
          <cell r="A622" t="str">
            <v>SUMNERCOMMERCIALF4YD3W</v>
          </cell>
          <cell r="B622" t="str">
            <v>MONTHLY ARREARS</v>
          </cell>
          <cell r="C622" t="str">
            <v>2111</v>
          </cell>
          <cell r="D622" t="str">
            <v>COMMERCIAL</v>
          </cell>
          <cell r="E622" t="b">
            <v>0</v>
          </cell>
          <cell r="F622" t="b">
            <v>0</v>
          </cell>
          <cell r="G622" t="str">
            <v>SUMNER</v>
          </cell>
          <cell r="H622">
            <v>3130</v>
          </cell>
          <cell r="I622" t="str">
            <v>F4YD3W</v>
          </cell>
          <cell r="J622" t="str">
            <v>4YD CONT 3X WEEKLY</v>
          </cell>
          <cell r="K622">
            <v>1245.58</v>
          </cell>
          <cell r="L622">
            <v>1245.58</v>
          </cell>
        </row>
        <row r="623">
          <cell r="A623" t="str">
            <v>BONNEY LAKECOMMERCIALF4YD4W</v>
          </cell>
          <cell r="B623" t="str">
            <v>MONTHLY ARREARS</v>
          </cell>
          <cell r="C623" t="str">
            <v>2111</v>
          </cell>
          <cell r="D623" t="str">
            <v>COMMERCIAL</v>
          </cell>
          <cell r="E623" t="b">
            <v>0</v>
          </cell>
          <cell r="F623" t="b">
            <v>0</v>
          </cell>
          <cell r="G623" t="str">
            <v>BONNEY LAKE</v>
          </cell>
          <cell r="H623">
            <v>3321</v>
          </cell>
          <cell r="I623" t="str">
            <v>F4YD4W</v>
          </cell>
          <cell r="J623" t="str">
            <v>4YD CONT 4X WEEKLY SVC</v>
          </cell>
          <cell r="K623">
            <v>3211.66</v>
          </cell>
          <cell r="L623">
            <v>3211.66</v>
          </cell>
        </row>
        <row r="624">
          <cell r="A624" t="str">
            <v>M-EDGEWOODCOMMERCIALF4YD4W</v>
          </cell>
          <cell r="B624" t="str">
            <v>MONTHLY ARREARS</v>
          </cell>
          <cell r="C624" t="str">
            <v>2111</v>
          </cell>
          <cell r="D624" t="str">
            <v>COMMERCIAL</v>
          </cell>
          <cell r="E624" t="b">
            <v>0</v>
          </cell>
          <cell r="F624" t="b">
            <v>0</v>
          </cell>
          <cell r="G624" t="str">
            <v>M-EDGEWOOD</v>
          </cell>
          <cell r="H624">
            <v>3321</v>
          </cell>
          <cell r="I624" t="str">
            <v>F4YD4W</v>
          </cell>
          <cell r="J624" t="str">
            <v>4YD CONT 4X WEEKLY SVC</v>
          </cell>
          <cell r="K624">
            <v>1350.61</v>
          </cell>
          <cell r="L624">
            <v>1350.61</v>
          </cell>
        </row>
        <row r="625">
          <cell r="A625" t="str">
            <v>M-FIFECOMMERCIALF4YD4W</v>
          </cell>
          <cell r="B625" t="str">
            <v>MONTHLY ARREARS</v>
          </cell>
          <cell r="C625" t="str">
            <v>2111</v>
          </cell>
          <cell r="D625" t="str">
            <v>COMMERCIAL</v>
          </cell>
          <cell r="E625" t="b">
            <v>0</v>
          </cell>
          <cell r="F625" t="b">
            <v>0</v>
          </cell>
          <cell r="G625" t="str">
            <v>M-FIFE</v>
          </cell>
          <cell r="H625">
            <v>3321</v>
          </cell>
          <cell r="I625" t="str">
            <v>F4YD4W</v>
          </cell>
          <cell r="J625" t="str">
            <v>4YD CONT 4X WEEKLY SVC</v>
          </cell>
          <cell r="K625">
            <v>1350.61</v>
          </cell>
          <cell r="L625">
            <v>1350.61</v>
          </cell>
        </row>
        <row r="626">
          <cell r="A626" t="str">
            <v>MURREYSCOMMERCIALF4YD4W</v>
          </cell>
          <cell r="B626" t="str">
            <v>MONTHLY ARREARS</v>
          </cell>
          <cell r="C626" t="str">
            <v>2111</v>
          </cell>
          <cell r="D626" t="str">
            <v>COMMERCIAL</v>
          </cell>
          <cell r="E626" t="b">
            <v>0</v>
          </cell>
          <cell r="F626" t="b">
            <v>0</v>
          </cell>
          <cell r="G626" t="str">
            <v>MURREYS</v>
          </cell>
          <cell r="H626">
            <v>3321</v>
          </cell>
          <cell r="I626" t="str">
            <v>F4YD4W</v>
          </cell>
          <cell r="J626" t="str">
            <v>4YD CONT 4X WEEKLY SVC</v>
          </cell>
          <cell r="K626">
            <v>1350.61</v>
          </cell>
          <cell r="L626">
            <v>1350.61</v>
          </cell>
        </row>
        <row r="627">
          <cell r="A627" t="str">
            <v>PUYALLUPCOMMERCIALF4YD4W</v>
          </cell>
          <cell r="B627" t="str">
            <v>MONTHLY ARREARS</v>
          </cell>
          <cell r="C627" t="str">
            <v>2111</v>
          </cell>
          <cell r="D627" t="str">
            <v>COMMERCIAL</v>
          </cell>
          <cell r="E627" t="b">
            <v>0</v>
          </cell>
          <cell r="F627" t="b">
            <v>0</v>
          </cell>
          <cell r="G627" t="str">
            <v>PUYALLUP</v>
          </cell>
          <cell r="H627">
            <v>3321</v>
          </cell>
          <cell r="I627" t="str">
            <v>F4YD4W</v>
          </cell>
          <cell r="J627" t="str">
            <v>4YD CONT 4X WEEKLY SVC</v>
          </cell>
          <cell r="K627">
            <v>3583</v>
          </cell>
          <cell r="L627">
            <v>3583</v>
          </cell>
        </row>
        <row r="628">
          <cell r="A628" t="str">
            <v>SUMNERCOMMERCIALF4YD4W</v>
          </cell>
          <cell r="B628" t="str">
            <v>MONTHLY ARREARS</v>
          </cell>
          <cell r="C628" t="str">
            <v>2111</v>
          </cell>
          <cell r="D628" t="str">
            <v>COMMERCIAL</v>
          </cell>
          <cell r="E628" t="b">
            <v>0</v>
          </cell>
          <cell r="F628" t="b">
            <v>0</v>
          </cell>
          <cell r="G628" t="str">
            <v>SUMNER</v>
          </cell>
          <cell r="H628">
            <v>3321</v>
          </cell>
          <cell r="I628" t="str">
            <v>F4YD4W</v>
          </cell>
          <cell r="J628" t="str">
            <v>4YD CONT 4X WEEKLY SVC</v>
          </cell>
          <cell r="K628">
            <v>1717.41</v>
          </cell>
          <cell r="L628">
            <v>1717.41</v>
          </cell>
        </row>
        <row r="629">
          <cell r="A629" t="str">
            <v>SUMNERCOMMERCIALF4YD5W</v>
          </cell>
          <cell r="B629" t="str">
            <v>BI-MONTHLY SPLIT EVEN</v>
          </cell>
          <cell r="C629" t="str">
            <v>2111</v>
          </cell>
          <cell r="D629" t="str">
            <v>COMMERCIAL</v>
          </cell>
          <cell r="E629" t="b">
            <v>0</v>
          </cell>
          <cell r="F629" t="b">
            <v>0</v>
          </cell>
          <cell r="G629" t="str">
            <v>SUMNER</v>
          </cell>
          <cell r="H629">
            <v>3312</v>
          </cell>
          <cell r="I629" t="str">
            <v>F4YD5W</v>
          </cell>
          <cell r="J629" t="str">
            <v>4YD CONT 5X WEEKLY SVC</v>
          </cell>
          <cell r="K629">
            <v>2145.25</v>
          </cell>
          <cell r="L629">
            <v>1072.625</v>
          </cell>
        </row>
        <row r="630">
          <cell r="A630" t="str">
            <v>BONNEY LAKECOMMERCIALF4YDEX</v>
          </cell>
          <cell r="B630" t="str">
            <v>ONCALL</v>
          </cell>
          <cell r="C630" t="str">
            <v>2111</v>
          </cell>
          <cell r="D630" t="str">
            <v>COMMERCIAL</v>
          </cell>
          <cell r="E630" t="b">
            <v>1</v>
          </cell>
          <cell r="F630" t="b">
            <v>0</v>
          </cell>
          <cell r="G630" t="str">
            <v>BONNEY LAKE</v>
          </cell>
          <cell r="H630">
            <v>3274</v>
          </cell>
          <cell r="I630" t="str">
            <v>F4YDEX</v>
          </cell>
          <cell r="J630" t="str">
            <v>4YD CONT EXTRA PICKUP</v>
          </cell>
          <cell r="K630">
            <v>98.52</v>
          </cell>
          <cell r="L630">
            <v>98.52</v>
          </cell>
        </row>
        <row r="631">
          <cell r="A631" t="str">
            <v>BUCKLEYCOMMERCIALF4YDEX</v>
          </cell>
          <cell r="B631" t="str">
            <v>ONCALL</v>
          </cell>
          <cell r="C631" t="str">
            <v>2111</v>
          </cell>
          <cell r="D631" t="str">
            <v>COMMERCIAL</v>
          </cell>
          <cell r="E631" t="b">
            <v>1</v>
          </cell>
          <cell r="F631" t="b">
            <v>0</v>
          </cell>
          <cell r="G631" t="str">
            <v>BUCKLEY</v>
          </cell>
          <cell r="H631">
            <v>3274</v>
          </cell>
          <cell r="I631" t="str">
            <v>F4YDEX</v>
          </cell>
          <cell r="J631" t="str">
            <v>4YD CONT EXTRA PICKUP</v>
          </cell>
          <cell r="K631">
            <v>101.86</v>
          </cell>
          <cell r="L631">
            <v>101.86</v>
          </cell>
        </row>
        <row r="632">
          <cell r="A632" t="str">
            <v>CARBONADOCOMMERCIALF4YDEX</v>
          </cell>
          <cell r="B632" t="str">
            <v>ONCALL</v>
          </cell>
          <cell r="C632" t="str">
            <v>2111</v>
          </cell>
          <cell r="D632" t="str">
            <v>COMMERCIAL</v>
          </cell>
          <cell r="E632" t="b">
            <v>1</v>
          </cell>
          <cell r="F632" t="b">
            <v>0</v>
          </cell>
          <cell r="G632" t="str">
            <v>CARBONADO</v>
          </cell>
          <cell r="H632">
            <v>3274</v>
          </cell>
          <cell r="I632" t="str">
            <v>F4YDEX</v>
          </cell>
          <cell r="J632" t="str">
            <v>4YD CONT EXTRA PICKUP</v>
          </cell>
          <cell r="K632">
            <v>0</v>
          </cell>
          <cell r="L632">
            <v>0</v>
          </cell>
        </row>
        <row r="633">
          <cell r="A633" t="str">
            <v>M-EDGEWOODCOMMERCIALF4YDEX</v>
          </cell>
          <cell r="B633" t="str">
            <v>ONCALL</v>
          </cell>
          <cell r="C633" t="str">
            <v>2111</v>
          </cell>
          <cell r="D633" t="str">
            <v>COMMERCIAL</v>
          </cell>
          <cell r="E633" t="b">
            <v>1</v>
          </cell>
          <cell r="F633" t="b">
            <v>0</v>
          </cell>
          <cell r="G633" t="str">
            <v>M-EDGEWOOD</v>
          </cell>
          <cell r="H633">
            <v>3274</v>
          </cell>
          <cell r="I633" t="str">
            <v>F4YDEX</v>
          </cell>
          <cell r="J633" t="str">
            <v>4YD CONT EXTRA PICKUP</v>
          </cell>
          <cell r="K633">
            <v>80.17</v>
          </cell>
          <cell r="L633">
            <v>80.17</v>
          </cell>
        </row>
        <row r="634">
          <cell r="A634" t="str">
            <v>M-FIFECOMMERCIALF4YDEX</v>
          </cell>
          <cell r="B634" t="str">
            <v>ONCALL</v>
          </cell>
          <cell r="C634" t="str">
            <v>2111</v>
          </cell>
          <cell r="D634" t="str">
            <v>COMMERCIAL</v>
          </cell>
          <cell r="E634" t="b">
            <v>1</v>
          </cell>
          <cell r="F634" t="b">
            <v>0</v>
          </cell>
          <cell r="G634" t="str">
            <v>M-FIFE</v>
          </cell>
          <cell r="H634">
            <v>3274</v>
          </cell>
          <cell r="I634" t="str">
            <v>F4YDEX</v>
          </cell>
          <cell r="J634" t="str">
            <v>4YD CONT EXTRA PICKUP</v>
          </cell>
          <cell r="K634">
            <v>80.17</v>
          </cell>
          <cell r="L634">
            <v>80.17</v>
          </cell>
        </row>
        <row r="635">
          <cell r="A635" t="str">
            <v>MILTONCOMMERCIALF4YDEX</v>
          </cell>
          <cell r="B635" t="str">
            <v>ONCALL</v>
          </cell>
          <cell r="C635" t="str">
            <v>2111</v>
          </cell>
          <cell r="D635" t="str">
            <v>COMMERCIAL</v>
          </cell>
          <cell r="E635" t="b">
            <v>1</v>
          </cell>
          <cell r="F635" t="b">
            <v>0</v>
          </cell>
          <cell r="G635" t="str">
            <v>MILTON</v>
          </cell>
          <cell r="H635">
            <v>3274</v>
          </cell>
          <cell r="I635" t="str">
            <v>F4YDEX</v>
          </cell>
          <cell r="J635" t="str">
            <v>4YD CONT EXTRA PICKUP</v>
          </cell>
          <cell r="K635">
            <v>67.53</v>
          </cell>
          <cell r="L635">
            <v>67.53</v>
          </cell>
        </row>
        <row r="636">
          <cell r="A636" t="str">
            <v>MURREYSCOMMERCIALF4YDEX</v>
          </cell>
          <cell r="B636" t="str">
            <v>ONCALL</v>
          </cell>
          <cell r="C636" t="str">
            <v>2111</v>
          </cell>
          <cell r="D636" t="str">
            <v>COMMERCIAL</v>
          </cell>
          <cell r="E636" t="b">
            <v>1</v>
          </cell>
          <cell r="F636" t="b">
            <v>0</v>
          </cell>
          <cell r="G636" t="str">
            <v>MURREYS</v>
          </cell>
          <cell r="H636">
            <v>3274</v>
          </cell>
          <cell r="I636" t="str">
            <v>F4YDEX</v>
          </cell>
          <cell r="J636" t="str">
            <v>4YD CONT EXTRA PICKUP</v>
          </cell>
          <cell r="K636">
            <v>80.17</v>
          </cell>
          <cell r="L636">
            <v>80.17</v>
          </cell>
        </row>
        <row r="637">
          <cell r="A637" t="str">
            <v>ORTINGCOMMERCIALF4YDEX</v>
          </cell>
          <cell r="B637" t="str">
            <v>ONCALL</v>
          </cell>
          <cell r="C637" t="str">
            <v>2111</v>
          </cell>
          <cell r="D637" t="str">
            <v>COMMERCIAL</v>
          </cell>
          <cell r="E637" t="b">
            <v>1</v>
          </cell>
          <cell r="F637" t="b">
            <v>0</v>
          </cell>
          <cell r="G637" t="str">
            <v>ORTING</v>
          </cell>
          <cell r="H637">
            <v>3274</v>
          </cell>
          <cell r="I637" t="str">
            <v>F4YDEX</v>
          </cell>
          <cell r="J637" t="str">
            <v>4YD CONT EXTRA PICKUP</v>
          </cell>
          <cell r="K637">
            <v>86.83</v>
          </cell>
          <cell r="L637">
            <v>86.83</v>
          </cell>
        </row>
        <row r="638">
          <cell r="A638" t="str">
            <v>PUYALLUPCOMMERCIALF4YDEX</v>
          </cell>
          <cell r="B638" t="str">
            <v>ONCALL</v>
          </cell>
          <cell r="C638" t="str">
            <v>2111</v>
          </cell>
          <cell r="D638" t="str">
            <v>COMMERCIAL</v>
          </cell>
          <cell r="E638" t="b">
            <v>1</v>
          </cell>
          <cell r="F638" t="b">
            <v>0</v>
          </cell>
          <cell r="G638" t="str">
            <v>PUYALLUP</v>
          </cell>
          <cell r="H638">
            <v>3274</v>
          </cell>
          <cell r="I638" t="str">
            <v>F4YDEX</v>
          </cell>
          <cell r="J638" t="str">
            <v>4YD CONT EXTRA PICKUP</v>
          </cell>
          <cell r="K638">
            <v>103.67</v>
          </cell>
          <cell r="L638">
            <v>103.67</v>
          </cell>
        </row>
        <row r="639">
          <cell r="A639" t="str">
            <v>RUSTONCOMMERCIALF4YDEX</v>
          </cell>
          <cell r="B639" t="str">
            <v>ONCALL</v>
          </cell>
          <cell r="C639" t="str">
            <v>2111</v>
          </cell>
          <cell r="D639" t="str">
            <v>COMMERCIAL</v>
          </cell>
          <cell r="E639" t="b">
            <v>1</v>
          </cell>
          <cell r="F639" t="b">
            <v>0</v>
          </cell>
          <cell r="G639" t="str">
            <v>RUSTON</v>
          </cell>
          <cell r="H639">
            <v>3274</v>
          </cell>
          <cell r="I639" t="str">
            <v>F4YDEX</v>
          </cell>
          <cell r="J639" t="str">
            <v>4YD CONT EXTRA PICKUP</v>
          </cell>
          <cell r="K639">
            <v>105.09</v>
          </cell>
          <cell r="L639">
            <v>105.09</v>
          </cell>
        </row>
        <row r="640">
          <cell r="A640" t="str">
            <v>SOUTH PRAIRIECOMMERCIALF4YDEX</v>
          </cell>
          <cell r="B640" t="str">
            <v>ONCALL</v>
          </cell>
          <cell r="C640" t="str">
            <v>2111</v>
          </cell>
          <cell r="D640" t="str">
            <v>COMMERCIAL</v>
          </cell>
          <cell r="E640" t="b">
            <v>1</v>
          </cell>
          <cell r="F640" t="b">
            <v>0</v>
          </cell>
          <cell r="G640" t="str">
            <v>SOUTH PRAIRIE</v>
          </cell>
          <cell r="H640">
            <v>3274</v>
          </cell>
          <cell r="I640" t="str">
            <v>F4YDEX</v>
          </cell>
          <cell r="J640" t="str">
            <v>4YD CONT EXTRA PICKUP</v>
          </cell>
          <cell r="K640">
            <v>79.8</v>
          </cell>
          <cell r="L640">
            <v>79.8</v>
          </cell>
        </row>
        <row r="641">
          <cell r="A641" t="str">
            <v>SUMNERCOMMERCIALF4YDEX</v>
          </cell>
          <cell r="B641" t="str">
            <v>ONCALL</v>
          </cell>
          <cell r="C641" t="str">
            <v>2111</v>
          </cell>
          <cell r="D641" t="str">
            <v>COMMERCIAL</v>
          </cell>
          <cell r="E641" t="b">
            <v>1</v>
          </cell>
          <cell r="F641" t="b">
            <v>0</v>
          </cell>
          <cell r="G641" t="str">
            <v>SUMNER</v>
          </cell>
          <cell r="H641">
            <v>3274</v>
          </cell>
          <cell r="I641" t="str">
            <v>F4YDEX</v>
          </cell>
          <cell r="J641" t="str">
            <v>4YD CONT EXTRA PICKUP</v>
          </cell>
          <cell r="K641">
            <v>101.86</v>
          </cell>
          <cell r="L641">
            <v>101.86</v>
          </cell>
        </row>
        <row r="642">
          <cell r="A642" t="str">
            <v>BONNEY LAKECOMMERCIALF6YD1W</v>
          </cell>
          <cell r="B642" t="str">
            <v>MONTHLY ARREARS</v>
          </cell>
          <cell r="C642" t="str">
            <v>2111</v>
          </cell>
          <cell r="D642" t="str">
            <v>COMMERCIAL</v>
          </cell>
          <cell r="E642" t="b">
            <v>0</v>
          </cell>
          <cell r="F642" t="b">
            <v>0</v>
          </cell>
          <cell r="G642" t="str">
            <v>BONNEY LAKE</v>
          </cell>
          <cell r="H642">
            <v>3132</v>
          </cell>
          <cell r="I642" t="str">
            <v>F6YD1W</v>
          </cell>
          <cell r="J642" t="str">
            <v>6YD CONT 1X WEEKLY</v>
          </cell>
          <cell r="K642">
            <v>1137.98</v>
          </cell>
          <cell r="L642">
            <v>1137.98</v>
          </cell>
        </row>
        <row r="643">
          <cell r="A643" t="str">
            <v>BUCKLEYCOMMERCIALF6YD1W</v>
          </cell>
          <cell r="B643" t="str">
            <v>MONTHLY ARREARS</v>
          </cell>
          <cell r="C643" t="str">
            <v>2111</v>
          </cell>
          <cell r="D643" t="str">
            <v>COMMERCIAL</v>
          </cell>
          <cell r="E643" t="b">
            <v>0</v>
          </cell>
          <cell r="F643" t="b">
            <v>0</v>
          </cell>
          <cell r="G643" t="str">
            <v>BUCKLEY</v>
          </cell>
          <cell r="H643">
            <v>3132</v>
          </cell>
          <cell r="I643" t="str">
            <v>F6YD1W</v>
          </cell>
          <cell r="J643" t="str">
            <v>6YD CONT 1X WEEKLY</v>
          </cell>
          <cell r="K643">
            <v>609.9</v>
          </cell>
          <cell r="L643">
            <v>609.9</v>
          </cell>
        </row>
        <row r="644">
          <cell r="A644" t="str">
            <v>M-EDGEWOODCOMMERCIALF6YD1W</v>
          </cell>
          <cell r="B644" t="str">
            <v>MONTHLY ARREARS</v>
          </cell>
          <cell r="C644" t="str">
            <v>2111</v>
          </cell>
          <cell r="D644" t="str">
            <v>COMMERCIAL</v>
          </cell>
          <cell r="E644" t="b">
            <v>0</v>
          </cell>
          <cell r="F644" t="b">
            <v>0</v>
          </cell>
          <cell r="G644" t="str">
            <v>M-EDGEWOOD</v>
          </cell>
          <cell r="H644">
            <v>3132</v>
          </cell>
          <cell r="I644" t="str">
            <v>F6YD1W</v>
          </cell>
          <cell r="J644" t="str">
            <v>6YD CONT 1X WEEKLY</v>
          </cell>
          <cell r="K644">
            <v>466.6</v>
          </cell>
          <cell r="L644">
            <v>466.6</v>
          </cell>
        </row>
        <row r="645">
          <cell r="A645" t="str">
            <v>M-FIFECOMMERCIALF6YD1W</v>
          </cell>
          <cell r="B645" t="str">
            <v>MONTHLY ARREARS</v>
          </cell>
          <cell r="C645" t="str">
            <v>2111</v>
          </cell>
          <cell r="D645" t="str">
            <v>COMMERCIAL</v>
          </cell>
          <cell r="E645" t="b">
            <v>0</v>
          </cell>
          <cell r="F645" t="b">
            <v>0</v>
          </cell>
          <cell r="G645" t="str">
            <v>M-FIFE</v>
          </cell>
          <cell r="H645">
            <v>3132</v>
          </cell>
          <cell r="I645" t="str">
            <v>F6YD1W</v>
          </cell>
          <cell r="J645" t="str">
            <v>6YD CONT 1X WEEKLY</v>
          </cell>
          <cell r="K645">
            <v>466.6</v>
          </cell>
          <cell r="L645">
            <v>466.6</v>
          </cell>
        </row>
        <row r="646">
          <cell r="A646" t="str">
            <v>MILTONCOMMERCIALF6YD1W</v>
          </cell>
          <cell r="B646" t="str">
            <v>MONTHLY ARREARS</v>
          </cell>
          <cell r="C646" t="str">
            <v>2111</v>
          </cell>
          <cell r="D646" t="str">
            <v>COMMERCIAL</v>
          </cell>
          <cell r="E646" t="b">
            <v>0</v>
          </cell>
          <cell r="F646" t="b">
            <v>0</v>
          </cell>
          <cell r="G646" t="str">
            <v>MILTON</v>
          </cell>
          <cell r="H646">
            <v>3132</v>
          </cell>
          <cell r="I646" t="str">
            <v>F6YD1W</v>
          </cell>
          <cell r="J646" t="str">
            <v>6YD CONT 1X WEEKLY</v>
          </cell>
          <cell r="K646">
            <v>1088.74</v>
          </cell>
          <cell r="L646">
            <v>1088.74</v>
          </cell>
        </row>
        <row r="647">
          <cell r="A647" t="str">
            <v>MURREYSCOMMERCIALF6YD1W</v>
          </cell>
          <cell r="B647" t="str">
            <v>MONTHLY ARREARS</v>
          </cell>
          <cell r="C647" t="str">
            <v>2111</v>
          </cell>
          <cell r="D647" t="str">
            <v>COMMERCIAL</v>
          </cell>
          <cell r="E647" t="b">
            <v>0</v>
          </cell>
          <cell r="F647" t="b">
            <v>0</v>
          </cell>
          <cell r="G647" t="str">
            <v>MURREYS</v>
          </cell>
          <cell r="H647">
            <v>3132</v>
          </cell>
          <cell r="I647" t="str">
            <v>F6YD1W</v>
          </cell>
          <cell r="J647" t="str">
            <v>6YD CONT 1X WEEKLY</v>
          </cell>
          <cell r="K647">
            <v>466.6</v>
          </cell>
          <cell r="L647">
            <v>466.6</v>
          </cell>
        </row>
        <row r="648">
          <cell r="A648" t="str">
            <v>ORTINGCOMMERCIALF6YD1W</v>
          </cell>
          <cell r="B648" t="str">
            <v>MONTHLY ARREARS</v>
          </cell>
          <cell r="C648" t="str">
            <v>2111</v>
          </cell>
          <cell r="D648" t="str">
            <v>COMMERCIAL</v>
          </cell>
          <cell r="E648" t="b">
            <v>0</v>
          </cell>
          <cell r="F648" t="b">
            <v>0</v>
          </cell>
          <cell r="G648" t="str">
            <v>ORTING</v>
          </cell>
          <cell r="H648">
            <v>3132</v>
          </cell>
          <cell r="I648" t="str">
            <v>F6YD1W</v>
          </cell>
          <cell r="J648" t="str">
            <v>6YD CONT 1X WEEKLY</v>
          </cell>
          <cell r="K648">
            <v>1055.8399999999999</v>
          </cell>
          <cell r="L648">
            <v>1055.8399999999999</v>
          </cell>
        </row>
        <row r="649">
          <cell r="A649" t="str">
            <v>PUYALLUPCOMMERCIALF6YD1W</v>
          </cell>
          <cell r="B649" t="str">
            <v>MONTHLY ARREARS</v>
          </cell>
          <cell r="C649" t="str">
            <v>2111</v>
          </cell>
          <cell r="D649" t="str">
            <v>COMMERCIAL</v>
          </cell>
          <cell r="E649" t="b">
            <v>0</v>
          </cell>
          <cell r="F649" t="b">
            <v>0</v>
          </cell>
          <cell r="G649" t="str">
            <v>PUYALLUP</v>
          </cell>
          <cell r="H649">
            <v>3132</v>
          </cell>
          <cell r="I649" t="str">
            <v>F6YD1W</v>
          </cell>
          <cell r="J649" t="str">
            <v>6YD CONT 1X WEEKLY</v>
          </cell>
          <cell r="K649">
            <v>1300.58</v>
          </cell>
          <cell r="L649">
            <v>1300.58</v>
          </cell>
        </row>
        <row r="650">
          <cell r="A650" t="str">
            <v>RUSTONCOMMERCIALF6YD1W</v>
          </cell>
          <cell r="B650" t="str">
            <v>MONTHLY ARREARS</v>
          </cell>
          <cell r="C650" t="str">
            <v>2111</v>
          </cell>
          <cell r="D650" t="str">
            <v>COMMERCIAL</v>
          </cell>
          <cell r="E650" t="b">
            <v>0</v>
          </cell>
          <cell r="F650" t="b">
            <v>0</v>
          </cell>
          <cell r="G650" t="str">
            <v>RUSTON</v>
          </cell>
          <cell r="H650">
            <v>3132</v>
          </cell>
          <cell r="I650" t="str">
            <v>F6YD1W</v>
          </cell>
          <cell r="J650" t="str">
            <v>6YD CONT 1X WEEKLY</v>
          </cell>
          <cell r="K650">
            <v>695.18</v>
          </cell>
          <cell r="L650">
            <v>695.18</v>
          </cell>
        </row>
        <row r="651">
          <cell r="A651" t="str">
            <v>SOUTH PRAIRIECOMMERCIALF6YD1W</v>
          </cell>
          <cell r="B651" t="str">
            <v>MONTHLY ARREARS</v>
          </cell>
          <cell r="C651" t="str">
            <v>2111</v>
          </cell>
          <cell r="D651" t="str">
            <v>COMMERCIAL</v>
          </cell>
          <cell r="E651" t="b">
            <v>0</v>
          </cell>
          <cell r="F651" t="b">
            <v>0</v>
          </cell>
          <cell r="G651" t="str">
            <v>SOUTH PRAIRIE</v>
          </cell>
          <cell r="H651">
            <v>3132</v>
          </cell>
          <cell r="I651" t="str">
            <v>F6YD1W</v>
          </cell>
          <cell r="J651" t="str">
            <v>6YD CONT 1X WEEKLY</v>
          </cell>
          <cell r="K651">
            <v>464.44</v>
          </cell>
          <cell r="L651">
            <v>464.44</v>
          </cell>
        </row>
        <row r="652">
          <cell r="A652" t="str">
            <v>SUMNERCOMMERCIALF6YD1W</v>
          </cell>
          <cell r="B652" t="str">
            <v>MONTHLY ARREARS</v>
          </cell>
          <cell r="C652" t="str">
            <v>2111</v>
          </cell>
          <cell r="D652" t="str">
            <v>COMMERCIAL</v>
          </cell>
          <cell r="E652" t="b">
            <v>0</v>
          </cell>
          <cell r="F652" t="b">
            <v>0</v>
          </cell>
          <cell r="G652" t="str">
            <v>SUMNER</v>
          </cell>
          <cell r="H652">
            <v>3132</v>
          </cell>
          <cell r="I652" t="str">
            <v>F6YD1W</v>
          </cell>
          <cell r="J652" t="str">
            <v>6YD CONT 1X WEEKLY</v>
          </cell>
          <cell r="K652">
            <v>587.08000000000004</v>
          </cell>
          <cell r="L652">
            <v>587.08000000000004</v>
          </cell>
        </row>
        <row r="653">
          <cell r="A653" t="str">
            <v>BONNEY LAKECOMMERCIALF6YD2W</v>
          </cell>
          <cell r="B653" t="str">
            <v>MONTHLY ARREARS</v>
          </cell>
          <cell r="C653" t="str">
            <v>2111</v>
          </cell>
          <cell r="D653" t="str">
            <v>COMMERCIAL</v>
          </cell>
          <cell r="E653" t="b">
            <v>0</v>
          </cell>
          <cell r="F653" t="b">
            <v>0</v>
          </cell>
          <cell r="G653" t="str">
            <v>BONNEY LAKE</v>
          </cell>
          <cell r="H653">
            <v>3202</v>
          </cell>
          <cell r="I653" t="str">
            <v>F6YD2W</v>
          </cell>
          <cell r="J653" t="str">
            <v>6YD CONT 2X WEEKLY</v>
          </cell>
          <cell r="K653">
            <v>2276.02</v>
          </cell>
          <cell r="L653">
            <v>2276.02</v>
          </cell>
        </row>
        <row r="654">
          <cell r="A654" t="str">
            <v>BUCKLEYCOMMERCIALF6YD2W</v>
          </cell>
          <cell r="B654" t="str">
            <v>MONTHLY ARREARS</v>
          </cell>
          <cell r="C654" t="str">
            <v>2111</v>
          </cell>
          <cell r="D654" t="str">
            <v>COMMERCIAL</v>
          </cell>
          <cell r="E654" t="b">
            <v>0</v>
          </cell>
          <cell r="F654" t="b">
            <v>0</v>
          </cell>
          <cell r="G654" t="str">
            <v>BUCKLEY</v>
          </cell>
          <cell r="H654">
            <v>3202</v>
          </cell>
          <cell r="I654" t="str">
            <v>F6YD2W</v>
          </cell>
          <cell r="J654" t="str">
            <v>6YD CONT 2X WEEKLY</v>
          </cell>
          <cell r="K654">
            <v>1174.0899999999999</v>
          </cell>
          <cell r="L654">
            <v>1174.0899999999999</v>
          </cell>
        </row>
        <row r="655">
          <cell r="A655" t="str">
            <v>M-EDGEWOODCOMMERCIALF6YD2W</v>
          </cell>
          <cell r="B655" t="str">
            <v>MONTHLY ARREARS</v>
          </cell>
          <cell r="C655" t="str">
            <v>2111</v>
          </cell>
          <cell r="D655" t="str">
            <v>COMMERCIAL</v>
          </cell>
          <cell r="E655" t="b">
            <v>0</v>
          </cell>
          <cell r="F655" t="b">
            <v>0</v>
          </cell>
          <cell r="G655" t="str">
            <v>M-EDGEWOOD</v>
          </cell>
          <cell r="H655">
            <v>3202</v>
          </cell>
          <cell r="I655" t="str">
            <v>F6YD2W</v>
          </cell>
          <cell r="J655" t="str">
            <v>6YD CONT 2X WEEKLY</v>
          </cell>
          <cell r="K655">
            <v>933.2</v>
          </cell>
          <cell r="L655">
            <v>933.2</v>
          </cell>
        </row>
        <row r="656">
          <cell r="A656" t="str">
            <v>M-FIFECOMMERCIALF6YD2W</v>
          </cell>
          <cell r="B656" t="str">
            <v>MONTHLY ARREARS</v>
          </cell>
          <cell r="C656" t="str">
            <v>2111</v>
          </cell>
          <cell r="D656" t="str">
            <v>COMMERCIAL</v>
          </cell>
          <cell r="E656" t="b">
            <v>0</v>
          </cell>
          <cell r="F656" t="b">
            <v>0</v>
          </cell>
          <cell r="G656" t="str">
            <v>M-FIFE</v>
          </cell>
          <cell r="H656">
            <v>3202</v>
          </cell>
          <cell r="I656" t="str">
            <v>F6YD2W</v>
          </cell>
          <cell r="J656" t="str">
            <v>6YD CONT 2X WEEKLY</v>
          </cell>
          <cell r="K656">
            <v>933.2</v>
          </cell>
          <cell r="L656">
            <v>933.2</v>
          </cell>
        </row>
        <row r="657">
          <cell r="A657" t="str">
            <v>MILTONCOMMERCIALF6YD2W</v>
          </cell>
          <cell r="B657" t="str">
            <v>MONTHLY ARREARS</v>
          </cell>
          <cell r="C657" t="str">
            <v>2111</v>
          </cell>
          <cell r="D657" t="str">
            <v>COMMERCIAL</v>
          </cell>
          <cell r="E657" t="b">
            <v>0</v>
          </cell>
          <cell r="F657" t="b">
            <v>0</v>
          </cell>
          <cell r="G657" t="str">
            <v>MILTON</v>
          </cell>
          <cell r="H657">
            <v>3202</v>
          </cell>
          <cell r="I657" t="str">
            <v>F6YD2W</v>
          </cell>
          <cell r="J657" t="str">
            <v>6YD CONT 2X WEEKLY</v>
          </cell>
          <cell r="K657">
            <v>2177.04</v>
          </cell>
          <cell r="L657">
            <v>2177.04</v>
          </cell>
        </row>
        <row r="658">
          <cell r="A658" t="str">
            <v>MURREYSCOMMERCIALF6YD2W</v>
          </cell>
          <cell r="B658" t="str">
            <v>MONTHLY ARREARS</v>
          </cell>
          <cell r="C658" t="str">
            <v>2111</v>
          </cell>
          <cell r="D658" t="str">
            <v>COMMERCIAL</v>
          </cell>
          <cell r="E658" t="b">
            <v>0</v>
          </cell>
          <cell r="F658" t="b">
            <v>0</v>
          </cell>
          <cell r="G658" t="str">
            <v>MURREYS</v>
          </cell>
          <cell r="H658">
            <v>3202</v>
          </cell>
          <cell r="I658" t="str">
            <v>F6YD2W</v>
          </cell>
          <cell r="J658" t="str">
            <v>6YD CONT 2X WEEKLY</v>
          </cell>
          <cell r="K658">
            <v>933.2</v>
          </cell>
          <cell r="L658">
            <v>933.2</v>
          </cell>
        </row>
        <row r="659">
          <cell r="A659" t="str">
            <v>ORTINGCOMMERCIALF6YD2W</v>
          </cell>
          <cell r="B659" t="str">
            <v>MONTHLY ARREARS</v>
          </cell>
          <cell r="C659" t="str">
            <v>2111</v>
          </cell>
          <cell r="D659" t="str">
            <v>COMMERCIAL</v>
          </cell>
          <cell r="E659" t="b">
            <v>0</v>
          </cell>
          <cell r="F659" t="b">
            <v>0</v>
          </cell>
          <cell r="G659" t="str">
            <v>ORTING</v>
          </cell>
          <cell r="H659">
            <v>3202</v>
          </cell>
          <cell r="I659" t="str">
            <v>F6YD2W</v>
          </cell>
          <cell r="J659" t="str">
            <v>6YD CONT 2X WEEKLY</v>
          </cell>
          <cell r="K659">
            <v>2111.62</v>
          </cell>
          <cell r="L659">
            <v>2111.62</v>
          </cell>
        </row>
        <row r="660">
          <cell r="A660" t="str">
            <v>PUYALLUPCOMMERCIALF6YD2W</v>
          </cell>
          <cell r="B660" t="str">
            <v>MONTHLY ARREARS</v>
          </cell>
          <cell r="C660" t="str">
            <v>2111</v>
          </cell>
          <cell r="D660" t="str">
            <v>COMMERCIAL</v>
          </cell>
          <cell r="E660" t="b">
            <v>0</v>
          </cell>
          <cell r="F660" t="b">
            <v>0</v>
          </cell>
          <cell r="G660" t="str">
            <v>PUYALLUP</v>
          </cell>
          <cell r="H660">
            <v>3202</v>
          </cell>
          <cell r="I660" t="str">
            <v>F6YD2W</v>
          </cell>
          <cell r="J660" t="str">
            <v>6YD CONT 2X WEEKLY</v>
          </cell>
          <cell r="K660">
            <v>2584.8000000000002</v>
          </cell>
          <cell r="L660">
            <v>2584.8000000000002</v>
          </cell>
        </row>
        <row r="661">
          <cell r="A661" t="str">
            <v>RUSTONCOMMERCIALF6YD2W</v>
          </cell>
          <cell r="B661" t="str">
            <v>MONTHLY ARREARS</v>
          </cell>
          <cell r="C661" t="str">
            <v>2111</v>
          </cell>
          <cell r="D661" t="str">
            <v>COMMERCIAL</v>
          </cell>
          <cell r="E661" t="b">
            <v>0</v>
          </cell>
          <cell r="F661" t="b">
            <v>0</v>
          </cell>
          <cell r="G661" t="str">
            <v>RUSTON</v>
          </cell>
          <cell r="H661">
            <v>3202</v>
          </cell>
          <cell r="I661" t="str">
            <v>F6YD2W</v>
          </cell>
          <cell r="J661" t="str">
            <v>6YD CONT 2X WEEKLY</v>
          </cell>
          <cell r="K661">
            <v>1390.34</v>
          </cell>
          <cell r="L661">
            <v>1390.34</v>
          </cell>
        </row>
        <row r="662">
          <cell r="A662" t="str">
            <v>SOUTH PRAIRIECOMMERCIALF6YD2W</v>
          </cell>
          <cell r="B662" t="str">
            <v>MONTHLY ARREARS</v>
          </cell>
          <cell r="C662" t="str">
            <v>2111</v>
          </cell>
          <cell r="D662" t="str">
            <v>COMMERCIAL</v>
          </cell>
          <cell r="E662" t="b">
            <v>0</v>
          </cell>
          <cell r="F662" t="b">
            <v>0</v>
          </cell>
          <cell r="G662" t="str">
            <v>SOUTH PRAIRIE</v>
          </cell>
          <cell r="H662">
            <v>3202</v>
          </cell>
          <cell r="I662" t="str">
            <v>F6YD2W</v>
          </cell>
          <cell r="J662" t="str">
            <v>6YD CONT 2X WEEKLY</v>
          </cell>
          <cell r="K662">
            <v>928.88</v>
          </cell>
          <cell r="L662">
            <v>928.88</v>
          </cell>
        </row>
        <row r="663">
          <cell r="A663" t="str">
            <v>SUMNERCOMMERCIALF6YD2W</v>
          </cell>
          <cell r="B663" t="str">
            <v>MONTHLY ARREARS</v>
          </cell>
          <cell r="C663" t="str">
            <v>2111</v>
          </cell>
          <cell r="D663" t="str">
            <v>COMMERCIAL</v>
          </cell>
          <cell r="E663" t="b">
            <v>0</v>
          </cell>
          <cell r="F663" t="b">
            <v>0</v>
          </cell>
          <cell r="G663" t="str">
            <v>SUMNER</v>
          </cell>
          <cell r="H663">
            <v>3202</v>
          </cell>
          <cell r="I663" t="str">
            <v>F6YD2W</v>
          </cell>
          <cell r="J663" t="str">
            <v>6YD CONT 2X WEEKLY</v>
          </cell>
          <cell r="K663">
            <v>1174.0899999999999</v>
          </cell>
          <cell r="L663">
            <v>1174.0899999999999</v>
          </cell>
        </row>
        <row r="664">
          <cell r="A664" t="str">
            <v>BONNEY LAKECOMMERCIALF6YD3W</v>
          </cell>
          <cell r="B664" t="str">
            <v>MONTHLY ARREARS</v>
          </cell>
          <cell r="C664" t="str">
            <v>2111</v>
          </cell>
          <cell r="D664" t="str">
            <v>COMMERCIAL</v>
          </cell>
          <cell r="E664" t="b">
            <v>0</v>
          </cell>
          <cell r="F664" t="b">
            <v>0</v>
          </cell>
          <cell r="G664" t="str">
            <v>BONNEY LAKE</v>
          </cell>
          <cell r="H664">
            <v>3133</v>
          </cell>
          <cell r="I664" t="str">
            <v>F6YD3W</v>
          </cell>
          <cell r="J664" t="str">
            <v>6YD CONT 3X WEEKLY</v>
          </cell>
          <cell r="K664">
            <v>3414.06</v>
          </cell>
          <cell r="L664">
            <v>3414.06</v>
          </cell>
        </row>
        <row r="665">
          <cell r="A665" t="str">
            <v>BUCKLEYCOMMERCIALF6YD3W</v>
          </cell>
          <cell r="B665" t="str">
            <v>MONTHLY ARREARS</v>
          </cell>
          <cell r="C665" t="str">
            <v>2111</v>
          </cell>
          <cell r="D665" t="str">
            <v>COMMERCIAL</v>
          </cell>
          <cell r="E665" t="b">
            <v>0</v>
          </cell>
          <cell r="F665" t="b">
            <v>0</v>
          </cell>
          <cell r="G665" t="str">
            <v>BUCKLEY</v>
          </cell>
          <cell r="H665">
            <v>3133</v>
          </cell>
          <cell r="I665" t="str">
            <v>F6YD3W</v>
          </cell>
          <cell r="J665" t="str">
            <v>6YD CONT 3X WEEKLY</v>
          </cell>
          <cell r="K665">
            <v>1761.19</v>
          </cell>
          <cell r="L665">
            <v>1761.19</v>
          </cell>
        </row>
        <row r="666">
          <cell r="A666" t="str">
            <v>M-EDGEWOODCOMMERCIALF6YD3W</v>
          </cell>
          <cell r="B666" t="str">
            <v>MONTHLY ARREARS</v>
          </cell>
          <cell r="C666" t="str">
            <v>2111</v>
          </cell>
          <cell r="D666" t="str">
            <v>COMMERCIAL</v>
          </cell>
          <cell r="E666" t="b">
            <v>0</v>
          </cell>
          <cell r="F666" t="b">
            <v>0</v>
          </cell>
          <cell r="G666" t="str">
            <v>M-EDGEWOOD</v>
          </cell>
          <cell r="H666">
            <v>3133</v>
          </cell>
          <cell r="I666" t="str">
            <v>F6YD3W</v>
          </cell>
          <cell r="J666" t="str">
            <v>6YD CONT 3X WEEKLY</v>
          </cell>
          <cell r="K666">
            <v>1399.8</v>
          </cell>
          <cell r="L666">
            <v>1399.8</v>
          </cell>
        </row>
        <row r="667">
          <cell r="A667" t="str">
            <v>M-FIFECOMMERCIALF6YD3W</v>
          </cell>
          <cell r="B667" t="str">
            <v>MONTHLY ARREARS</v>
          </cell>
          <cell r="C667" t="str">
            <v>2111</v>
          </cell>
          <cell r="D667" t="str">
            <v>COMMERCIAL</v>
          </cell>
          <cell r="E667" t="b">
            <v>0</v>
          </cell>
          <cell r="F667" t="b">
            <v>0</v>
          </cell>
          <cell r="G667" t="str">
            <v>M-FIFE</v>
          </cell>
          <cell r="H667">
            <v>3133</v>
          </cell>
          <cell r="I667" t="str">
            <v>F6YD3W</v>
          </cell>
          <cell r="J667" t="str">
            <v>6YD CONT 3X WEEKLY</v>
          </cell>
          <cell r="K667">
            <v>1399.8</v>
          </cell>
          <cell r="L667">
            <v>1399.8</v>
          </cell>
        </row>
        <row r="668">
          <cell r="A668" t="str">
            <v>MILTONCOMMERCIALF6YD3W</v>
          </cell>
          <cell r="B668" t="str">
            <v>MONTHLY ARREARS</v>
          </cell>
          <cell r="C668" t="str">
            <v>2111</v>
          </cell>
          <cell r="D668" t="str">
            <v>COMMERCIAL</v>
          </cell>
          <cell r="E668" t="b">
            <v>0</v>
          </cell>
          <cell r="F668" t="b">
            <v>0</v>
          </cell>
          <cell r="G668" t="str">
            <v>MILTON</v>
          </cell>
          <cell r="H668">
            <v>3133</v>
          </cell>
          <cell r="I668" t="str">
            <v>F6YD3W</v>
          </cell>
          <cell r="J668" t="str">
            <v>6YD CONT 3X WEEKLY</v>
          </cell>
          <cell r="K668">
            <v>3238.82</v>
          </cell>
          <cell r="L668">
            <v>3238.82</v>
          </cell>
        </row>
        <row r="669">
          <cell r="A669" t="str">
            <v>MURREYSCOMMERCIALF6YD3W</v>
          </cell>
          <cell r="B669" t="str">
            <v>MONTHLY ARREARS</v>
          </cell>
          <cell r="C669" t="str">
            <v>2111</v>
          </cell>
          <cell r="D669" t="str">
            <v>COMMERCIAL</v>
          </cell>
          <cell r="E669" t="b">
            <v>0</v>
          </cell>
          <cell r="F669" t="b">
            <v>0</v>
          </cell>
          <cell r="G669" t="str">
            <v>MURREYS</v>
          </cell>
          <cell r="H669">
            <v>3133</v>
          </cell>
          <cell r="I669" t="str">
            <v>F6YD3W</v>
          </cell>
          <cell r="J669" t="str">
            <v>6YD CONT 3X WEEKLY</v>
          </cell>
          <cell r="K669">
            <v>1399.8</v>
          </cell>
          <cell r="L669">
            <v>1399.8</v>
          </cell>
        </row>
        <row r="670">
          <cell r="A670" t="str">
            <v>ORTINGCOMMERCIALF6YD3W</v>
          </cell>
          <cell r="B670" t="str">
            <v>MONTHLY ARREARS</v>
          </cell>
          <cell r="C670" t="str">
            <v>2111</v>
          </cell>
          <cell r="D670" t="str">
            <v>COMMERCIAL</v>
          </cell>
          <cell r="E670" t="b">
            <v>0</v>
          </cell>
          <cell r="F670" t="b">
            <v>0</v>
          </cell>
          <cell r="G670" t="str">
            <v>ORTING</v>
          </cell>
          <cell r="H670">
            <v>3133</v>
          </cell>
          <cell r="I670" t="str">
            <v>F6YD3W</v>
          </cell>
          <cell r="J670" t="str">
            <v>6YD CONT 3X WEEKLY</v>
          </cell>
          <cell r="K670">
            <v>3167.5</v>
          </cell>
          <cell r="L670">
            <v>3167.5</v>
          </cell>
        </row>
        <row r="671">
          <cell r="A671" t="str">
            <v>PUYALLUPCOMMERCIALF6YD3W</v>
          </cell>
          <cell r="B671" t="str">
            <v>MONTHLY ARREARS</v>
          </cell>
          <cell r="C671" t="str">
            <v>2111</v>
          </cell>
          <cell r="D671" t="str">
            <v>COMMERCIAL</v>
          </cell>
          <cell r="E671" t="b">
            <v>0</v>
          </cell>
          <cell r="F671" t="b">
            <v>0</v>
          </cell>
          <cell r="G671" t="str">
            <v>PUYALLUP</v>
          </cell>
          <cell r="H671">
            <v>3133</v>
          </cell>
          <cell r="I671" t="str">
            <v>F6YD3W</v>
          </cell>
          <cell r="J671" t="str">
            <v>6YD CONT 3X WEEKLY</v>
          </cell>
          <cell r="K671">
            <v>3868.92</v>
          </cell>
          <cell r="L671">
            <v>3868.92</v>
          </cell>
        </row>
        <row r="672">
          <cell r="A672" t="str">
            <v>RUSTONCOMMERCIALF6YD3W</v>
          </cell>
          <cell r="B672" t="str">
            <v>MONTHLY ARREARS</v>
          </cell>
          <cell r="C672" t="str">
            <v>2111</v>
          </cell>
          <cell r="D672" t="str">
            <v>COMMERCIAL</v>
          </cell>
          <cell r="E672" t="b">
            <v>0</v>
          </cell>
          <cell r="F672" t="b">
            <v>0</v>
          </cell>
          <cell r="G672" t="str">
            <v>RUSTON</v>
          </cell>
          <cell r="H672">
            <v>3133</v>
          </cell>
          <cell r="I672" t="str">
            <v>F6YD3W</v>
          </cell>
          <cell r="J672" t="str">
            <v>6YD CONT 3X WEEKLY</v>
          </cell>
          <cell r="K672">
            <v>2085.5300000000002</v>
          </cell>
          <cell r="L672">
            <v>2085.5300000000002</v>
          </cell>
        </row>
        <row r="673">
          <cell r="A673" t="str">
            <v>SOUTH PRAIRIECOMMERCIALF6YD3W</v>
          </cell>
          <cell r="B673" t="str">
            <v>MONTHLY ARREARS</v>
          </cell>
          <cell r="C673" t="str">
            <v>2111</v>
          </cell>
          <cell r="D673" t="str">
            <v>COMMERCIAL</v>
          </cell>
          <cell r="E673" t="b">
            <v>0</v>
          </cell>
          <cell r="F673" t="b">
            <v>0</v>
          </cell>
          <cell r="G673" t="str">
            <v>SOUTH PRAIRIE</v>
          </cell>
          <cell r="H673">
            <v>3133</v>
          </cell>
          <cell r="I673" t="str">
            <v>F6YD3W</v>
          </cell>
          <cell r="J673" t="str">
            <v>6YD CONT 3X WEEKLY</v>
          </cell>
          <cell r="K673">
            <v>1393.32</v>
          </cell>
          <cell r="L673">
            <v>1393.32</v>
          </cell>
        </row>
        <row r="674">
          <cell r="A674" t="str">
            <v>SUMNERCOMMERCIALF6YD3W</v>
          </cell>
          <cell r="B674" t="str">
            <v>MONTHLY ARREARS</v>
          </cell>
          <cell r="C674" t="str">
            <v>2111</v>
          </cell>
          <cell r="D674" t="str">
            <v>COMMERCIAL</v>
          </cell>
          <cell r="E674" t="b">
            <v>0</v>
          </cell>
          <cell r="F674" t="b">
            <v>0</v>
          </cell>
          <cell r="G674" t="str">
            <v>SUMNER</v>
          </cell>
          <cell r="H674">
            <v>3133</v>
          </cell>
          <cell r="I674" t="str">
            <v>F6YD3W</v>
          </cell>
          <cell r="J674" t="str">
            <v>6YD CONT 3X WEEKLY</v>
          </cell>
          <cell r="K674">
            <v>1761.19</v>
          </cell>
          <cell r="L674">
            <v>1761.19</v>
          </cell>
        </row>
        <row r="675">
          <cell r="A675" t="str">
            <v>BONNEY LAKECOMMERCIALF6YD4W</v>
          </cell>
          <cell r="B675" t="str">
            <v>MONTHLY ARREARS</v>
          </cell>
          <cell r="C675" t="str">
            <v>2111</v>
          </cell>
          <cell r="D675" t="str">
            <v>COMMERCIAL</v>
          </cell>
          <cell r="E675" t="b">
            <v>0</v>
          </cell>
          <cell r="F675" t="b">
            <v>0</v>
          </cell>
          <cell r="G675" t="str">
            <v>BONNEY LAKE</v>
          </cell>
          <cell r="H675">
            <v>2110</v>
          </cell>
          <cell r="I675" t="str">
            <v>F6YD4W</v>
          </cell>
          <cell r="J675" t="str">
            <v>6YD CONT 4X WEEKLY</v>
          </cell>
          <cell r="K675">
            <v>4552.08</v>
          </cell>
          <cell r="L675">
            <v>4552.08</v>
          </cell>
        </row>
        <row r="676">
          <cell r="A676" t="str">
            <v>M-EDGEWOODCOMMERCIALF6YD4W</v>
          </cell>
          <cell r="B676" t="str">
            <v>MONTHLY ARREARS</v>
          </cell>
          <cell r="C676" t="str">
            <v>2111</v>
          </cell>
          <cell r="D676" t="str">
            <v>COMMERCIAL</v>
          </cell>
          <cell r="E676" t="b">
            <v>0</v>
          </cell>
          <cell r="F676" t="b">
            <v>0</v>
          </cell>
          <cell r="G676" t="str">
            <v>M-EDGEWOOD</v>
          </cell>
          <cell r="H676">
            <v>2110</v>
          </cell>
          <cell r="I676" t="str">
            <v>F6YD4W</v>
          </cell>
          <cell r="J676" t="str">
            <v>6YD CONT 4X WEEKLY</v>
          </cell>
          <cell r="K676">
            <v>1866.4</v>
          </cell>
          <cell r="L676">
            <v>1866.4</v>
          </cell>
        </row>
        <row r="677">
          <cell r="A677" t="str">
            <v>M-FIFECOMMERCIALF6YD4W</v>
          </cell>
          <cell r="B677" t="str">
            <v>MONTHLY ARREARS</v>
          </cell>
          <cell r="C677" t="str">
            <v>2111</v>
          </cell>
          <cell r="D677" t="str">
            <v>COMMERCIAL</v>
          </cell>
          <cell r="E677" t="b">
            <v>0</v>
          </cell>
          <cell r="F677" t="b">
            <v>0</v>
          </cell>
          <cell r="G677" t="str">
            <v>M-FIFE</v>
          </cell>
          <cell r="H677">
            <v>2110</v>
          </cell>
          <cell r="I677" t="str">
            <v>F6YD4W</v>
          </cell>
          <cell r="J677" t="str">
            <v>6YD CONT 4X WEEKLY</v>
          </cell>
          <cell r="K677">
            <v>1866.4</v>
          </cell>
          <cell r="L677">
            <v>1866.4</v>
          </cell>
        </row>
        <row r="678">
          <cell r="A678" t="str">
            <v>MURREYSCOMMERCIALF6YD4W</v>
          </cell>
          <cell r="B678" t="str">
            <v>MONTHLY ARREARS</v>
          </cell>
          <cell r="C678" t="str">
            <v>2111</v>
          </cell>
          <cell r="D678" t="str">
            <v>COMMERCIAL</v>
          </cell>
          <cell r="E678" t="b">
            <v>0</v>
          </cell>
          <cell r="F678" t="b">
            <v>0</v>
          </cell>
          <cell r="G678" t="str">
            <v>MURREYS</v>
          </cell>
          <cell r="H678">
            <v>2110</v>
          </cell>
          <cell r="I678" t="str">
            <v>F6YD4W</v>
          </cell>
          <cell r="J678" t="str">
            <v>6YD CONT 4X WEEKLY</v>
          </cell>
          <cell r="K678">
            <v>1866.4</v>
          </cell>
          <cell r="L678">
            <v>1866.4</v>
          </cell>
        </row>
        <row r="679">
          <cell r="A679" t="str">
            <v>PUYALLUPCOMMERCIALF6YD4W</v>
          </cell>
          <cell r="B679" t="str">
            <v>MONTHLY ARREARS</v>
          </cell>
          <cell r="C679" t="str">
            <v>2111</v>
          </cell>
          <cell r="D679" t="str">
            <v>COMMERCIAL</v>
          </cell>
          <cell r="E679" t="b">
            <v>0</v>
          </cell>
          <cell r="F679" t="b">
            <v>0</v>
          </cell>
          <cell r="G679" t="str">
            <v>PUYALLUP</v>
          </cell>
          <cell r="H679">
            <v>2110</v>
          </cell>
          <cell r="I679" t="str">
            <v>F6YD4W</v>
          </cell>
          <cell r="J679" t="str">
            <v>6YD CONT 4X WEEKLY</v>
          </cell>
          <cell r="K679">
            <v>5153.0200000000004</v>
          </cell>
          <cell r="L679">
            <v>5153.0200000000004</v>
          </cell>
        </row>
        <row r="680">
          <cell r="A680" t="str">
            <v>SUMNERCOMMERCIALF6YD4W</v>
          </cell>
          <cell r="B680" t="str">
            <v>MONTHLY ARREARS</v>
          </cell>
          <cell r="C680" t="str">
            <v>2111</v>
          </cell>
          <cell r="D680" t="str">
            <v>COMMERCIAL</v>
          </cell>
          <cell r="E680" t="b">
            <v>0</v>
          </cell>
          <cell r="F680" t="b">
            <v>0</v>
          </cell>
          <cell r="G680" t="str">
            <v>SUMNER</v>
          </cell>
          <cell r="H680">
            <v>2110</v>
          </cell>
          <cell r="I680" t="str">
            <v>F6YD4W</v>
          </cell>
          <cell r="J680" t="str">
            <v>6YD CONT 4X WEEKLY</v>
          </cell>
          <cell r="K680">
            <v>2360.13</v>
          </cell>
          <cell r="L680">
            <v>2360.13</v>
          </cell>
        </row>
        <row r="681">
          <cell r="A681" t="str">
            <v>BONNEY LAKECOMMERCIALF6YD5W</v>
          </cell>
          <cell r="B681" t="str">
            <v>BI-MONTHLY SPLIT EVEN</v>
          </cell>
          <cell r="C681" t="str">
            <v>2111</v>
          </cell>
          <cell r="D681" t="str">
            <v>COMMERCIAL</v>
          </cell>
          <cell r="E681" t="b">
            <v>0</v>
          </cell>
          <cell r="F681" t="b">
            <v>0</v>
          </cell>
          <cell r="G681" t="str">
            <v>BONNEY LAKE</v>
          </cell>
          <cell r="H681">
            <v>3333</v>
          </cell>
          <cell r="I681" t="str">
            <v>F6YD5W</v>
          </cell>
          <cell r="J681" t="str">
            <v>6YD CONT 5X WEEKLY</v>
          </cell>
          <cell r="K681">
            <v>5689.94</v>
          </cell>
          <cell r="L681">
            <v>2844.97</v>
          </cell>
        </row>
        <row r="682">
          <cell r="A682" t="str">
            <v>M-EDGEWOODCOMMERCIALF6YD5W</v>
          </cell>
          <cell r="B682" t="str">
            <v>BI-MONTHLY SPLIT EVEN</v>
          </cell>
          <cell r="C682" t="str">
            <v>2111</v>
          </cell>
          <cell r="D682" t="str">
            <v>COMMERCIAL</v>
          </cell>
          <cell r="E682" t="b">
            <v>0</v>
          </cell>
          <cell r="F682" t="b">
            <v>0</v>
          </cell>
          <cell r="G682" t="str">
            <v>M-EDGEWOOD</v>
          </cell>
          <cell r="H682">
            <v>3333</v>
          </cell>
          <cell r="I682" t="str">
            <v>F6YD5W</v>
          </cell>
          <cell r="J682" t="str">
            <v>6YD CONT 5X WEEKLY</v>
          </cell>
          <cell r="K682">
            <v>2333</v>
          </cell>
          <cell r="L682">
            <v>1166.5</v>
          </cell>
        </row>
        <row r="683">
          <cell r="A683" t="str">
            <v>M-FIFECOMMERCIALF6YD5W</v>
          </cell>
          <cell r="B683" t="str">
            <v>BI-MONTHLY SPLIT EVEN</v>
          </cell>
          <cell r="C683" t="str">
            <v>2111</v>
          </cell>
          <cell r="D683" t="str">
            <v>COMMERCIAL</v>
          </cell>
          <cell r="E683" t="b">
            <v>0</v>
          </cell>
          <cell r="F683" t="b">
            <v>0</v>
          </cell>
          <cell r="G683" t="str">
            <v>M-FIFE</v>
          </cell>
          <cell r="H683">
            <v>3333</v>
          </cell>
          <cell r="I683" t="str">
            <v>F6YD5W</v>
          </cell>
          <cell r="J683" t="str">
            <v>6YD CONT 5X WEEKLY</v>
          </cell>
          <cell r="K683">
            <v>2333</v>
          </cell>
          <cell r="L683">
            <v>1166.5</v>
          </cell>
        </row>
        <row r="684">
          <cell r="A684" t="str">
            <v>MILTONCOMMERCIALF6YD5W</v>
          </cell>
          <cell r="B684" t="str">
            <v>BI-MONTHLY SPLIT EVEN</v>
          </cell>
          <cell r="C684" t="str">
            <v>2111</v>
          </cell>
          <cell r="D684" t="str">
            <v>COMMERCIAL</v>
          </cell>
          <cell r="E684" t="b">
            <v>0</v>
          </cell>
          <cell r="F684" t="b">
            <v>0</v>
          </cell>
          <cell r="G684" t="str">
            <v>MILTON</v>
          </cell>
          <cell r="H684">
            <v>3333</v>
          </cell>
          <cell r="I684" t="str">
            <v>F6YD5W</v>
          </cell>
          <cell r="J684" t="str">
            <v>6YD CONT 5X WEEKLY</v>
          </cell>
          <cell r="K684">
            <v>5398.06</v>
          </cell>
          <cell r="L684">
            <v>2699.03</v>
          </cell>
        </row>
        <row r="685">
          <cell r="A685" t="str">
            <v>MURREYSCOMMERCIALF6YD5W</v>
          </cell>
          <cell r="B685" t="str">
            <v>BI-MONTHLY SPLIT EVEN</v>
          </cell>
          <cell r="C685" t="str">
            <v>2111</v>
          </cell>
          <cell r="D685" t="str">
            <v>COMMERCIAL</v>
          </cell>
          <cell r="E685" t="b">
            <v>0</v>
          </cell>
          <cell r="F685" t="b">
            <v>0</v>
          </cell>
          <cell r="G685" t="str">
            <v>MURREYS</v>
          </cell>
          <cell r="H685">
            <v>3333</v>
          </cell>
          <cell r="I685" t="str">
            <v>F6YD5W</v>
          </cell>
          <cell r="J685" t="str">
            <v>6YD CONT 5X WEEKLY</v>
          </cell>
          <cell r="K685">
            <v>2333</v>
          </cell>
          <cell r="L685">
            <v>1166.5</v>
          </cell>
        </row>
        <row r="686">
          <cell r="A686" t="str">
            <v>ORTINGCOMMERCIALF6YD5W</v>
          </cell>
          <cell r="B686" t="str">
            <v>BI-MONTHLY SPLIT EVEN</v>
          </cell>
          <cell r="C686" t="str">
            <v>2111</v>
          </cell>
          <cell r="D686" t="str">
            <v>COMMERCIAL</v>
          </cell>
          <cell r="E686" t="b">
            <v>0</v>
          </cell>
          <cell r="F686" t="b">
            <v>0</v>
          </cell>
          <cell r="G686" t="str">
            <v>ORTING</v>
          </cell>
          <cell r="H686">
            <v>3333</v>
          </cell>
          <cell r="I686" t="str">
            <v>F6YD5W</v>
          </cell>
          <cell r="J686" t="str">
            <v>6YD CONT 5X WEEKLY</v>
          </cell>
          <cell r="K686">
            <v>5179.24</v>
          </cell>
          <cell r="L686">
            <v>2589.62</v>
          </cell>
        </row>
        <row r="687">
          <cell r="A687" t="str">
            <v>PUYALLUPCOMMERCIALF6YD5W</v>
          </cell>
          <cell r="B687" t="str">
            <v>BI-MONTHLY SPLIT EVEN</v>
          </cell>
          <cell r="C687" t="str">
            <v>2111</v>
          </cell>
          <cell r="D687" t="str">
            <v>COMMERCIAL</v>
          </cell>
          <cell r="E687" t="b">
            <v>0</v>
          </cell>
          <cell r="F687" t="b">
            <v>0</v>
          </cell>
          <cell r="G687" t="str">
            <v>PUYALLUP</v>
          </cell>
          <cell r="H687">
            <v>3333</v>
          </cell>
          <cell r="I687" t="str">
            <v>F6YD5W</v>
          </cell>
          <cell r="J687" t="str">
            <v>6YD CONT 5X WEEKLY</v>
          </cell>
          <cell r="K687">
            <v>6437.14</v>
          </cell>
          <cell r="L687">
            <v>3218.57</v>
          </cell>
        </row>
        <row r="688">
          <cell r="A688" t="str">
            <v>RUSTONCOMMERCIALF6YD5W</v>
          </cell>
          <cell r="B688" t="str">
            <v>BI-MONTHLY SPLIT EVEN</v>
          </cell>
          <cell r="C688" t="str">
            <v>2111</v>
          </cell>
          <cell r="D688" t="str">
            <v>COMMERCIAL</v>
          </cell>
          <cell r="E688" t="b">
            <v>0</v>
          </cell>
          <cell r="F688" t="b">
            <v>0</v>
          </cell>
          <cell r="G688" t="str">
            <v>RUSTON</v>
          </cell>
          <cell r="H688">
            <v>3333</v>
          </cell>
          <cell r="I688" t="str">
            <v>F6YD5W</v>
          </cell>
          <cell r="J688" t="str">
            <v>6YD CONT 5X WEEKLY</v>
          </cell>
          <cell r="K688">
            <v>3475.87</v>
          </cell>
          <cell r="L688">
            <v>1737.9349999999999</v>
          </cell>
        </row>
        <row r="689">
          <cell r="A689" t="str">
            <v>SUMNERCOMMERCIALF6YD5W</v>
          </cell>
          <cell r="B689" t="str">
            <v>BI-MONTHLY SPLIT EVEN</v>
          </cell>
          <cell r="C689" t="str">
            <v>2111</v>
          </cell>
          <cell r="D689" t="str">
            <v>COMMERCIAL</v>
          </cell>
          <cell r="E689" t="b">
            <v>0</v>
          </cell>
          <cell r="F689" t="b">
            <v>0</v>
          </cell>
          <cell r="G689" t="str">
            <v>SUMNER</v>
          </cell>
          <cell r="H689">
            <v>3333</v>
          </cell>
          <cell r="I689" t="str">
            <v>F6YD5W</v>
          </cell>
          <cell r="J689" t="str">
            <v>6YD CONT 5X WEEKLY</v>
          </cell>
          <cell r="K689">
            <v>2947.99</v>
          </cell>
          <cell r="L689">
            <v>1473.9949999999999</v>
          </cell>
        </row>
        <row r="690">
          <cell r="A690" t="str">
            <v>M-EDGEWOODCOMMERCIALF6YD6W</v>
          </cell>
          <cell r="B690" t="e">
            <v>#N/A</v>
          </cell>
          <cell r="C690" t="str">
            <v>2111</v>
          </cell>
          <cell r="D690" t="str">
            <v>COMMERCIAL</v>
          </cell>
          <cell r="E690" t="b">
            <v>0</v>
          </cell>
          <cell r="F690" t="b">
            <v>0</v>
          </cell>
          <cell r="G690" t="str">
            <v>M-EDGEWOOD</v>
          </cell>
          <cell r="H690">
            <v>3588</v>
          </cell>
          <cell r="I690" t="str">
            <v>F6YD6W</v>
          </cell>
          <cell r="J690" t="str">
            <v>6YD CONT 6X WEEKLY</v>
          </cell>
          <cell r="K690">
            <v>2799.6</v>
          </cell>
          <cell r="L690">
            <v>2799.6</v>
          </cell>
        </row>
        <row r="691">
          <cell r="A691" t="str">
            <v>M-FIFECOMMERCIALF6YD6W</v>
          </cell>
          <cell r="B691" t="e">
            <v>#N/A</v>
          </cell>
          <cell r="C691" t="str">
            <v>2111</v>
          </cell>
          <cell r="D691" t="str">
            <v>COMMERCIAL</v>
          </cell>
          <cell r="E691" t="b">
            <v>0</v>
          </cell>
          <cell r="F691" t="b">
            <v>0</v>
          </cell>
          <cell r="G691" t="str">
            <v>M-FIFE</v>
          </cell>
          <cell r="H691">
            <v>3588</v>
          </cell>
          <cell r="I691" t="str">
            <v>F6YD6W</v>
          </cell>
          <cell r="J691" t="str">
            <v>6YD CONT 6X WEEKLY</v>
          </cell>
          <cell r="K691">
            <v>2799.6</v>
          </cell>
          <cell r="L691">
            <v>2799.6</v>
          </cell>
        </row>
        <row r="692">
          <cell r="A692" t="str">
            <v>MURREYSCOMMERCIALF6YD6W</v>
          </cell>
          <cell r="B692" t="e">
            <v>#N/A</v>
          </cell>
          <cell r="C692" t="str">
            <v>2111</v>
          </cell>
          <cell r="D692" t="str">
            <v>COMMERCIAL</v>
          </cell>
          <cell r="E692" t="b">
            <v>0</v>
          </cell>
          <cell r="F692" t="b">
            <v>0</v>
          </cell>
          <cell r="G692" t="str">
            <v>MURREYS</v>
          </cell>
          <cell r="H692">
            <v>3588</v>
          </cell>
          <cell r="I692" t="str">
            <v>F6YD6W</v>
          </cell>
          <cell r="J692" t="str">
            <v>6YD CONT 6X WEEKLY</v>
          </cell>
          <cell r="K692">
            <v>2799.6</v>
          </cell>
          <cell r="L692">
            <v>2799.6</v>
          </cell>
        </row>
        <row r="693">
          <cell r="A693" t="str">
            <v>BONNEY LAKECOMMERCIALF6YDEX</v>
          </cell>
          <cell r="B693" t="str">
            <v>ONCALL</v>
          </cell>
          <cell r="C693" t="str">
            <v>2111</v>
          </cell>
          <cell r="D693" t="str">
            <v>COMMERCIAL</v>
          </cell>
          <cell r="E693" t="b">
            <v>1</v>
          </cell>
          <cell r="F693" t="b">
            <v>0</v>
          </cell>
          <cell r="G693" t="str">
            <v>BONNEY LAKE</v>
          </cell>
          <cell r="H693">
            <v>3275</v>
          </cell>
          <cell r="I693" t="str">
            <v>F6YDEX</v>
          </cell>
          <cell r="J693" t="str">
            <v>6YD CONT EXTRA PICKUP</v>
          </cell>
          <cell r="K693">
            <v>140.54</v>
          </cell>
          <cell r="L693">
            <v>140.54</v>
          </cell>
        </row>
        <row r="694">
          <cell r="A694" t="str">
            <v>BUCKLEYCOMMERCIALF6YDEX</v>
          </cell>
          <cell r="B694" t="str">
            <v>ONCALL</v>
          </cell>
          <cell r="C694" t="str">
            <v>2111</v>
          </cell>
          <cell r="D694" t="str">
            <v>COMMERCIAL</v>
          </cell>
          <cell r="E694" t="b">
            <v>1</v>
          </cell>
          <cell r="F694" t="b">
            <v>0</v>
          </cell>
          <cell r="G694" t="str">
            <v>BUCKLEY</v>
          </cell>
          <cell r="H694">
            <v>3275</v>
          </cell>
          <cell r="I694" t="str">
            <v>F6YDEX</v>
          </cell>
          <cell r="J694" t="str">
            <v>6YD CONT EXTRA PICKUP</v>
          </cell>
          <cell r="K694">
            <v>144.66999999999999</v>
          </cell>
          <cell r="L694">
            <v>144.66999999999999</v>
          </cell>
        </row>
        <row r="695">
          <cell r="A695" t="str">
            <v>CARBONADOCOMMERCIALF6YDEX</v>
          </cell>
          <cell r="B695" t="str">
            <v>ONCALL</v>
          </cell>
          <cell r="C695" t="str">
            <v>2111</v>
          </cell>
          <cell r="D695" t="str">
            <v>COMMERCIAL</v>
          </cell>
          <cell r="E695" t="b">
            <v>1</v>
          </cell>
          <cell r="F695" t="b">
            <v>0</v>
          </cell>
          <cell r="G695" t="str">
            <v>CARBONADO</v>
          </cell>
          <cell r="H695">
            <v>3275</v>
          </cell>
          <cell r="I695" t="str">
            <v>F6YDEX</v>
          </cell>
          <cell r="J695" t="str">
            <v>6YD CONT EXTRA PICKUP</v>
          </cell>
          <cell r="K695">
            <v>0</v>
          </cell>
          <cell r="L695">
            <v>0</v>
          </cell>
        </row>
        <row r="696">
          <cell r="A696" t="str">
            <v>M-EDGEWOODCOMMERCIALF6YDEX</v>
          </cell>
          <cell r="B696" t="str">
            <v>ONCALL</v>
          </cell>
          <cell r="C696" t="str">
            <v>2111</v>
          </cell>
          <cell r="D696" t="str">
            <v>COMMERCIAL</v>
          </cell>
          <cell r="E696" t="b">
            <v>1</v>
          </cell>
          <cell r="F696" t="b">
            <v>0</v>
          </cell>
          <cell r="G696" t="str">
            <v>M-EDGEWOOD</v>
          </cell>
          <cell r="H696">
            <v>3275</v>
          </cell>
          <cell r="I696" t="str">
            <v>F6YDEX</v>
          </cell>
          <cell r="J696" t="str">
            <v>6YD CONT EXTRA PICKUP</v>
          </cell>
          <cell r="K696">
            <v>109.95</v>
          </cell>
          <cell r="L696">
            <v>109.95</v>
          </cell>
        </row>
        <row r="697">
          <cell r="A697" t="str">
            <v>M-FIFECOMMERCIALF6YDEX</v>
          </cell>
          <cell r="B697" t="str">
            <v>ONCALL</v>
          </cell>
          <cell r="C697" t="str">
            <v>2111</v>
          </cell>
          <cell r="D697" t="str">
            <v>COMMERCIAL</v>
          </cell>
          <cell r="E697" t="b">
            <v>1</v>
          </cell>
          <cell r="F697" t="b">
            <v>0</v>
          </cell>
          <cell r="G697" t="str">
            <v>M-FIFE</v>
          </cell>
          <cell r="H697">
            <v>3275</v>
          </cell>
          <cell r="I697" t="str">
            <v>F6YDEX</v>
          </cell>
          <cell r="J697" t="str">
            <v>6YD CONT EXTRA PICKUP</v>
          </cell>
          <cell r="K697">
            <v>109.95</v>
          </cell>
          <cell r="L697">
            <v>109.95</v>
          </cell>
        </row>
        <row r="698">
          <cell r="A698" t="str">
            <v>MILTONCOMMERCIALF6YDEX</v>
          </cell>
          <cell r="B698" t="str">
            <v>ONCALL</v>
          </cell>
          <cell r="C698" t="str">
            <v>2111</v>
          </cell>
          <cell r="D698" t="str">
            <v>COMMERCIAL</v>
          </cell>
          <cell r="E698" t="b">
            <v>1</v>
          </cell>
          <cell r="F698" t="b">
            <v>0</v>
          </cell>
          <cell r="G698" t="str">
            <v>MILTON</v>
          </cell>
          <cell r="H698">
            <v>3275</v>
          </cell>
          <cell r="I698" t="str">
            <v>F6YDEX</v>
          </cell>
          <cell r="J698" t="str">
            <v>6YD CONT EXTRA PICKUP</v>
          </cell>
          <cell r="K698">
            <v>110.72</v>
          </cell>
          <cell r="L698">
            <v>110.72</v>
          </cell>
        </row>
        <row r="699">
          <cell r="A699" t="str">
            <v>MURREYSCOMMERCIALF6YDEX</v>
          </cell>
          <cell r="B699" t="str">
            <v>ONCALL</v>
          </cell>
          <cell r="C699" t="str">
            <v>2111</v>
          </cell>
          <cell r="D699" t="str">
            <v>COMMERCIAL</v>
          </cell>
          <cell r="E699" t="b">
            <v>1</v>
          </cell>
          <cell r="F699" t="b">
            <v>0</v>
          </cell>
          <cell r="G699" t="str">
            <v>MURREYS</v>
          </cell>
          <cell r="H699">
            <v>3275</v>
          </cell>
          <cell r="I699" t="str">
            <v>F6YDEX</v>
          </cell>
          <cell r="J699" t="str">
            <v>6YD CONT EXTRA PICKUP</v>
          </cell>
          <cell r="K699">
            <v>109.95</v>
          </cell>
          <cell r="L699">
            <v>109.95</v>
          </cell>
        </row>
        <row r="700">
          <cell r="A700" t="str">
            <v>ORTINGCOMMERCIALF6YDEX</v>
          </cell>
          <cell r="B700" t="str">
            <v>ONCALL</v>
          </cell>
          <cell r="C700" t="str">
            <v>2111</v>
          </cell>
          <cell r="D700" t="str">
            <v>COMMERCIAL</v>
          </cell>
          <cell r="E700" t="b">
            <v>1</v>
          </cell>
          <cell r="F700" t="b">
            <v>0</v>
          </cell>
          <cell r="G700" t="str">
            <v>ORTING</v>
          </cell>
          <cell r="H700">
            <v>3275</v>
          </cell>
          <cell r="I700" t="str">
            <v>F6YDEX</v>
          </cell>
          <cell r="J700" t="str">
            <v>6YD CONT EXTRA PICKUP</v>
          </cell>
          <cell r="K700">
            <v>123.01</v>
          </cell>
          <cell r="L700">
            <v>123.01</v>
          </cell>
        </row>
        <row r="701">
          <cell r="A701" t="str">
            <v>PUYALLUPCOMMERCIALF6YDEX</v>
          </cell>
          <cell r="B701" t="str">
            <v>ONCALL</v>
          </cell>
          <cell r="C701" t="str">
            <v>2111</v>
          </cell>
          <cell r="D701" t="str">
            <v>COMMERCIAL</v>
          </cell>
          <cell r="E701" t="b">
            <v>1</v>
          </cell>
          <cell r="F701" t="b">
            <v>0</v>
          </cell>
          <cell r="G701" t="str">
            <v>PUYALLUP</v>
          </cell>
          <cell r="H701">
            <v>3275</v>
          </cell>
          <cell r="I701" t="str">
            <v>F6YDEX</v>
          </cell>
          <cell r="J701" t="str">
            <v>6YD CONT EXTRA PICKUP</v>
          </cell>
          <cell r="K701">
            <v>144.32</v>
          </cell>
          <cell r="L701">
            <v>144.32</v>
          </cell>
        </row>
        <row r="702">
          <cell r="A702" t="str">
            <v>RUSTONCOMMERCIALF6YDEX</v>
          </cell>
          <cell r="B702" t="str">
            <v>ONCALL</v>
          </cell>
          <cell r="C702" t="str">
            <v>2111</v>
          </cell>
          <cell r="D702" t="str">
            <v>COMMERCIAL</v>
          </cell>
          <cell r="E702" t="b">
            <v>1</v>
          </cell>
          <cell r="F702" t="b">
            <v>0</v>
          </cell>
          <cell r="G702" t="str">
            <v>RUSTON</v>
          </cell>
          <cell r="H702">
            <v>3275</v>
          </cell>
          <cell r="I702" t="str">
            <v>F6YDEX</v>
          </cell>
          <cell r="J702" t="str">
            <v>6YD CONT EXTRA PICKUP</v>
          </cell>
          <cell r="K702">
            <v>149.91</v>
          </cell>
          <cell r="L702">
            <v>149.91</v>
          </cell>
        </row>
        <row r="703">
          <cell r="A703" t="str">
            <v>SOUTH PRAIRIECOMMERCIALF6YDEX</v>
          </cell>
          <cell r="B703" t="str">
            <v>ONCALL</v>
          </cell>
          <cell r="C703" t="str">
            <v>2111</v>
          </cell>
          <cell r="D703" t="str">
            <v>COMMERCIAL</v>
          </cell>
          <cell r="E703" t="b">
            <v>1</v>
          </cell>
          <cell r="F703" t="b">
            <v>0</v>
          </cell>
          <cell r="G703" t="str">
            <v>SOUTH PRAIRIE</v>
          </cell>
          <cell r="H703">
            <v>3275</v>
          </cell>
          <cell r="I703" t="str">
            <v>F6YDEX</v>
          </cell>
          <cell r="J703" t="str">
            <v>6YD CONT EXTRA PICKUP</v>
          </cell>
          <cell r="K703">
            <v>109.44</v>
          </cell>
          <cell r="L703">
            <v>109.44</v>
          </cell>
        </row>
        <row r="704">
          <cell r="A704" t="str">
            <v>SUMNERCOMMERCIALF6YDEX</v>
          </cell>
          <cell r="B704" t="str">
            <v>ONCALL</v>
          </cell>
          <cell r="C704" t="str">
            <v>2111</v>
          </cell>
          <cell r="D704" t="str">
            <v>COMMERCIAL</v>
          </cell>
          <cell r="E704" t="b">
            <v>1</v>
          </cell>
          <cell r="F704" t="b">
            <v>0</v>
          </cell>
          <cell r="G704" t="str">
            <v>SUMNER</v>
          </cell>
          <cell r="H704">
            <v>3275</v>
          </cell>
          <cell r="I704" t="str">
            <v>F6YDEX</v>
          </cell>
          <cell r="J704" t="str">
            <v>6YD CONT EXTRA PICKUP</v>
          </cell>
          <cell r="K704">
            <v>144.66999999999999</v>
          </cell>
          <cell r="L704">
            <v>144.66999999999999</v>
          </cell>
        </row>
        <row r="705">
          <cell r="A705" t="str">
            <v>DMRCOMMERCIAL RECYCLEF6YDEXRECY</v>
          </cell>
          <cell r="B705" t="e">
            <v>#N/A</v>
          </cell>
          <cell r="C705" t="str">
            <v>2111</v>
          </cell>
          <cell r="D705" t="str">
            <v>COMMERCIAL RECYCLE</v>
          </cell>
          <cell r="E705" t="b">
            <v>1</v>
          </cell>
          <cell r="F705" t="b">
            <v>0</v>
          </cell>
          <cell r="G705" t="str">
            <v>DMR</v>
          </cell>
          <cell r="H705">
            <v>3575</v>
          </cell>
          <cell r="I705" t="str">
            <v>F6YDEXRECY</v>
          </cell>
          <cell r="J705" t="str">
            <v>RECY 6YD CONT EXTRA PICKU</v>
          </cell>
          <cell r="K705">
            <v>90</v>
          </cell>
          <cell r="L705">
            <v>90</v>
          </cell>
        </row>
        <row r="706">
          <cell r="A706" t="str">
            <v>DMR-BCOMMERCIAL RECYCLEF6YDEXRECY</v>
          </cell>
          <cell r="B706" t="e">
            <v>#N/A</v>
          </cell>
          <cell r="C706" t="str">
            <v>2111</v>
          </cell>
          <cell r="D706" t="str">
            <v>COMMERCIAL RECYCLE</v>
          </cell>
          <cell r="E706" t="b">
            <v>1</v>
          </cell>
          <cell r="F706" t="b">
            <v>0</v>
          </cell>
          <cell r="G706" t="str">
            <v>DMR-B</v>
          </cell>
          <cell r="H706">
            <v>3575</v>
          </cell>
          <cell r="I706" t="str">
            <v>F6YDEXRECY</v>
          </cell>
          <cell r="J706" t="str">
            <v>RECY 6YD CONT EXTRA PICKU</v>
          </cell>
          <cell r="K706">
            <v>81.900000000000006</v>
          </cell>
          <cell r="L706">
            <v>81.900000000000006</v>
          </cell>
        </row>
        <row r="707">
          <cell r="A707" t="str">
            <v>DMR-BLCOMMERCIAL RECYCLEF6YDEXRECY</v>
          </cell>
          <cell r="B707" t="e">
            <v>#N/A</v>
          </cell>
          <cell r="C707" t="str">
            <v>2111</v>
          </cell>
          <cell r="D707" t="str">
            <v>COMMERCIAL RECYCLE</v>
          </cell>
          <cell r="E707" t="b">
            <v>1</v>
          </cell>
          <cell r="F707" t="b">
            <v>0</v>
          </cell>
          <cell r="G707" t="str">
            <v>DMR-BL</v>
          </cell>
          <cell r="H707">
            <v>3575</v>
          </cell>
          <cell r="I707" t="str">
            <v>F6YDEXRECY</v>
          </cell>
          <cell r="J707" t="str">
            <v>RECY 6YD CONT EXTRA PICKU</v>
          </cell>
          <cell r="K707">
            <v>59.78</v>
          </cell>
          <cell r="L707">
            <v>59.78</v>
          </cell>
        </row>
        <row r="708">
          <cell r="A708" t="str">
            <v>DMR-CPCOMMERCIAL RECYCLEF6YDEXRECY</v>
          </cell>
          <cell r="B708" t="e">
            <v>#N/A</v>
          </cell>
          <cell r="C708" t="str">
            <v>2111</v>
          </cell>
          <cell r="D708" t="str">
            <v>COMMERCIAL RECYCLE</v>
          </cell>
          <cell r="E708" t="b">
            <v>1</v>
          </cell>
          <cell r="F708" t="b">
            <v>0</v>
          </cell>
          <cell r="G708" t="str">
            <v>DMR-CP</v>
          </cell>
          <cell r="H708">
            <v>3575</v>
          </cell>
          <cell r="I708" t="str">
            <v>F6YDEXRECY</v>
          </cell>
          <cell r="J708" t="str">
            <v>RECY 6YD CONT EXTRA PICKU</v>
          </cell>
          <cell r="K708">
            <v>57.52</v>
          </cell>
          <cell r="L708">
            <v>57.52</v>
          </cell>
        </row>
        <row r="709">
          <cell r="A709" t="str">
            <v>DMR-MILCOMMERCIAL RECYCLEF6YDEXRECY</v>
          </cell>
          <cell r="B709" t="e">
            <v>#N/A</v>
          </cell>
          <cell r="C709" t="str">
            <v>2111</v>
          </cell>
          <cell r="D709" t="str">
            <v>COMMERCIAL RECYCLE</v>
          </cell>
          <cell r="E709" t="b">
            <v>1</v>
          </cell>
          <cell r="F709" t="b">
            <v>0</v>
          </cell>
          <cell r="G709" t="str">
            <v>DMR-MIL</v>
          </cell>
          <cell r="H709">
            <v>3575</v>
          </cell>
          <cell r="I709" t="str">
            <v>F6YDEXRECY</v>
          </cell>
          <cell r="J709" t="str">
            <v>RECY 6YD CONT EXTRA PICKU</v>
          </cell>
          <cell r="K709">
            <v>59.19</v>
          </cell>
          <cell r="L709">
            <v>59.19</v>
          </cell>
        </row>
        <row r="710">
          <cell r="A710" t="str">
            <v>PUYALLUPCOMMERCIALF8YD1W</v>
          </cell>
          <cell r="B710" t="str">
            <v>MONTHLY ARREARS</v>
          </cell>
          <cell r="C710" t="str">
            <v>2111</v>
          </cell>
          <cell r="D710" t="str">
            <v>COMMERCIAL</v>
          </cell>
          <cell r="E710" t="b">
            <v>0</v>
          </cell>
          <cell r="F710" t="b">
            <v>0</v>
          </cell>
          <cell r="G710" t="str">
            <v>PUYALLUP</v>
          </cell>
          <cell r="H710">
            <v>3500</v>
          </cell>
          <cell r="I710" t="str">
            <v>F8YD1W</v>
          </cell>
          <cell r="J710" t="str">
            <v>8 YD CONT 1X WKLY</v>
          </cell>
          <cell r="K710">
            <v>1700.34</v>
          </cell>
          <cell r="L710">
            <v>1700.34</v>
          </cell>
        </row>
        <row r="711">
          <cell r="A711" t="str">
            <v>PUYALLUPCOMMERCIALF8YD2W</v>
          </cell>
          <cell r="B711" t="str">
            <v>MONTHLY ARREARS</v>
          </cell>
          <cell r="C711" t="str">
            <v>2111</v>
          </cell>
          <cell r="D711" t="str">
            <v>COMMERCIAL</v>
          </cell>
          <cell r="E711" t="b">
            <v>0</v>
          </cell>
          <cell r="F711" t="b">
            <v>0</v>
          </cell>
          <cell r="G711" t="str">
            <v>PUYALLUP</v>
          </cell>
          <cell r="H711">
            <v>3501</v>
          </cell>
          <cell r="I711" t="str">
            <v>F8YD2W</v>
          </cell>
          <cell r="J711" t="str">
            <v>8 YD CONT 2X WKLY</v>
          </cell>
          <cell r="K711">
            <v>3382.96</v>
          </cell>
          <cell r="L711">
            <v>3382.96</v>
          </cell>
        </row>
        <row r="712">
          <cell r="A712" t="str">
            <v>PUYALLUPCOMMERCIALF8YD3W</v>
          </cell>
          <cell r="B712" t="str">
            <v>MONTHLY ARREARS</v>
          </cell>
          <cell r="C712" t="str">
            <v>2111</v>
          </cell>
          <cell r="D712" t="str">
            <v>COMMERCIAL</v>
          </cell>
          <cell r="E712" t="b">
            <v>0</v>
          </cell>
          <cell r="F712" t="b">
            <v>0</v>
          </cell>
          <cell r="G712" t="str">
            <v>PUYALLUP</v>
          </cell>
          <cell r="H712">
            <v>3502</v>
          </cell>
          <cell r="I712" t="str">
            <v>F8YD3W</v>
          </cell>
          <cell r="J712" t="str">
            <v>8 YD CONT 3X WKLY</v>
          </cell>
          <cell r="K712">
            <v>5065.5200000000004</v>
          </cell>
          <cell r="L712">
            <v>5065.5200000000004</v>
          </cell>
        </row>
        <row r="713">
          <cell r="A713" t="str">
            <v>RUSTONCOMMERCIALFCP2YD1W</v>
          </cell>
          <cell r="B713" t="str">
            <v>MONTHLY ARREARS</v>
          </cell>
          <cell r="C713" t="str">
            <v>2111</v>
          </cell>
          <cell r="D713" t="str">
            <v>COMMERCIAL</v>
          </cell>
          <cell r="E713" t="b">
            <v>0</v>
          </cell>
          <cell r="F713" t="b">
            <v>0</v>
          </cell>
          <cell r="G713" t="str">
            <v>RUSTON</v>
          </cell>
          <cell r="H713">
            <v>3171</v>
          </cell>
          <cell r="I713" t="str">
            <v>FCP2YD1W</v>
          </cell>
          <cell r="J713" t="str">
            <v>2YD COMPACTOR 1X WKLY</v>
          </cell>
          <cell r="K713">
            <v>1191.7</v>
          </cell>
          <cell r="L713">
            <v>1191.7</v>
          </cell>
        </row>
        <row r="714">
          <cell r="A714" t="str">
            <v>M-EDGEWOODCOMMERCIALFCP2YD1W2.25-1</v>
          </cell>
          <cell r="B714" t="str">
            <v>MONTHLY ARREARS</v>
          </cell>
          <cell r="C714" t="str">
            <v>2111</v>
          </cell>
          <cell r="D714" t="str">
            <v>COMMERCIAL</v>
          </cell>
          <cell r="E714" t="b">
            <v>0</v>
          </cell>
          <cell r="F714" t="b">
            <v>0</v>
          </cell>
          <cell r="G714" t="str">
            <v>M-EDGEWOOD</v>
          </cell>
          <cell r="H714">
            <v>3492</v>
          </cell>
          <cell r="I714" t="str">
            <v>FCP2YD1W2.25-1</v>
          </cell>
          <cell r="J714" t="str">
            <v>2 YD 2.25-1 COMP 1X WK</v>
          </cell>
          <cell r="K714">
            <v>383.77</v>
          </cell>
          <cell r="L714">
            <v>383.77</v>
          </cell>
        </row>
        <row r="715">
          <cell r="A715" t="str">
            <v>M-FIFECOMMERCIALFCP2YD1W2.25-1</v>
          </cell>
          <cell r="B715" t="str">
            <v>MONTHLY ARREARS</v>
          </cell>
          <cell r="C715" t="str">
            <v>2111</v>
          </cell>
          <cell r="D715" t="str">
            <v>COMMERCIAL</v>
          </cell>
          <cell r="E715" t="b">
            <v>0</v>
          </cell>
          <cell r="F715" t="b">
            <v>0</v>
          </cell>
          <cell r="G715" t="str">
            <v>M-FIFE</v>
          </cell>
          <cell r="H715">
            <v>3492</v>
          </cell>
          <cell r="I715" t="str">
            <v>FCP2YD1W2.25-1</v>
          </cell>
          <cell r="J715" t="str">
            <v>2 YD 2.25-1 COMP 1X WK</v>
          </cell>
          <cell r="K715">
            <v>383.77</v>
          </cell>
          <cell r="L715">
            <v>383.77</v>
          </cell>
        </row>
        <row r="716">
          <cell r="A716" t="str">
            <v>MURREYSCOMMERCIALFCP2YD1W2.25-1</v>
          </cell>
          <cell r="B716" t="str">
            <v>MONTHLY ARREARS</v>
          </cell>
          <cell r="C716" t="str">
            <v>2111</v>
          </cell>
          <cell r="D716" t="str">
            <v>COMMERCIAL</v>
          </cell>
          <cell r="E716" t="b">
            <v>0</v>
          </cell>
          <cell r="F716" t="b">
            <v>0</v>
          </cell>
          <cell r="G716" t="str">
            <v>MURREYS</v>
          </cell>
          <cell r="H716">
            <v>3492</v>
          </cell>
          <cell r="I716" t="str">
            <v>FCP2YD1W2.25-1</v>
          </cell>
          <cell r="J716" t="str">
            <v>2 YD 2.25-1 COMP 1X WK</v>
          </cell>
          <cell r="K716">
            <v>383.77</v>
          </cell>
          <cell r="L716">
            <v>383.77</v>
          </cell>
        </row>
        <row r="717">
          <cell r="A717" t="str">
            <v>MILTONCOMMERCIALFCP2YD1W4-1</v>
          </cell>
          <cell r="B717" t="str">
            <v>BI-MONTHLY SPLIT EVEN</v>
          </cell>
          <cell r="C717" t="str">
            <v>2111</v>
          </cell>
          <cell r="D717" t="str">
            <v>COMMERCIAL</v>
          </cell>
          <cell r="E717" t="b">
            <v>0</v>
          </cell>
          <cell r="F717" t="b">
            <v>0</v>
          </cell>
          <cell r="G717" t="str">
            <v>MILTON</v>
          </cell>
          <cell r="H717">
            <v>3498</v>
          </cell>
          <cell r="I717" t="str">
            <v>FCP2YD1W4-1</v>
          </cell>
          <cell r="J717" t="str">
            <v>2 YD 4-1 COMP 1X WK</v>
          </cell>
          <cell r="K717">
            <v>1792.46</v>
          </cell>
          <cell r="L717">
            <v>896.23</v>
          </cell>
        </row>
        <row r="718">
          <cell r="A718" t="str">
            <v>PUYALLUPCOMMERCIALFCP2YD2W</v>
          </cell>
          <cell r="B718" t="str">
            <v>MONTHLY ARREARS</v>
          </cell>
          <cell r="C718" t="str">
            <v>2111</v>
          </cell>
          <cell r="D718" t="str">
            <v>COMMERCIAL</v>
          </cell>
          <cell r="E718" t="b">
            <v>0</v>
          </cell>
          <cell r="F718" t="b">
            <v>0</v>
          </cell>
          <cell r="G718" t="str">
            <v>PUYALLUP</v>
          </cell>
          <cell r="H718">
            <v>3504</v>
          </cell>
          <cell r="I718" t="str">
            <v>FCP2YD2W</v>
          </cell>
          <cell r="J718" t="str">
            <v>2 YD COMPACTOR 2X WKLY</v>
          </cell>
          <cell r="K718">
            <v>4313.78</v>
          </cell>
          <cell r="L718">
            <v>4313.78</v>
          </cell>
        </row>
        <row r="719">
          <cell r="A719" t="str">
            <v>RUSTONCOMMERCIALFCP2YD2W</v>
          </cell>
          <cell r="B719" t="str">
            <v>MONTHLY ARREARS</v>
          </cell>
          <cell r="C719" t="str">
            <v>2111</v>
          </cell>
          <cell r="D719" t="str">
            <v>COMMERCIAL</v>
          </cell>
          <cell r="E719" t="b">
            <v>0</v>
          </cell>
          <cell r="F719" t="b">
            <v>0</v>
          </cell>
          <cell r="G719" t="str">
            <v>RUSTON</v>
          </cell>
          <cell r="H719">
            <v>3504</v>
          </cell>
          <cell r="I719" t="str">
            <v>FCP2YD2W</v>
          </cell>
          <cell r="J719" t="str">
            <v>2 YD COMPACTOR 2X WKLY</v>
          </cell>
          <cell r="K719">
            <v>2383.4299999999998</v>
          </cell>
          <cell r="L719">
            <v>2383.4299999999998</v>
          </cell>
        </row>
        <row r="720">
          <cell r="A720" t="str">
            <v>MILTONCOMMERCIALFCP2YD2W4-1</v>
          </cell>
          <cell r="B720" t="str">
            <v>MONTHLY ARREARS</v>
          </cell>
          <cell r="C720" t="str">
            <v>2111</v>
          </cell>
          <cell r="D720" t="str">
            <v>COMMERCIAL</v>
          </cell>
          <cell r="E720" t="b">
            <v>0</v>
          </cell>
          <cell r="F720" t="b">
            <v>0</v>
          </cell>
          <cell r="G720" t="str">
            <v>MILTON</v>
          </cell>
          <cell r="H720">
            <v>3505</v>
          </cell>
          <cell r="I720" t="str">
            <v>FCP2YD2W4-1</v>
          </cell>
          <cell r="J720" t="str">
            <v>2YD COMPACTOR 2X WKLY</v>
          </cell>
          <cell r="K720">
            <v>3584.92</v>
          </cell>
          <cell r="L720">
            <v>3584.92</v>
          </cell>
        </row>
        <row r="721">
          <cell r="A721" t="str">
            <v>RUSTONCOMMERCIALFCP3YD1W</v>
          </cell>
          <cell r="B721" t="e">
            <v>#N/A</v>
          </cell>
          <cell r="C721" t="str">
            <v>2111</v>
          </cell>
          <cell r="D721" t="str">
            <v>COMMERCIAL</v>
          </cell>
          <cell r="E721" t="b">
            <v>0</v>
          </cell>
          <cell r="F721" t="b">
            <v>0</v>
          </cell>
          <cell r="G721" t="str">
            <v>RUSTON</v>
          </cell>
          <cell r="H721">
            <v>3592</v>
          </cell>
          <cell r="I721" t="str">
            <v>FCP3YD1W</v>
          </cell>
          <cell r="J721" t="str">
            <v>3 YD COMPACTOR 1X WKLY</v>
          </cell>
          <cell r="K721">
            <v>1456.93</v>
          </cell>
          <cell r="L721">
            <v>1456.93</v>
          </cell>
        </row>
        <row r="722">
          <cell r="A722" t="str">
            <v>RUSTONCOMMERCIALFCP3YD2W</v>
          </cell>
          <cell r="B722" t="e">
            <v>#N/A</v>
          </cell>
          <cell r="C722" t="str">
            <v>2111</v>
          </cell>
          <cell r="D722" t="str">
            <v>COMMERCIAL</v>
          </cell>
          <cell r="E722" t="b">
            <v>0</v>
          </cell>
          <cell r="F722" t="b">
            <v>0</v>
          </cell>
          <cell r="G722" t="str">
            <v>RUSTON</v>
          </cell>
          <cell r="H722">
            <v>3591</v>
          </cell>
          <cell r="I722" t="str">
            <v>FCP3YD2W</v>
          </cell>
          <cell r="J722" t="str">
            <v>3 YD COMPACTOR 2X WKLY</v>
          </cell>
          <cell r="K722">
            <v>2913.88</v>
          </cell>
          <cell r="L722">
            <v>2913.88</v>
          </cell>
        </row>
        <row r="723">
          <cell r="A723" t="str">
            <v>M-EDGEWOODCOMMERCIALFCP3YD2W3-1</v>
          </cell>
          <cell r="B723" t="str">
            <v>MONTHLY ARREARS</v>
          </cell>
          <cell r="C723" t="str">
            <v>2111</v>
          </cell>
          <cell r="D723" t="str">
            <v>COMMERCIAL</v>
          </cell>
          <cell r="E723" t="b">
            <v>0</v>
          </cell>
          <cell r="F723" t="b">
            <v>0</v>
          </cell>
          <cell r="G723" t="str">
            <v>M-EDGEWOOD</v>
          </cell>
          <cell r="H723">
            <v>3485</v>
          </cell>
          <cell r="I723" t="str">
            <v>FCP3YD2W3-1</v>
          </cell>
          <cell r="J723" t="str">
            <v>3 YD 3-1 COMP 2X WK</v>
          </cell>
          <cell r="K723">
            <v>1339.53</v>
          </cell>
          <cell r="L723">
            <v>1339.53</v>
          </cell>
        </row>
        <row r="724">
          <cell r="A724" t="str">
            <v>M-FIFECOMMERCIALFCP3YD2W3-1</v>
          </cell>
          <cell r="B724" t="str">
            <v>MONTHLY ARREARS</v>
          </cell>
          <cell r="C724" t="str">
            <v>2111</v>
          </cell>
          <cell r="D724" t="str">
            <v>COMMERCIAL</v>
          </cell>
          <cell r="E724" t="b">
            <v>0</v>
          </cell>
          <cell r="F724" t="b">
            <v>0</v>
          </cell>
          <cell r="G724" t="str">
            <v>M-FIFE</v>
          </cell>
          <cell r="H724">
            <v>3485</v>
          </cell>
          <cell r="I724" t="str">
            <v>FCP3YD2W3-1</v>
          </cell>
          <cell r="J724" t="str">
            <v>3 YD 3-1 COMP 2X WK</v>
          </cell>
          <cell r="K724">
            <v>1339.53</v>
          </cell>
          <cell r="L724">
            <v>1339.53</v>
          </cell>
        </row>
        <row r="725">
          <cell r="A725" t="str">
            <v>MURREYSCOMMERCIALFCP3YD2W3-1</v>
          </cell>
          <cell r="B725" t="str">
            <v>MONTHLY ARREARS</v>
          </cell>
          <cell r="C725" t="str">
            <v>2111</v>
          </cell>
          <cell r="D725" t="str">
            <v>COMMERCIAL</v>
          </cell>
          <cell r="E725" t="b">
            <v>0</v>
          </cell>
          <cell r="F725" t="b">
            <v>0</v>
          </cell>
          <cell r="G725" t="str">
            <v>MURREYS</v>
          </cell>
          <cell r="H725">
            <v>3485</v>
          </cell>
          <cell r="I725" t="str">
            <v>FCP3YD2W3-1</v>
          </cell>
          <cell r="J725" t="str">
            <v>3 YD 3-1 COMP 2X WK</v>
          </cell>
          <cell r="K725">
            <v>1339.53</v>
          </cell>
          <cell r="L725">
            <v>1339.53</v>
          </cell>
        </row>
        <row r="726">
          <cell r="A726" t="str">
            <v>M-EDGEWOODCOMMERCIALFCP3YDOC3-1</v>
          </cell>
          <cell r="B726" t="str">
            <v>MONTHLY ARREARS</v>
          </cell>
          <cell r="C726" t="str">
            <v>2111</v>
          </cell>
          <cell r="D726" t="str">
            <v>COMMERCIAL</v>
          </cell>
          <cell r="E726" t="b">
            <v>1</v>
          </cell>
          <cell r="F726" t="b">
            <v>0</v>
          </cell>
          <cell r="G726" t="str">
            <v>M-EDGEWOOD</v>
          </cell>
          <cell r="H726">
            <v>3493</v>
          </cell>
          <cell r="I726" t="str">
            <v>FCP3YDOC3-1</v>
          </cell>
          <cell r="J726" t="str">
            <v>3 YD 3-1 COMP ON CALL</v>
          </cell>
          <cell r="K726">
            <v>161.24</v>
          </cell>
          <cell r="L726">
            <v>161.24</v>
          </cell>
        </row>
        <row r="727">
          <cell r="A727" t="str">
            <v>M-FIFECOMMERCIALFCP3YDOC3-1</v>
          </cell>
          <cell r="B727" t="str">
            <v>MONTHLY ARREARS</v>
          </cell>
          <cell r="C727" t="str">
            <v>2111</v>
          </cell>
          <cell r="D727" t="str">
            <v>COMMERCIAL</v>
          </cell>
          <cell r="E727" t="b">
            <v>1</v>
          </cell>
          <cell r="F727" t="b">
            <v>0</v>
          </cell>
          <cell r="G727" t="str">
            <v>M-FIFE</v>
          </cell>
          <cell r="H727">
            <v>3493</v>
          </cell>
          <cell r="I727" t="str">
            <v>FCP3YDOC3-1</v>
          </cell>
          <cell r="J727" t="str">
            <v>3 YD 3-1 COMP ON CALL</v>
          </cell>
          <cell r="K727">
            <v>161.24</v>
          </cell>
          <cell r="L727">
            <v>161.24</v>
          </cell>
        </row>
        <row r="728">
          <cell r="A728" t="str">
            <v>MURREYSCOMMERCIALFCP3YDOC3-1</v>
          </cell>
          <cell r="B728" t="str">
            <v>MONTHLY ARREARS</v>
          </cell>
          <cell r="C728" t="str">
            <v>2111</v>
          </cell>
          <cell r="D728" t="str">
            <v>COMMERCIAL</v>
          </cell>
          <cell r="E728" t="b">
            <v>1</v>
          </cell>
          <cell r="F728" t="b">
            <v>0</v>
          </cell>
          <cell r="G728" t="str">
            <v>MURREYS</v>
          </cell>
          <cell r="H728">
            <v>3493</v>
          </cell>
          <cell r="I728" t="str">
            <v>FCP3YDOC3-1</v>
          </cell>
          <cell r="J728" t="str">
            <v>3 YD 3-1 COMP ON CALL</v>
          </cell>
          <cell r="K728">
            <v>161.24</v>
          </cell>
          <cell r="L728">
            <v>161.24</v>
          </cell>
        </row>
        <row r="729">
          <cell r="A729" t="str">
            <v>PUYALLUPCOMMERCIALFCP4YD1W</v>
          </cell>
          <cell r="B729" t="str">
            <v>MONTHLY ARREARS</v>
          </cell>
          <cell r="C729" t="str">
            <v>2111</v>
          </cell>
          <cell r="D729" t="str">
            <v>COMMERCIAL</v>
          </cell>
          <cell r="E729" t="b">
            <v>0</v>
          </cell>
          <cell r="F729" t="b">
            <v>0</v>
          </cell>
          <cell r="G729" t="str">
            <v>PUYALLUP</v>
          </cell>
          <cell r="H729">
            <v>3057</v>
          </cell>
          <cell r="I729" t="str">
            <v>FCP4YD1W</v>
          </cell>
          <cell r="J729" t="str">
            <v>4YD COMPACTOR 1X WKLY</v>
          </cell>
          <cell r="K729">
            <v>3786.7</v>
          </cell>
          <cell r="L729">
            <v>3786.7</v>
          </cell>
        </row>
        <row r="730">
          <cell r="A730" t="str">
            <v>RUSTONCOMMERCIALFCP4YD1W</v>
          </cell>
          <cell r="B730" t="str">
            <v>MONTHLY ARREARS</v>
          </cell>
          <cell r="C730" t="str">
            <v>2111</v>
          </cell>
          <cell r="D730" t="str">
            <v>COMMERCIAL</v>
          </cell>
          <cell r="E730" t="b">
            <v>0</v>
          </cell>
          <cell r="F730" t="b">
            <v>0</v>
          </cell>
          <cell r="G730" t="str">
            <v>RUSTON</v>
          </cell>
          <cell r="H730">
            <v>3057</v>
          </cell>
          <cell r="I730" t="str">
            <v>FCP4YD1W</v>
          </cell>
          <cell r="J730" t="str">
            <v>4YD COMPACTOR 1X WKLY</v>
          </cell>
          <cell r="K730">
            <v>1722.16</v>
          </cell>
          <cell r="L730">
            <v>1722.16</v>
          </cell>
        </row>
        <row r="731">
          <cell r="A731" t="str">
            <v>SUMNERCOMMERCIALFCP4YD1W</v>
          </cell>
          <cell r="B731" t="str">
            <v>MONTHLY ARREARS</v>
          </cell>
          <cell r="C731" t="str">
            <v>2111</v>
          </cell>
          <cell r="D731" t="str">
            <v>COMMERCIAL</v>
          </cell>
          <cell r="E731" t="b">
            <v>0</v>
          </cell>
          <cell r="F731" t="b">
            <v>0</v>
          </cell>
          <cell r="G731" t="str">
            <v>SUMNER</v>
          </cell>
          <cell r="H731">
            <v>3057</v>
          </cell>
          <cell r="I731" t="str">
            <v>FCP4YD1W</v>
          </cell>
          <cell r="J731" t="str">
            <v>4YD COMPACTOR 1X WKLY</v>
          </cell>
          <cell r="K731">
            <v>1675.2</v>
          </cell>
          <cell r="L731">
            <v>1675.2</v>
          </cell>
        </row>
        <row r="732">
          <cell r="A732" t="str">
            <v>M-EDGEWOODCOMMERCIALFCP4YD1W2.25-1</v>
          </cell>
          <cell r="B732" t="str">
            <v>MONTHLY ARREARS</v>
          </cell>
          <cell r="C732" t="str">
            <v>2111</v>
          </cell>
          <cell r="D732" t="str">
            <v>COMMERCIAL</v>
          </cell>
          <cell r="E732" t="b">
            <v>0</v>
          </cell>
          <cell r="F732" t="b">
            <v>0</v>
          </cell>
          <cell r="G732" t="str">
            <v>M-EDGEWOOD</v>
          </cell>
          <cell r="H732">
            <v>3489</v>
          </cell>
          <cell r="I732" t="str">
            <v>FCP4YD1W2.25-1</v>
          </cell>
          <cell r="J732" t="str">
            <v>4 YD 2.25-1 COMP 1X WK</v>
          </cell>
          <cell r="K732">
            <v>697.52</v>
          </cell>
          <cell r="L732">
            <v>697.52</v>
          </cell>
        </row>
        <row r="733">
          <cell r="A733" t="str">
            <v>M-FIFECOMMERCIALFCP4YD1W2.25-1</v>
          </cell>
          <cell r="B733" t="str">
            <v>MONTHLY ARREARS</v>
          </cell>
          <cell r="C733" t="str">
            <v>2111</v>
          </cell>
          <cell r="D733" t="str">
            <v>COMMERCIAL</v>
          </cell>
          <cell r="E733" t="b">
            <v>0</v>
          </cell>
          <cell r="F733" t="b">
            <v>0</v>
          </cell>
          <cell r="G733" t="str">
            <v>M-FIFE</v>
          </cell>
          <cell r="H733">
            <v>3489</v>
          </cell>
          <cell r="I733" t="str">
            <v>FCP4YD1W2.25-1</v>
          </cell>
          <cell r="J733" t="str">
            <v>4 YD 2.25-1 COMP 1X WK</v>
          </cell>
          <cell r="K733">
            <v>697.52</v>
          </cell>
          <cell r="L733">
            <v>697.52</v>
          </cell>
        </row>
        <row r="734">
          <cell r="A734" t="str">
            <v>MURREYSCOMMERCIALFCP4YD1W2.25-1</v>
          </cell>
          <cell r="B734" t="str">
            <v>MONTHLY ARREARS</v>
          </cell>
          <cell r="C734" t="str">
            <v>2111</v>
          </cell>
          <cell r="D734" t="str">
            <v>COMMERCIAL</v>
          </cell>
          <cell r="E734" t="b">
            <v>0</v>
          </cell>
          <cell r="F734" t="b">
            <v>0</v>
          </cell>
          <cell r="G734" t="str">
            <v>MURREYS</v>
          </cell>
          <cell r="H734">
            <v>3489</v>
          </cell>
          <cell r="I734" t="str">
            <v>FCP4YD1W2.25-1</v>
          </cell>
          <cell r="J734" t="str">
            <v>4 YD 2.25-1 COMP 1X WK</v>
          </cell>
          <cell r="K734">
            <v>697.52</v>
          </cell>
          <cell r="L734">
            <v>697.52</v>
          </cell>
        </row>
        <row r="735">
          <cell r="A735" t="str">
            <v>M-EDGEWOODCOMMERCIALFCP4YD1W4-1</v>
          </cell>
          <cell r="B735" t="str">
            <v>MONTHLY ARREARS</v>
          </cell>
          <cell r="C735" t="str">
            <v>2111</v>
          </cell>
          <cell r="D735" t="str">
            <v>COMMERCIAL</v>
          </cell>
          <cell r="E735" t="b">
            <v>0</v>
          </cell>
          <cell r="F735" t="b">
            <v>0</v>
          </cell>
          <cell r="G735" t="str">
            <v>M-EDGEWOOD</v>
          </cell>
          <cell r="H735">
            <v>3491</v>
          </cell>
          <cell r="I735" t="str">
            <v>FCP4YD1W4-1</v>
          </cell>
          <cell r="J735" t="str">
            <v>4YD 4-1 COMP 1X WK</v>
          </cell>
          <cell r="K735">
            <v>1119.56</v>
          </cell>
          <cell r="L735">
            <v>1119.56</v>
          </cell>
        </row>
        <row r="736">
          <cell r="A736" t="str">
            <v>M-FIFECOMMERCIALFCP4YD1W4-1</v>
          </cell>
          <cell r="B736" t="str">
            <v>MONTHLY ARREARS</v>
          </cell>
          <cell r="C736" t="str">
            <v>2111</v>
          </cell>
          <cell r="D736" t="str">
            <v>COMMERCIAL</v>
          </cell>
          <cell r="E736" t="b">
            <v>0</v>
          </cell>
          <cell r="F736" t="b">
            <v>0</v>
          </cell>
          <cell r="G736" t="str">
            <v>M-FIFE</v>
          </cell>
          <cell r="H736">
            <v>3491</v>
          </cell>
          <cell r="I736" t="str">
            <v>FCP4YD1W4-1</v>
          </cell>
          <cell r="J736" t="str">
            <v>4YD 4-1 COMP 1X WK</v>
          </cell>
          <cell r="K736">
            <v>1119.56</v>
          </cell>
          <cell r="L736">
            <v>1119.56</v>
          </cell>
        </row>
        <row r="737">
          <cell r="A737" t="str">
            <v>MURREYSCOMMERCIALFCP4YD1W4-1</v>
          </cell>
          <cell r="B737" t="str">
            <v>MONTHLY ARREARS</v>
          </cell>
          <cell r="C737" t="str">
            <v>2111</v>
          </cell>
          <cell r="D737" t="str">
            <v>COMMERCIAL</v>
          </cell>
          <cell r="E737" t="b">
            <v>0</v>
          </cell>
          <cell r="F737" t="b">
            <v>0</v>
          </cell>
          <cell r="G737" t="str">
            <v>MURREYS</v>
          </cell>
          <cell r="H737">
            <v>3491</v>
          </cell>
          <cell r="I737" t="str">
            <v>FCP4YD1W4-1</v>
          </cell>
          <cell r="J737" t="str">
            <v>4YD 4-1 COMP 1X WK</v>
          </cell>
          <cell r="K737">
            <v>1119.56</v>
          </cell>
          <cell r="L737">
            <v>1119.56</v>
          </cell>
        </row>
        <row r="738">
          <cell r="A738" t="str">
            <v>M-EDGEWOODCOMMERCIALFCP4YD1W5-1</v>
          </cell>
          <cell r="B738" t="str">
            <v>MONTHLY ARREARS</v>
          </cell>
          <cell r="C738" t="str">
            <v>2111</v>
          </cell>
          <cell r="D738" t="str">
            <v>COMMERCIAL</v>
          </cell>
          <cell r="E738" t="b">
            <v>0</v>
          </cell>
          <cell r="F738" t="b">
            <v>0</v>
          </cell>
          <cell r="G738" t="str">
            <v>M-EDGEWOOD</v>
          </cell>
          <cell r="H738">
            <v>3488</v>
          </cell>
          <cell r="I738" t="str">
            <v>FCP4YD1W5-1</v>
          </cell>
          <cell r="J738" t="str">
            <v>4 YD 5-1 COMP 1X WK</v>
          </cell>
          <cell r="K738">
            <v>1268</v>
          </cell>
          <cell r="L738">
            <v>1268</v>
          </cell>
        </row>
        <row r="739">
          <cell r="A739" t="str">
            <v>M-FIFECOMMERCIALFCP4YD1W5-1</v>
          </cell>
          <cell r="B739" t="str">
            <v>MONTHLY ARREARS</v>
          </cell>
          <cell r="C739" t="str">
            <v>2111</v>
          </cell>
          <cell r="D739" t="str">
            <v>COMMERCIAL</v>
          </cell>
          <cell r="E739" t="b">
            <v>0</v>
          </cell>
          <cell r="F739" t="b">
            <v>0</v>
          </cell>
          <cell r="G739" t="str">
            <v>M-FIFE</v>
          </cell>
          <cell r="H739">
            <v>3488</v>
          </cell>
          <cell r="I739" t="str">
            <v>FCP4YD1W5-1</v>
          </cell>
          <cell r="J739" t="str">
            <v>4 YD 5-1 COMP 1X WK</v>
          </cell>
          <cell r="K739">
            <v>1268</v>
          </cell>
          <cell r="L739">
            <v>1268</v>
          </cell>
        </row>
        <row r="740">
          <cell r="A740" t="str">
            <v>MURREYSCOMMERCIALFCP4YD1W5-1</v>
          </cell>
          <cell r="B740" t="str">
            <v>MONTHLY ARREARS</v>
          </cell>
          <cell r="C740" t="str">
            <v>2111</v>
          </cell>
          <cell r="D740" t="str">
            <v>COMMERCIAL</v>
          </cell>
          <cell r="E740" t="b">
            <v>0</v>
          </cell>
          <cell r="F740" t="b">
            <v>0</v>
          </cell>
          <cell r="G740" t="str">
            <v>MURREYS</v>
          </cell>
          <cell r="H740">
            <v>3488</v>
          </cell>
          <cell r="I740" t="str">
            <v>FCP4YD1W5-1</v>
          </cell>
          <cell r="J740" t="str">
            <v>4 YD 5-1 COMP 1X WK</v>
          </cell>
          <cell r="K740">
            <v>1268</v>
          </cell>
          <cell r="L740">
            <v>1268</v>
          </cell>
        </row>
        <row r="741">
          <cell r="A741" t="str">
            <v>PUYALLUPCOMMERCIALFCP4YD3W</v>
          </cell>
          <cell r="B741" t="str">
            <v>MONTHLY ARREARS</v>
          </cell>
          <cell r="C741" t="str">
            <v>2111</v>
          </cell>
          <cell r="D741" t="str">
            <v>COMMERCIAL</v>
          </cell>
          <cell r="E741" t="b">
            <v>0</v>
          </cell>
          <cell r="F741" t="b">
            <v>0</v>
          </cell>
          <cell r="G741" t="str">
            <v>PUYALLUP</v>
          </cell>
          <cell r="H741">
            <v>3128</v>
          </cell>
          <cell r="I741" t="str">
            <v>FCP4YD3W</v>
          </cell>
          <cell r="J741" t="str">
            <v>4YD COMPACTOR 3X WKLY</v>
          </cell>
          <cell r="K741">
            <v>11360.1</v>
          </cell>
          <cell r="L741">
            <v>11360.1</v>
          </cell>
        </row>
        <row r="742">
          <cell r="A742" t="str">
            <v>M-EDGEWOODCOMMERCIALFCP4YDEOW5-1</v>
          </cell>
          <cell r="B742" t="str">
            <v>MONTHLY ARREARS</v>
          </cell>
          <cell r="C742" t="str">
            <v>2111</v>
          </cell>
          <cell r="D742" t="str">
            <v>COMMERCIAL</v>
          </cell>
          <cell r="E742" t="b">
            <v>0</v>
          </cell>
          <cell r="F742" t="b">
            <v>0</v>
          </cell>
          <cell r="G742" t="str">
            <v>M-EDGEWOOD</v>
          </cell>
          <cell r="H742">
            <v>3486</v>
          </cell>
          <cell r="I742" t="str">
            <v>FCP4YDEOW5-1</v>
          </cell>
          <cell r="J742" t="str">
            <v>4 YD 5-1 COMP EOW</v>
          </cell>
          <cell r="K742">
            <v>634.49</v>
          </cell>
          <cell r="L742">
            <v>634.49</v>
          </cell>
        </row>
        <row r="743">
          <cell r="A743" t="str">
            <v>M-FIFECOMMERCIALFCP4YDEOW5-1</v>
          </cell>
          <cell r="B743" t="str">
            <v>MONTHLY ARREARS</v>
          </cell>
          <cell r="C743" t="str">
            <v>2111</v>
          </cell>
          <cell r="D743" t="str">
            <v>COMMERCIAL</v>
          </cell>
          <cell r="E743" t="b">
            <v>0</v>
          </cell>
          <cell r="F743" t="b">
            <v>0</v>
          </cell>
          <cell r="G743" t="str">
            <v>M-FIFE</v>
          </cell>
          <cell r="H743">
            <v>3486</v>
          </cell>
          <cell r="I743" t="str">
            <v>FCP4YDEOW5-1</v>
          </cell>
          <cell r="J743" t="str">
            <v>4 YD 5-1 COMP EOW</v>
          </cell>
          <cell r="K743">
            <v>634.49</v>
          </cell>
          <cell r="L743">
            <v>634.49</v>
          </cell>
        </row>
        <row r="744">
          <cell r="A744" t="str">
            <v>MURREYSCOMMERCIALFCP4YDEOW5-1</v>
          </cell>
          <cell r="B744" t="str">
            <v>MONTHLY ARREARS</v>
          </cell>
          <cell r="C744" t="str">
            <v>2111</v>
          </cell>
          <cell r="D744" t="str">
            <v>COMMERCIAL</v>
          </cell>
          <cell r="E744" t="b">
            <v>0</v>
          </cell>
          <cell r="F744" t="b">
            <v>0</v>
          </cell>
          <cell r="G744" t="str">
            <v>MURREYS</v>
          </cell>
          <cell r="H744">
            <v>3486</v>
          </cell>
          <cell r="I744" t="str">
            <v>FCP4YDEOW5-1</v>
          </cell>
          <cell r="J744" t="str">
            <v>4 YD 5-1 COMP EOW</v>
          </cell>
          <cell r="K744">
            <v>634.49</v>
          </cell>
          <cell r="L744">
            <v>634.49</v>
          </cell>
        </row>
        <row r="745">
          <cell r="A745" t="str">
            <v>M-EDGEWOODCOMMERCIALFCP4YDOC5-1</v>
          </cell>
          <cell r="B745" t="str">
            <v>MONTHLY ARREARS</v>
          </cell>
          <cell r="C745" t="str">
            <v>2111</v>
          </cell>
          <cell r="D745" t="str">
            <v>COMMERCIAL</v>
          </cell>
          <cell r="E745" t="b">
            <v>1</v>
          </cell>
          <cell r="F745" t="b">
            <v>0</v>
          </cell>
          <cell r="G745" t="str">
            <v>M-EDGEWOOD</v>
          </cell>
          <cell r="H745">
            <v>3490</v>
          </cell>
          <cell r="I745" t="str">
            <v>FCP4YDOC5-1</v>
          </cell>
          <cell r="J745" t="str">
            <v>4 YD 5-1 COMP ON CALL</v>
          </cell>
          <cell r="K745">
            <v>299.41000000000003</v>
          </cell>
          <cell r="L745">
            <v>299.41000000000003</v>
          </cell>
        </row>
        <row r="746">
          <cell r="A746" t="str">
            <v>M-FIFECOMMERCIALFCP4YDOC5-1</v>
          </cell>
          <cell r="B746" t="str">
            <v>MONTHLY ARREARS</v>
          </cell>
          <cell r="C746" t="str">
            <v>2111</v>
          </cell>
          <cell r="D746" t="str">
            <v>COMMERCIAL</v>
          </cell>
          <cell r="E746" t="b">
            <v>1</v>
          </cell>
          <cell r="F746" t="b">
            <v>0</v>
          </cell>
          <cell r="G746" t="str">
            <v>M-FIFE</v>
          </cell>
          <cell r="H746">
            <v>3490</v>
          </cell>
          <cell r="I746" t="str">
            <v>FCP4YDOC5-1</v>
          </cell>
          <cell r="J746" t="str">
            <v>4 YD 5-1 COMP ON CALL</v>
          </cell>
          <cell r="K746">
            <v>299.41000000000003</v>
          </cell>
          <cell r="L746">
            <v>299.41000000000003</v>
          </cell>
        </row>
        <row r="747">
          <cell r="A747" t="str">
            <v>MURREYSCOMMERCIALFCP4YDOC5-1</v>
          </cell>
          <cell r="B747" t="str">
            <v>MONTHLY ARREARS</v>
          </cell>
          <cell r="C747" t="str">
            <v>2111</v>
          </cell>
          <cell r="D747" t="str">
            <v>COMMERCIAL</v>
          </cell>
          <cell r="E747" t="b">
            <v>1</v>
          </cell>
          <cell r="F747" t="b">
            <v>0</v>
          </cell>
          <cell r="G747" t="str">
            <v>MURREYS</v>
          </cell>
          <cell r="H747">
            <v>3490</v>
          </cell>
          <cell r="I747" t="str">
            <v>FCP4YDOC5-1</v>
          </cell>
          <cell r="J747" t="str">
            <v>4 YD 5-1 COMP ON CALL</v>
          </cell>
          <cell r="K747">
            <v>299.41000000000003</v>
          </cell>
          <cell r="L747">
            <v>299.41000000000003</v>
          </cell>
        </row>
        <row r="748">
          <cell r="A748" t="str">
            <v>MILTONCOMMERCIALFCP6YD1W</v>
          </cell>
          <cell r="B748" t="str">
            <v>MONTHLY ARREARS</v>
          </cell>
          <cell r="C748" t="str">
            <v>2111</v>
          </cell>
          <cell r="D748" t="str">
            <v>COMMERCIAL</v>
          </cell>
          <cell r="E748" t="b">
            <v>0</v>
          </cell>
          <cell r="F748" t="b">
            <v>0</v>
          </cell>
          <cell r="G748" t="str">
            <v>MILTON</v>
          </cell>
          <cell r="H748">
            <v>3287</v>
          </cell>
          <cell r="I748" t="str">
            <v>FCP6YD1W</v>
          </cell>
          <cell r="J748" t="str">
            <v>6YD COMPACTOR 1X WKLY</v>
          </cell>
          <cell r="K748">
            <v>3848.04</v>
          </cell>
          <cell r="L748">
            <v>3848.04</v>
          </cell>
        </row>
        <row r="749">
          <cell r="A749" t="str">
            <v>PUYALLUPCOMMERCIALFCP6YD1W</v>
          </cell>
          <cell r="B749" t="str">
            <v>MONTHLY ARREARS</v>
          </cell>
          <cell r="C749" t="str">
            <v>2111</v>
          </cell>
          <cell r="D749" t="str">
            <v>COMMERCIAL</v>
          </cell>
          <cell r="E749" t="b">
            <v>0</v>
          </cell>
          <cell r="F749" t="b">
            <v>0</v>
          </cell>
          <cell r="G749" t="str">
            <v>PUYALLUP</v>
          </cell>
          <cell r="H749">
            <v>3287</v>
          </cell>
          <cell r="I749" t="str">
            <v>FCP6YD1W</v>
          </cell>
          <cell r="J749" t="str">
            <v>6YD COMPACTOR 1X WKLY</v>
          </cell>
          <cell r="K749">
            <v>5397.44</v>
          </cell>
          <cell r="L749">
            <v>5397.44</v>
          </cell>
        </row>
        <row r="750">
          <cell r="A750" t="str">
            <v>MURREYSCOMMERCIALFCP6YD1W4-1</v>
          </cell>
          <cell r="B750" t="str">
            <v>MONTHLY ARREARS</v>
          </cell>
          <cell r="C750" t="str">
            <v>2111</v>
          </cell>
          <cell r="D750" t="str">
            <v>COMMERCIAL</v>
          </cell>
          <cell r="E750" t="b">
            <v>0</v>
          </cell>
          <cell r="F750" t="b">
            <v>0</v>
          </cell>
          <cell r="G750" t="str">
            <v>MURREYS</v>
          </cell>
          <cell r="H750">
            <v>3506</v>
          </cell>
          <cell r="I750" t="str">
            <v>FCP6YD1W4-1</v>
          </cell>
          <cell r="J750" t="str">
            <v>6YD COMPACTOR 1X WKLY</v>
          </cell>
          <cell r="K750">
            <v>1592.1</v>
          </cell>
          <cell r="L750">
            <v>1592.1</v>
          </cell>
        </row>
        <row r="751">
          <cell r="A751" t="str">
            <v>PUYALLUPCOMMERCIALFCP6YD2W</v>
          </cell>
          <cell r="B751" t="str">
            <v>MONTHLY ARREARS</v>
          </cell>
          <cell r="C751" t="str">
            <v>2111</v>
          </cell>
          <cell r="D751" t="str">
            <v>COMMERCIAL</v>
          </cell>
          <cell r="E751" t="b">
            <v>0</v>
          </cell>
          <cell r="F751" t="b">
            <v>0</v>
          </cell>
          <cell r="G751" t="str">
            <v>PUYALLUP</v>
          </cell>
          <cell r="H751">
            <v>3158</v>
          </cell>
          <cell r="I751" t="str">
            <v>FCP6YD2W</v>
          </cell>
          <cell r="J751" t="str">
            <v>6YD COMPACTOR 2X WKLY</v>
          </cell>
          <cell r="K751">
            <v>10794.88</v>
          </cell>
          <cell r="L751">
            <v>10794.88</v>
          </cell>
        </row>
        <row r="752">
          <cell r="A752" t="str">
            <v>M-EDGEWOODCOMMERCIALFCP6YD2W3-1</v>
          </cell>
          <cell r="B752" t="str">
            <v>MONTHLY ARREARS</v>
          </cell>
          <cell r="C752" t="str">
            <v>2111</v>
          </cell>
          <cell r="D752" t="str">
            <v>COMMERCIAL</v>
          </cell>
          <cell r="E752" t="b">
            <v>0</v>
          </cell>
          <cell r="F752" t="b">
            <v>0</v>
          </cell>
          <cell r="G752" t="str">
            <v>M-EDGEWOOD</v>
          </cell>
          <cell r="H752">
            <v>3484</v>
          </cell>
          <cell r="I752" t="str">
            <v>FCP6YD2W3-1</v>
          </cell>
          <cell r="J752" t="str">
            <v>6 YD 3-1 COMP 2X WK</v>
          </cell>
          <cell r="K752">
            <v>2468.27</v>
          </cell>
          <cell r="L752">
            <v>2468.27</v>
          </cell>
        </row>
        <row r="753">
          <cell r="A753" t="str">
            <v>M-FIFECOMMERCIALFCP6YD2W3-1</v>
          </cell>
          <cell r="B753" t="str">
            <v>MONTHLY ARREARS</v>
          </cell>
          <cell r="C753" t="str">
            <v>2111</v>
          </cell>
          <cell r="D753" t="str">
            <v>COMMERCIAL</v>
          </cell>
          <cell r="E753" t="b">
            <v>0</v>
          </cell>
          <cell r="F753" t="b">
            <v>0</v>
          </cell>
          <cell r="G753" t="str">
            <v>M-FIFE</v>
          </cell>
          <cell r="H753">
            <v>3484</v>
          </cell>
          <cell r="I753" t="str">
            <v>FCP6YD2W3-1</v>
          </cell>
          <cell r="J753" t="str">
            <v>6 YD 3-1 COMP 2X WK</v>
          </cell>
          <cell r="K753">
            <v>2468.27</v>
          </cell>
          <cell r="L753">
            <v>2468.27</v>
          </cell>
        </row>
        <row r="754">
          <cell r="A754" t="str">
            <v>MURREYSCOMMERCIALFCP6YD2W3-1</v>
          </cell>
          <cell r="B754" t="str">
            <v>MONTHLY ARREARS</v>
          </cell>
          <cell r="C754" t="str">
            <v>2111</v>
          </cell>
          <cell r="D754" t="str">
            <v>COMMERCIAL</v>
          </cell>
          <cell r="E754" t="b">
            <v>0</v>
          </cell>
          <cell r="F754" t="b">
            <v>0</v>
          </cell>
          <cell r="G754" t="str">
            <v>MURREYS</v>
          </cell>
          <cell r="H754">
            <v>3484</v>
          </cell>
          <cell r="I754" t="str">
            <v>FCP6YD2W3-1</v>
          </cell>
          <cell r="J754" t="str">
            <v>6 YD 3-1 COMP 2X WK</v>
          </cell>
          <cell r="K754">
            <v>2468.27</v>
          </cell>
          <cell r="L754">
            <v>2468.27</v>
          </cell>
        </row>
        <row r="755">
          <cell r="A755" t="str">
            <v>M-EDGEWOODCOMMERCIALFCP6YD2W4-1</v>
          </cell>
          <cell r="B755" t="str">
            <v>MONTHLY ARREARS</v>
          </cell>
          <cell r="C755" t="str">
            <v>2111</v>
          </cell>
          <cell r="D755" t="str">
            <v>COMMERCIAL</v>
          </cell>
          <cell r="E755" t="b">
            <v>0</v>
          </cell>
          <cell r="F755" t="b">
            <v>0</v>
          </cell>
          <cell r="G755" t="str">
            <v>M-EDGEWOOD</v>
          </cell>
          <cell r="H755">
            <v>3487</v>
          </cell>
          <cell r="I755" t="str">
            <v>FCP6YD2W4-1</v>
          </cell>
          <cell r="J755" t="str">
            <v>6 YD 4-1 COMP 2X WK</v>
          </cell>
          <cell r="K755">
            <v>3184.2</v>
          </cell>
          <cell r="L755">
            <v>3184.2</v>
          </cell>
        </row>
        <row r="756">
          <cell r="A756" t="str">
            <v>M-FIFECOMMERCIALFCP6YD2W4-1</v>
          </cell>
          <cell r="B756" t="str">
            <v>MONTHLY ARREARS</v>
          </cell>
          <cell r="C756" t="str">
            <v>2111</v>
          </cell>
          <cell r="D756" t="str">
            <v>COMMERCIAL</v>
          </cell>
          <cell r="E756" t="b">
            <v>0</v>
          </cell>
          <cell r="F756" t="b">
            <v>0</v>
          </cell>
          <cell r="G756" t="str">
            <v>M-FIFE</v>
          </cell>
          <cell r="H756">
            <v>3487</v>
          </cell>
          <cell r="I756" t="str">
            <v>FCP6YD2W4-1</v>
          </cell>
          <cell r="J756" t="str">
            <v>6 YD 4-1 COMP 2X WK</v>
          </cell>
          <cell r="K756">
            <v>3184.2</v>
          </cell>
          <cell r="L756">
            <v>3184.2</v>
          </cell>
        </row>
        <row r="757">
          <cell r="A757" t="str">
            <v>MURREYSCOMMERCIALFCP6YD2W4-1</v>
          </cell>
          <cell r="B757" t="str">
            <v>MONTHLY ARREARS</v>
          </cell>
          <cell r="C757" t="str">
            <v>2111</v>
          </cell>
          <cell r="D757" t="str">
            <v>COMMERCIAL</v>
          </cell>
          <cell r="E757" t="b">
            <v>0</v>
          </cell>
          <cell r="F757" t="b">
            <v>0</v>
          </cell>
          <cell r="G757" t="str">
            <v>MURREYS</v>
          </cell>
          <cell r="H757">
            <v>3487</v>
          </cell>
          <cell r="I757" t="str">
            <v>FCP6YD2W4-1</v>
          </cell>
          <cell r="J757" t="str">
            <v>6 YD 4-1 COMP 2X WK</v>
          </cell>
          <cell r="K757">
            <v>3184.2</v>
          </cell>
          <cell r="L757">
            <v>3184.2</v>
          </cell>
        </row>
        <row r="758">
          <cell r="A758" t="str">
            <v>PUYALLUPCOMMERCIALFCP6YD3W</v>
          </cell>
          <cell r="B758" t="str">
            <v>MONTHLY ARREARS</v>
          </cell>
          <cell r="C758" t="str">
            <v>2111</v>
          </cell>
          <cell r="D758" t="str">
            <v>COMMERCIAL</v>
          </cell>
          <cell r="E758" t="b">
            <v>0</v>
          </cell>
          <cell r="F758" t="b">
            <v>0</v>
          </cell>
          <cell r="G758" t="str">
            <v>PUYALLUP</v>
          </cell>
          <cell r="H758">
            <v>3451</v>
          </cell>
          <cell r="I758" t="str">
            <v>FCP6YD3W</v>
          </cell>
          <cell r="J758" t="str">
            <v>6 YD COMPACTOR 3X WKLY</v>
          </cell>
          <cell r="K758">
            <v>16192.32</v>
          </cell>
          <cell r="L758">
            <v>16192.32</v>
          </cell>
        </row>
        <row r="759">
          <cell r="A759" t="str">
            <v>VASHONROLL OFFHRLYADDEMPL-RO</v>
          </cell>
          <cell r="B759" t="str">
            <v>ONCALL</v>
          </cell>
          <cell r="C759" t="str">
            <v>2111</v>
          </cell>
          <cell r="D759" t="str">
            <v>ROLL OFF</v>
          </cell>
          <cell r="E759" t="b">
            <v>0</v>
          </cell>
          <cell r="F759" t="b">
            <v>0</v>
          </cell>
          <cell r="G759" t="str">
            <v>VASHON</v>
          </cell>
          <cell r="H759">
            <v>3463</v>
          </cell>
          <cell r="I759" t="str">
            <v>HRLYADDEMPL-RO</v>
          </cell>
          <cell r="J759" t="str">
            <v>TRUCK &amp; DRIVER ADD EMPLOY</v>
          </cell>
          <cell r="K759">
            <v>37</v>
          </cell>
          <cell r="L759">
            <v>37</v>
          </cell>
        </row>
        <row r="760">
          <cell r="A760" t="str">
            <v>VASHONROLL OFFHRLYTRUCKTIME-RO</v>
          </cell>
          <cell r="B760" t="str">
            <v>ONCALL</v>
          </cell>
          <cell r="C760" t="str">
            <v>2111</v>
          </cell>
          <cell r="D760" t="str">
            <v>ROLL OFF</v>
          </cell>
          <cell r="E760" t="b">
            <v>0</v>
          </cell>
          <cell r="F760" t="b">
            <v>0</v>
          </cell>
          <cell r="G760" t="str">
            <v>VASHON</v>
          </cell>
          <cell r="H760">
            <v>3462</v>
          </cell>
          <cell r="I760" t="str">
            <v>HRLYTRUCKTIME-RO</v>
          </cell>
          <cell r="J760" t="str">
            <v>TRUCK &amp; DRIVER HRLY RATE</v>
          </cell>
          <cell r="K760">
            <v>79.28</v>
          </cell>
          <cell r="L760">
            <v>79.28</v>
          </cell>
        </row>
        <row r="761">
          <cell r="A761" t="str">
            <v>VASHONROLL OFFHRLYTRUCKTIMEMIN-RO</v>
          </cell>
          <cell r="B761" t="str">
            <v>ONCALL</v>
          </cell>
          <cell r="C761" t="str">
            <v>2111</v>
          </cell>
          <cell r="D761" t="str">
            <v>ROLL OFF</v>
          </cell>
          <cell r="E761" t="b">
            <v>0</v>
          </cell>
          <cell r="F761" t="b">
            <v>0</v>
          </cell>
          <cell r="G761" t="str">
            <v>VASHON</v>
          </cell>
          <cell r="H761">
            <v>3464</v>
          </cell>
          <cell r="I761" t="str">
            <v>HRLYTRUCKTIMEMIN-RO</v>
          </cell>
          <cell r="J761" t="str">
            <v>TRUCK &amp; DRIVER HRLY RATE</v>
          </cell>
          <cell r="K761">
            <v>158.56</v>
          </cell>
          <cell r="L761">
            <v>158.56</v>
          </cell>
        </row>
        <row r="762">
          <cell r="A762" t="str">
            <v>VASHONCOMMERCIALHWFEECANCOM</v>
          </cell>
          <cell r="B762" t="str">
            <v>MONTHLY ARREARS</v>
          </cell>
          <cell r="C762" t="str">
            <v>2111</v>
          </cell>
          <cell r="D762" t="str">
            <v>COMMERCIAL</v>
          </cell>
          <cell r="E762" t="b">
            <v>0</v>
          </cell>
          <cell r="F762" t="b">
            <v>0</v>
          </cell>
          <cell r="G762" t="str">
            <v>VASHON</v>
          </cell>
          <cell r="H762">
            <v>3507</v>
          </cell>
          <cell r="I762" t="str">
            <v>HWFEECANCOM</v>
          </cell>
          <cell r="J762" t="str">
            <v>KINGCNTY HAZARDOUSWASTEFE</v>
          </cell>
          <cell r="K762">
            <v>1.8</v>
          </cell>
          <cell r="L762">
            <v>1.8</v>
          </cell>
        </row>
        <row r="763">
          <cell r="A763" t="str">
            <v>VASHONCOMMERCIALHWFEECOMM</v>
          </cell>
          <cell r="B763" t="str">
            <v>MONTHLY ARREARS</v>
          </cell>
          <cell r="C763" t="str">
            <v>2111</v>
          </cell>
          <cell r="D763" t="str">
            <v>COMMERCIAL</v>
          </cell>
          <cell r="E763" t="b">
            <v>0</v>
          </cell>
          <cell r="F763" t="b">
            <v>0</v>
          </cell>
          <cell r="G763" t="str">
            <v>VASHON</v>
          </cell>
          <cell r="H763">
            <v>3191</v>
          </cell>
          <cell r="I763" t="str">
            <v>HWFEECOMM</v>
          </cell>
          <cell r="J763" t="str">
            <v>KINGCNTY HAZARDOUSWASTEFE</v>
          </cell>
          <cell r="K763">
            <v>14.82</v>
          </cell>
          <cell r="L763">
            <v>14.82</v>
          </cell>
        </row>
        <row r="764">
          <cell r="A764" t="str">
            <v>VASHONRESIDENTIALHWFEERES</v>
          </cell>
          <cell r="B764" t="str">
            <v>BI-MONTHLY SPLIT ODD</v>
          </cell>
          <cell r="C764" t="str">
            <v>2111</v>
          </cell>
          <cell r="D764" t="str">
            <v>RESIDENTIAL</v>
          </cell>
          <cell r="E764" t="b">
            <v>0</v>
          </cell>
          <cell r="F764" t="b">
            <v>0</v>
          </cell>
          <cell r="G764" t="str">
            <v>VASHON</v>
          </cell>
          <cell r="H764">
            <v>3190</v>
          </cell>
          <cell r="I764" t="str">
            <v>HWFEERES</v>
          </cell>
          <cell r="J764" t="str">
            <v>KINGCNTY HAZARDOUSWASTEFE</v>
          </cell>
          <cell r="K764">
            <v>2.08</v>
          </cell>
          <cell r="L764">
            <v>1.04</v>
          </cell>
        </row>
        <row r="765">
          <cell r="A765" t="str">
            <v>VASHONROLL OFFHWFEERO</v>
          </cell>
          <cell r="B765" t="str">
            <v>MONTHLY ARREARS</v>
          </cell>
          <cell r="C765" t="str">
            <v>2111</v>
          </cell>
          <cell r="D765" t="str">
            <v>ROLL OFF</v>
          </cell>
          <cell r="E765" t="b">
            <v>0</v>
          </cell>
          <cell r="F765" t="b">
            <v>0</v>
          </cell>
          <cell r="G765" t="str">
            <v>VASHON</v>
          </cell>
          <cell r="H765">
            <v>3263</v>
          </cell>
          <cell r="I765" t="str">
            <v>HWFEERO</v>
          </cell>
          <cell r="J765" t="str">
            <v>KINGCNTY HAZARDOUSWASTEFE</v>
          </cell>
          <cell r="K765">
            <v>56.96</v>
          </cell>
          <cell r="L765">
            <v>56.96</v>
          </cell>
        </row>
        <row r="766">
          <cell r="A766" t="str">
            <v>M-EDGEWOODMULTI-FAMILYM1.5YD1W</v>
          </cell>
          <cell r="B766" t="str">
            <v>MONTHLY ARREARS</v>
          </cell>
          <cell r="C766" t="str">
            <v>2111</v>
          </cell>
          <cell r="D766" t="str">
            <v>MULTI-FAMILY</v>
          </cell>
          <cell r="E766" t="b">
            <v>0</v>
          </cell>
          <cell r="F766" t="b">
            <v>0</v>
          </cell>
          <cell r="G766" t="str">
            <v>M-EDGEWOOD</v>
          </cell>
          <cell r="H766">
            <v>3203</v>
          </cell>
          <cell r="I766" t="str">
            <v>M1.5YD1W</v>
          </cell>
          <cell r="J766" t="str">
            <v>MF 1.5YD CONT 1X WKLY</v>
          </cell>
          <cell r="K766">
            <v>173.75</v>
          </cell>
          <cell r="L766">
            <v>173.75</v>
          </cell>
        </row>
        <row r="767">
          <cell r="A767" t="str">
            <v>M-FIFEMULTI-FAMILYM1.5YD1W</v>
          </cell>
          <cell r="B767" t="str">
            <v>MONTHLY ARREARS</v>
          </cell>
          <cell r="C767" t="str">
            <v>2111</v>
          </cell>
          <cell r="D767" t="str">
            <v>MULTI-FAMILY</v>
          </cell>
          <cell r="E767" t="b">
            <v>0</v>
          </cell>
          <cell r="F767" t="b">
            <v>0</v>
          </cell>
          <cell r="G767" t="str">
            <v>M-FIFE</v>
          </cell>
          <cell r="H767">
            <v>3203</v>
          </cell>
          <cell r="I767" t="str">
            <v>M1.5YD1W</v>
          </cell>
          <cell r="J767" t="str">
            <v>MF 1.5YD CONT 1X WKLY</v>
          </cell>
          <cell r="K767">
            <v>173.75</v>
          </cell>
          <cell r="L767">
            <v>173.75</v>
          </cell>
        </row>
        <row r="768">
          <cell r="A768" t="str">
            <v>MURREYSMULTI-FAMILYM1.5YD1W</v>
          </cell>
          <cell r="B768" t="str">
            <v>MONTHLY ARREARS</v>
          </cell>
          <cell r="C768" t="str">
            <v>2111</v>
          </cell>
          <cell r="D768" t="str">
            <v>MULTI-FAMILY</v>
          </cell>
          <cell r="E768" t="b">
            <v>0</v>
          </cell>
          <cell r="F768" t="b">
            <v>0</v>
          </cell>
          <cell r="G768" t="str">
            <v>MURREYS</v>
          </cell>
          <cell r="H768">
            <v>3203</v>
          </cell>
          <cell r="I768" t="str">
            <v>M1.5YD1W</v>
          </cell>
          <cell r="J768" t="str">
            <v>MF 1.5YD CONT 1X WKLY</v>
          </cell>
          <cell r="K768">
            <v>173.75</v>
          </cell>
          <cell r="L768">
            <v>173.75</v>
          </cell>
        </row>
        <row r="769">
          <cell r="A769" t="str">
            <v>PUYALLUPMULTI-FAMILYM1.5YD1W</v>
          </cell>
          <cell r="B769" t="str">
            <v>MONTHLY ARREARS</v>
          </cell>
          <cell r="C769" t="str">
            <v>2111</v>
          </cell>
          <cell r="D769" t="str">
            <v>MULTI-FAMILY</v>
          </cell>
          <cell r="E769" t="b">
            <v>0</v>
          </cell>
          <cell r="F769" t="b">
            <v>0</v>
          </cell>
          <cell r="G769" t="str">
            <v>PUYALLUP</v>
          </cell>
          <cell r="H769">
            <v>3203</v>
          </cell>
          <cell r="I769" t="str">
            <v>M1.5YD1W</v>
          </cell>
          <cell r="J769" t="str">
            <v>MF 1.5YD CONT 1X WKLY</v>
          </cell>
          <cell r="K769">
            <v>406.08</v>
          </cell>
          <cell r="L769">
            <v>406.08</v>
          </cell>
        </row>
        <row r="770">
          <cell r="A770" t="str">
            <v>M-EDGEWOODMULTI-FAMILYM1.5YD2W</v>
          </cell>
          <cell r="B770" t="str">
            <v>MONTHLY ARREARS</v>
          </cell>
          <cell r="C770" t="str">
            <v>2111</v>
          </cell>
          <cell r="D770" t="str">
            <v>MULTI-FAMILY</v>
          </cell>
          <cell r="E770" t="b">
            <v>0</v>
          </cell>
          <cell r="F770" t="b">
            <v>0</v>
          </cell>
          <cell r="G770" t="str">
            <v>M-EDGEWOOD</v>
          </cell>
          <cell r="H770">
            <v>2300</v>
          </cell>
          <cell r="I770" t="str">
            <v>M1.5YD2W</v>
          </cell>
          <cell r="J770" t="str">
            <v>MF 1.5YD CONT 2X WKLY</v>
          </cell>
          <cell r="K770">
            <v>347.5</v>
          </cell>
          <cell r="L770">
            <v>347.5</v>
          </cell>
        </row>
        <row r="771">
          <cell r="A771" t="str">
            <v>M-FIFEMULTI-FAMILYM1.5YD2W</v>
          </cell>
          <cell r="B771" t="str">
            <v>MONTHLY ARREARS</v>
          </cell>
          <cell r="C771" t="str">
            <v>2111</v>
          </cell>
          <cell r="D771" t="str">
            <v>MULTI-FAMILY</v>
          </cell>
          <cell r="E771" t="b">
            <v>0</v>
          </cell>
          <cell r="F771" t="b">
            <v>0</v>
          </cell>
          <cell r="G771" t="str">
            <v>M-FIFE</v>
          </cell>
          <cell r="H771">
            <v>2300</v>
          </cell>
          <cell r="I771" t="str">
            <v>M1.5YD2W</v>
          </cell>
          <cell r="J771" t="str">
            <v>MF 1.5YD CONT 2X WKLY</v>
          </cell>
          <cell r="K771">
            <v>347.5</v>
          </cell>
          <cell r="L771">
            <v>347.5</v>
          </cell>
        </row>
        <row r="772">
          <cell r="A772" t="str">
            <v>MURREYSMULTI-FAMILYM1.5YD2W</v>
          </cell>
          <cell r="B772" t="str">
            <v>MONTHLY ARREARS</v>
          </cell>
          <cell r="C772" t="str">
            <v>2111</v>
          </cell>
          <cell r="D772" t="str">
            <v>MULTI-FAMILY</v>
          </cell>
          <cell r="E772" t="b">
            <v>0</v>
          </cell>
          <cell r="F772" t="b">
            <v>0</v>
          </cell>
          <cell r="G772" t="str">
            <v>MURREYS</v>
          </cell>
          <cell r="H772">
            <v>2300</v>
          </cell>
          <cell r="I772" t="str">
            <v>M1.5YD2W</v>
          </cell>
          <cell r="J772" t="str">
            <v>MF 1.5YD CONT 2X WKLY</v>
          </cell>
          <cell r="K772">
            <v>347.5</v>
          </cell>
          <cell r="L772">
            <v>347.5</v>
          </cell>
        </row>
        <row r="773">
          <cell r="A773" t="str">
            <v>PUYALLUPMULTI-FAMILYM1.5YD2W</v>
          </cell>
          <cell r="B773" t="str">
            <v>MONTHLY ARREARS</v>
          </cell>
          <cell r="C773" t="str">
            <v>2111</v>
          </cell>
          <cell r="D773" t="str">
            <v>MULTI-FAMILY</v>
          </cell>
          <cell r="E773" t="b">
            <v>0</v>
          </cell>
          <cell r="F773" t="b">
            <v>0</v>
          </cell>
          <cell r="G773" t="str">
            <v>PUYALLUP</v>
          </cell>
          <cell r="H773">
            <v>2300</v>
          </cell>
          <cell r="I773" t="str">
            <v>M1.5YD2W</v>
          </cell>
          <cell r="J773" t="str">
            <v>MF 1.5YD CONT 2X WKLY</v>
          </cell>
          <cell r="K773">
            <v>825.9</v>
          </cell>
          <cell r="L773">
            <v>825.9</v>
          </cell>
        </row>
        <row r="774">
          <cell r="A774" t="str">
            <v>M-FIFEMULTI-FAMILYM1.5YD3W</v>
          </cell>
          <cell r="B774" t="str">
            <v>BI-MONTHLY SPLIT EVEN</v>
          </cell>
          <cell r="C774" t="str">
            <v>2111</v>
          </cell>
          <cell r="D774" t="str">
            <v>MULTI-FAMILY</v>
          </cell>
          <cell r="E774" t="b">
            <v>0</v>
          </cell>
          <cell r="F774" t="b">
            <v>0</v>
          </cell>
          <cell r="G774" t="str">
            <v>M-FIFE</v>
          </cell>
          <cell r="H774">
            <v>3310</v>
          </cell>
          <cell r="I774" t="str">
            <v>M1.5YD3W</v>
          </cell>
          <cell r="J774" t="str">
            <v>MF 1.5YD CONT 3X WKLY</v>
          </cell>
          <cell r="K774">
            <v>521.25</v>
          </cell>
          <cell r="L774">
            <v>260.625</v>
          </cell>
        </row>
        <row r="775">
          <cell r="A775" t="str">
            <v>MURREYSMULTI-FAMILYM1.5YD3W</v>
          </cell>
          <cell r="B775" t="str">
            <v>BI-MONTHLY SPLIT EVEN</v>
          </cell>
          <cell r="C775" t="str">
            <v>2111</v>
          </cell>
          <cell r="D775" t="str">
            <v>MULTI-FAMILY</v>
          </cell>
          <cell r="E775" t="b">
            <v>0</v>
          </cell>
          <cell r="F775" t="b">
            <v>0</v>
          </cell>
          <cell r="G775" t="str">
            <v>MURREYS</v>
          </cell>
          <cell r="H775">
            <v>3310</v>
          </cell>
          <cell r="I775" t="str">
            <v>M1.5YD3W</v>
          </cell>
          <cell r="J775" t="str">
            <v>MF 1.5YD CONT 3X WKLY</v>
          </cell>
          <cell r="K775">
            <v>521.25</v>
          </cell>
          <cell r="L775">
            <v>260.625</v>
          </cell>
        </row>
        <row r="776">
          <cell r="A776" t="str">
            <v>PUYALLUPMULTI-FAMILYM1.5YD3W</v>
          </cell>
          <cell r="B776" t="str">
            <v>BI-MONTHLY SPLIT EVEN</v>
          </cell>
          <cell r="C776" t="str">
            <v>2111</v>
          </cell>
          <cell r="D776" t="str">
            <v>MULTI-FAMILY</v>
          </cell>
          <cell r="E776" t="b">
            <v>0</v>
          </cell>
          <cell r="F776" t="b">
            <v>0</v>
          </cell>
          <cell r="G776" t="str">
            <v>PUYALLUP</v>
          </cell>
          <cell r="H776">
            <v>3310</v>
          </cell>
          <cell r="I776" t="str">
            <v>M1.5YD3W</v>
          </cell>
          <cell r="J776" t="str">
            <v>MF 1.5YD CONT 3X WKLY</v>
          </cell>
          <cell r="K776">
            <v>1244.08</v>
          </cell>
          <cell r="L776">
            <v>622.04</v>
          </cell>
        </row>
        <row r="777">
          <cell r="A777" t="str">
            <v>M-EDGEWOODMULTI-FAMILYM1.5YDEX</v>
          </cell>
          <cell r="B777" t="str">
            <v>MONTHLY ARREARS</v>
          </cell>
          <cell r="C777" t="str">
            <v>2111</v>
          </cell>
          <cell r="D777" t="str">
            <v>MULTI-FAMILY</v>
          </cell>
          <cell r="E777" t="b">
            <v>1</v>
          </cell>
          <cell r="F777" t="b">
            <v>0</v>
          </cell>
          <cell r="G777" t="str">
            <v>M-EDGEWOOD</v>
          </cell>
          <cell r="H777">
            <v>3017</v>
          </cell>
          <cell r="I777" t="str">
            <v>M1.5YDEX</v>
          </cell>
          <cell r="J777" t="str">
            <v>MF 1.5YD CONT EXTRA</v>
          </cell>
          <cell r="K777">
            <v>42.33</v>
          </cell>
          <cell r="L777">
            <v>42.33</v>
          </cell>
        </row>
        <row r="778">
          <cell r="A778" t="str">
            <v>M-FIFEMULTI-FAMILYM1.5YDEX</v>
          </cell>
          <cell r="B778" t="str">
            <v>MONTHLY ARREARS</v>
          </cell>
          <cell r="C778" t="str">
            <v>2111</v>
          </cell>
          <cell r="D778" t="str">
            <v>MULTI-FAMILY</v>
          </cell>
          <cell r="E778" t="b">
            <v>1</v>
          </cell>
          <cell r="F778" t="b">
            <v>0</v>
          </cell>
          <cell r="G778" t="str">
            <v>M-FIFE</v>
          </cell>
          <cell r="H778">
            <v>3017</v>
          </cell>
          <cell r="I778" t="str">
            <v>M1.5YDEX</v>
          </cell>
          <cell r="J778" t="str">
            <v>MF 1.5YD CONT EXTRA</v>
          </cell>
          <cell r="K778">
            <v>42.33</v>
          </cell>
          <cell r="L778">
            <v>42.33</v>
          </cell>
        </row>
        <row r="779">
          <cell r="A779" t="str">
            <v>MURREYSMULTI-FAMILYM1.5YDEX</v>
          </cell>
          <cell r="B779" t="str">
            <v>MONTHLY ARREARS</v>
          </cell>
          <cell r="C779" t="str">
            <v>2111</v>
          </cell>
          <cell r="D779" t="str">
            <v>MULTI-FAMILY</v>
          </cell>
          <cell r="E779" t="b">
            <v>1</v>
          </cell>
          <cell r="F779" t="b">
            <v>0</v>
          </cell>
          <cell r="G779" t="str">
            <v>MURREYS</v>
          </cell>
          <cell r="H779">
            <v>3017</v>
          </cell>
          <cell r="I779" t="str">
            <v>M1.5YDEX</v>
          </cell>
          <cell r="J779" t="str">
            <v>MF 1.5YD CONT EXTRA</v>
          </cell>
          <cell r="K779">
            <v>42.33</v>
          </cell>
          <cell r="L779">
            <v>42.33</v>
          </cell>
        </row>
        <row r="780">
          <cell r="A780" t="str">
            <v>M-EDGEWOODMULTI-FAMILYM1.5YDTPU</v>
          </cell>
          <cell r="B780" t="str">
            <v>MONTHLY ARREARS</v>
          </cell>
          <cell r="C780" t="str">
            <v>2111</v>
          </cell>
          <cell r="D780" t="str">
            <v>MULTI-FAMILY</v>
          </cell>
          <cell r="E780" t="b">
            <v>0</v>
          </cell>
          <cell r="F780" t="b">
            <v>0</v>
          </cell>
          <cell r="G780" t="str">
            <v>M-EDGEWOOD</v>
          </cell>
          <cell r="H780">
            <v>3232</v>
          </cell>
          <cell r="I780" t="str">
            <v>M1.5YDTPU</v>
          </cell>
          <cell r="J780" t="str">
            <v>MF 1.5YD TEMP CONT</v>
          </cell>
          <cell r="K780">
            <v>183.28</v>
          </cell>
          <cell r="L780">
            <v>183.28</v>
          </cell>
        </row>
        <row r="781">
          <cell r="A781" t="str">
            <v>M-FIFEMULTI-FAMILYM1.5YDTPU</v>
          </cell>
          <cell r="B781" t="str">
            <v>MONTHLY ARREARS</v>
          </cell>
          <cell r="C781" t="str">
            <v>2111</v>
          </cell>
          <cell r="D781" t="str">
            <v>MULTI-FAMILY</v>
          </cell>
          <cell r="E781" t="b">
            <v>0</v>
          </cell>
          <cell r="F781" t="b">
            <v>0</v>
          </cell>
          <cell r="G781" t="str">
            <v>M-FIFE</v>
          </cell>
          <cell r="H781">
            <v>3232</v>
          </cell>
          <cell r="I781" t="str">
            <v>M1.5YDTPU</v>
          </cell>
          <cell r="J781" t="str">
            <v>MF 1.5YD TEMP CONT</v>
          </cell>
          <cell r="K781">
            <v>183.28</v>
          </cell>
          <cell r="L781">
            <v>183.28</v>
          </cell>
        </row>
        <row r="782">
          <cell r="A782" t="str">
            <v>MURREYSMULTI-FAMILYM1.5YDTPU</v>
          </cell>
          <cell r="B782" t="str">
            <v>MONTHLY ARREARS</v>
          </cell>
          <cell r="C782" t="str">
            <v>2111</v>
          </cell>
          <cell r="D782" t="str">
            <v>MULTI-FAMILY</v>
          </cell>
          <cell r="E782" t="b">
            <v>0</v>
          </cell>
          <cell r="F782" t="b">
            <v>0</v>
          </cell>
          <cell r="G782" t="str">
            <v>MURREYS</v>
          </cell>
          <cell r="H782">
            <v>3232</v>
          </cell>
          <cell r="I782" t="str">
            <v>M1.5YDTPU</v>
          </cell>
          <cell r="J782" t="str">
            <v>MF 1.5YD TEMP CONT</v>
          </cell>
          <cell r="K782">
            <v>183.28</v>
          </cell>
          <cell r="L782">
            <v>183.28</v>
          </cell>
        </row>
        <row r="783">
          <cell r="A783" t="str">
            <v>M-EDGEWOODMULTI-FAMILYM1YD1W</v>
          </cell>
          <cell r="B783" t="str">
            <v>MONTHLY ARREARS</v>
          </cell>
          <cell r="C783" t="str">
            <v>2111</v>
          </cell>
          <cell r="D783" t="str">
            <v>MULTI-FAMILY</v>
          </cell>
          <cell r="E783" t="b">
            <v>0</v>
          </cell>
          <cell r="F783" t="b">
            <v>0</v>
          </cell>
          <cell r="G783" t="str">
            <v>M-EDGEWOOD</v>
          </cell>
          <cell r="H783">
            <v>3200</v>
          </cell>
          <cell r="I783" t="str">
            <v>M1YD1W</v>
          </cell>
          <cell r="J783" t="str">
            <v>MF 1YD CONT 1X WKLY</v>
          </cell>
          <cell r="K783">
            <v>123.85</v>
          </cell>
          <cell r="L783">
            <v>123.85</v>
          </cell>
        </row>
        <row r="784">
          <cell r="A784" t="str">
            <v>M-FIFEMULTI-FAMILYM1YD1W</v>
          </cell>
          <cell r="B784" t="str">
            <v>MONTHLY ARREARS</v>
          </cell>
          <cell r="C784" t="str">
            <v>2111</v>
          </cell>
          <cell r="D784" t="str">
            <v>MULTI-FAMILY</v>
          </cell>
          <cell r="E784" t="b">
            <v>0</v>
          </cell>
          <cell r="F784" t="b">
            <v>0</v>
          </cell>
          <cell r="G784" t="str">
            <v>M-FIFE</v>
          </cell>
          <cell r="H784">
            <v>3200</v>
          </cell>
          <cell r="I784" t="str">
            <v>M1YD1W</v>
          </cell>
          <cell r="J784" t="str">
            <v>MF 1YD CONT 1X WKLY</v>
          </cell>
          <cell r="K784">
            <v>123.85</v>
          </cell>
          <cell r="L784">
            <v>123.85</v>
          </cell>
        </row>
        <row r="785">
          <cell r="A785" t="str">
            <v>MURREYSMULTI-FAMILYM1YD1W</v>
          </cell>
          <cell r="B785" t="str">
            <v>MONTHLY ARREARS</v>
          </cell>
          <cell r="C785" t="str">
            <v>2111</v>
          </cell>
          <cell r="D785" t="str">
            <v>MULTI-FAMILY</v>
          </cell>
          <cell r="E785" t="b">
            <v>0</v>
          </cell>
          <cell r="F785" t="b">
            <v>0</v>
          </cell>
          <cell r="G785" t="str">
            <v>MURREYS</v>
          </cell>
          <cell r="H785">
            <v>3200</v>
          </cell>
          <cell r="I785" t="str">
            <v>M1YD1W</v>
          </cell>
          <cell r="J785" t="str">
            <v>MF 1YD CONT 1X WKLY</v>
          </cell>
          <cell r="K785">
            <v>123.85</v>
          </cell>
          <cell r="L785">
            <v>123.85</v>
          </cell>
        </row>
        <row r="786">
          <cell r="A786" t="str">
            <v>PUYALLUPMULTI-FAMILYM1YD1W</v>
          </cell>
          <cell r="B786" t="str">
            <v>MONTHLY ARREARS</v>
          </cell>
          <cell r="C786" t="str">
            <v>2111</v>
          </cell>
          <cell r="D786" t="str">
            <v>MULTI-FAMILY</v>
          </cell>
          <cell r="E786" t="b">
            <v>0</v>
          </cell>
          <cell r="F786" t="b">
            <v>0</v>
          </cell>
          <cell r="G786" t="str">
            <v>PUYALLUP</v>
          </cell>
          <cell r="H786">
            <v>3200</v>
          </cell>
          <cell r="I786" t="str">
            <v>M1YD1W</v>
          </cell>
          <cell r="J786" t="str">
            <v>MF 1YD CONT 1X WKLY</v>
          </cell>
          <cell r="K786">
            <v>287.7</v>
          </cell>
          <cell r="L786">
            <v>287.7</v>
          </cell>
        </row>
        <row r="787">
          <cell r="A787" t="str">
            <v>M-EDGEWOODMULTI-FAMILYM1YD2W</v>
          </cell>
          <cell r="B787" t="str">
            <v>MONTHLY ARREARS</v>
          </cell>
          <cell r="C787" t="str">
            <v>2111</v>
          </cell>
          <cell r="D787" t="str">
            <v>MULTI-FAMILY</v>
          </cell>
          <cell r="E787" t="b">
            <v>0</v>
          </cell>
          <cell r="F787" t="b">
            <v>0</v>
          </cell>
          <cell r="G787" t="str">
            <v>M-EDGEWOOD</v>
          </cell>
          <cell r="H787">
            <v>3166</v>
          </cell>
          <cell r="I787" t="str">
            <v>M1YD2W</v>
          </cell>
          <cell r="J787" t="str">
            <v>MF 1YD CONT 2X WKLY</v>
          </cell>
          <cell r="K787">
            <v>247.7</v>
          </cell>
          <cell r="L787">
            <v>247.7</v>
          </cell>
        </row>
        <row r="788">
          <cell r="A788" t="str">
            <v>M-FIFEMULTI-FAMILYM1YD2W</v>
          </cell>
          <cell r="B788" t="str">
            <v>MONTHLY ARREARS</v>
          </cell>
          <cell r="C788" t="str">
            <v>2111</v>
          </cell>
          <cell r="D788" t="str">
            <v>MULTI-FAMILY</v>
          </cell>
          <cell r="E788" t="b">
            <v>0</v>
          </cell>
          <cell r="F788" t="b">
            <v>0</v>
          </cell>
          <cell r="G788" t="str">
            <v>M-FIFE</v>
          </cell>
          <cell r="H788">
            <v>3166</v>
          </cell>
          <cell r="I788" t="str">
            <v>M1YD2W</v>
          </cell>
          <cell r="J788" t="str">
            <v>MF 1YD CONT 2X WKLY</v>
          </cell>
          <cell r="K788">
            <v>247.7</v>
          </cell>
          <cell r="L788">
            <v>247.7</v>
          </cell>
        </row>
        <row r="789">
          <cell r="A789" t="str">
            <v>MURREYSMULTI-FAMILYM1YD2W</v>
          </cell>
          <cell r="B789" t="str">
            <v>MONTHLY ARREARS</v>
          </cell>
          <cell r="C789" t="str">
            <v>2111</v>
          </cell>
          <cell r="D789" t="str">
            <v>MULTI-FAMILY</v>
          </cell>
          <cell r="E789" t="b">
            <v>0</v>
          </cell>
          <cell r="F789" t="b">
            <v>0</v>
          </cell>
          <cell r="G789" t="str">
            <v>MURREYS</v>
          </cell>
          <cell r="H789">
            <v>3166</v>
          </cell>
          <cell r="I789" t="str">
            <v>M1YD2W</v>
          </cell>
          <cell r="J789" t="str">
            <v>MF 1YD CONT 2X WKLY</v>
          </cell>
          <cell r="K789">
            <v>247.7</v>
          </cell>
          <cell r="L789">
            <v>247.7</v>
          </cell>
        </row>
        <row r="790">
          <cell r="A790" t="str">
            <v>PUYALLUPMULTI-FAMILYM1YD2W</v>
          </cell>
          <cell r="B790" t="str">
            <v>MONTHLY ARREARS</v>
          </cell>
          <cell r="C790" t="str">
            <v>2111</v>
          </cell>
          <cell r="D790" t="str">
            <v>MULTI-FAMILY</v>
          </cell>
          <cell r="E790" t="b">
            <v>0</v>
          </cell>
          <cell r="F790" t="b">
            <v>0</v>
          </cell>
          <cell r="G790" t="str">
            <v>PUYALLUP</v>
          </cell>
          <cell r="H790">
            <v>3166</v>
          </cell>
          <cell r="I790" t="str">
            <v>M1YD2W</v>
          </cell>
          <cell r="J790" t="str">
            <v>MF 1YD CONT 2X WKLY</v>
          </cell>
          <cell r="K790">
            <v>589.41999999999996</v>
          </cell>
          <cell r="L790">
            <v>589.41999999999996</v>
          </cell>
        </row>
        <row r="791">
          <cell r="A791" t="str">
            <v>M-EDGEWOODMULTI-FAMILYM1YDEX</v>
          </cell>
          <cell r="B791" t="str">
            <v>MONTHLY ARREARS</v>
          </cell>
          <cell r="C791" t="str">
            <v>2111</v>
          </cell>
          <cell r="D791" t="str">
            <v>MULTI-FAMILY</v>
          </cell>
          <cell r="E791" t="b">
            <v>1</v>
          </cell>
          <cell r="F791" t="b">
            <v>0</v>
          </cell>
          <cell r="G791" t="str">
            <v>M-EDGEWOOD</v>
          </cell>
          <cell r="H791">
            <v>3140</v>
          </cell>
          <cell r="I791" t="str">
            <v>M1YDEX</v>
          </cell>
          <cell r="J791" t="str">
            <v>MF 1YD CONT EXTRA</v>
          </cell>
          <cell r="K791">
            <v>30.78</v>
          </cell>
          <cell r="L791">
            <v>30.78</v>
          </cell>
        </row>
        <row r="792">
          <cell r="A792" t="str">
            <v>M-FIFEMULTI-FAMILYM1YDEX</v>
          </cell>
          <cell r="B792" t="str">
            <v>MONTHLY ARREARS</v>
          </cell>
          <cell r="C792" t="str">
            <v>2111</v>
          </cell>
          <cell r="D792" t="str">
            <v>MULTI-FAMILY</v>
          </cell>
          <cell r="E792" t="b">
            <v>1</v>
          </cell>
          <cell r="F792" t="b">
            <v>0</v>
          </cell>
          <cell r="G792" t="str">
            <v>M-FIFE</v>
          </cell>
          <cell r="H792">
            <v>3140</v>
          </cell>
          <cell r="I792" t="str">
            <v>M1YDEX</v>
          </cell>
          <cell r="J792" t="str">
            <v>MF 1YD CONT EXTRA</v>
          </cell>
          <cell r="K792">
            <v>30.78</v>
          </cell>
          <cell r="L792">
            <v>30.78</v>
          </cell>
        </row>
        <row r="793">
          <cell r="A793" t="str">
            <v>MURREYSMULTI-FAMILYM1YDEX</v>
          </cell>
          <cell r="B793" t="str">
            <v>MONTHLY ARREARS</v>
          </cell>
          <cell r="C793" t="str">
            <v>2111</v>
          </cell>
          <cell r="D793" t="str">
            <v>MULTI-FAMILY</v>
          </cell>
          <cell r="E793" t="b">
            <v>1</v>
          </cell>
          <cell r="F793" t="b">
            <v>0</v>
          </cell>
          <cell r="G793" t="str">
            <v>MURREYS</v>
          </cell>
          <cell r="H793">
            <v>3140</v>
          </cell>
          <cell r="I793" t="str">
            <v>M1YDEX</v>
          </cell>
          <cell r="J793" t="str">
            <v>MF 1YD CONT EXTRA</v>
          </cell>
          <cell r="K793">
            <v>30.78</v>
          </cell>
          <cell r="L793">
            <v>30.78</v>
          </cell>
        </row>
        <row r="794">
          <cell r="A794" t="str">
            <v>M-EDGEWOODMULTI-FAMILYM1YDTPU</v>
          </cell>
          <cell r="B794" t="str">
            <v>MONTHLY ARREARS</v>
          </cell>
          <cell r="C794" t="str">
            <v>2111</v>
          </cell>
          <cell r="D794" t="str">
            <v>MULTI-FAMILY</v>
          </cell>
          <cell r="E794" t="b">
            <v>0</v>
          </cell>
          <cell r="F794" t="b">
            <v>0</v>
          </cell>
          <cell r="G794" t="str">
            <v>M-EDGEWOOD</v>
          </cell>
          <cell r="H794">
            <v>3214</v>
          </cell>
          <cell r="I794" t="str">
            <v>M1YDTPU</v>
          </cell>
          <cell r="J794" t="str">
            <v>MF 1YD TEMP CONT</v>
          </cell>
          <cell r="K794">
            <v>133.29</v>
          </cell>
          <cell r="L794">
            <v>133.29</v>
          </cell>
        </row>
        <row r="795">
          <cell r="A795" t="str">
            <v>M-FIFEMULTI-FAMILYM1YDTPU</v>
          </cell>
          <cell r="B795" t="str">
            <v>MONTHLY ARREARS</v>
          </cell>
          <cell r="C795" t="str">
            <v>2111</v>
          </cell>
          <cell r="D795" t="str">
            <v>MULTI-FAMILY</v>
          </cell>
          <cell r="E795" t="b">
            <v>0</v>
          </cell>
          <cell r="F795" t="b">
            <v>0</v>
          </cell>
          <cell r="G795" t="str">
            <v>M-FIFE</v>
          </cell>
          <cell r="H795">
            <v>3214</v>
          </cell>
          <cell r="I795" t="str">
            <v>M1YDTPU</v>
          </cell>
          <cell r="J795" t="str">
            <v>MF 1YD TEMP CONT</v>
          </cell>
          <cell r="K795">
            <v>133.29</v>
          </cell>
          <cell r="L795">
            <v>133.29</v>
          </cell>
        </row>
        <row r="796">
          <cell r="A796" t="str">
            <v>MURREYSMULTI-FAMILYM1YDTPU</v>
          </cell>
          <cell r="B796" t="str">
            <v>MONTHLY ARREARS</v>
          </cell>
          <cell r="C796" t="str">
            <v>2111</v>
          </cell>
          <cell r="D796" t="str">
            <v>MULTI-FAMILY</v>
          </cell>
          <cell r="E796" t="b">
            <v>0</v>
          </cell>
          <cell r="F796" t="b">
            <v>0</v>
          </cell>
          <cell r="G796" t="str">
            <v>MURREYS</v>
          </cell>
          <cell r="H796">
            <v>3214</v>
          </cell>
          <cell r="I796" t="str">
            <v>M1YDTPU</v>
          </cell>
          <cell r="J796" t="str">
            <v>MF 1YD TEMP CONT</v>
          </cell>
          <cell r="K796">
            <v>133.29</v>
          </cell>
          <cell r="L796">
            <v>133.29</v>
          </cell>
        </row>
        <row r="797">
          <cell r="A797" t="str">
            <v>M-EDGEWOODMULTI-FAMILYM2YD1W</v>
          </cell>
          <cell r="B797" t="str">
            <v>MONTHLY ARREARS</v>
          </cell>
          <cell r="C797" t="str">
            <v>2111</v>
          </cell>
          <cell r="D797" t="str">
            <v>MULTI-FAMILY</v>
          </cell>
          <cell r="E797" t="b">
            <v>0</v>
          </cell>
          <cell r="F797" t="b">
            <v>0</v>
          </cell>
          <cell r="G797" t="str">
            <v>M-EDGEWOOD</v>
          </cell>
          <cell r="H797">
            <v>3201</v>
          </cell>
          <cell r="I797" t="str">
            <v>M2YD1W</v>
          </cell>
          <cell r="J797" t="str">
            <v>MF 2YD CONT 1X WKLY</v>
          </cell>
          <cell r="K797">
            <v>219.34</v>
          </cell>
          <cell r="L797">
            <v>219.34</v>
          </cell>
        </row>
        <row r="798">
          <cell r="A798" t="str">
            <v>M-FIFEMULTI-FAMILYM2YD1W</v>
          </cell>
          <cell r="B798" t="str">
            <v>MONTHLY ARREARS</v>
          </cell>
          <cell r="C798" t="str">
            <v>2111</v>
          </cell>
          <cell r="D798" t="str">
            <v>MULTI-FAMILY</v>
          </cell>
          <cell r="E798" t="b">
            <v>0</v>
          </cell>
          <cell r="F798" t="b">
            <v>0</v>
          </cell>
          <cell r="G798" t="str">
            <v>M-FIFE</v>
          </cell>
          <cell r="H798">
            <v>3201</v>
          </cell>
          <cell r="I798" t="str">
            <v>M2YD1W</v>
          </cell>
          <cell r="J798" t="str">
            <v>MF 2YD CONT 1X WKLY</v>
          </cell>
          <cell r="K798">
            <v>219.34</v>
          </cell>
          <cell r="L798">
            <v>219.34</v>
          </cell>
        </row>
        <row r="799">
          <cell r="A799" t="str">
            <v>MURREYSMULTI-FAMILYM2YD1W</v>
          </cell>
          <cell r="B799" t="str">
            <v>MONTHLY ARREARS</v>
          </cell>
          <cell r="C799" t="str">
            <v>2111</v>
          </cell>
          <cell r="D799" t="str">
            <v>MULTI-FAMILY</v>
          </cell>
          <cell r="E799" t="b">
            <v>0</v>
          </cell>
          <cell r="F799" t="b">
            <v>0</v>
          </cell>
          <cell r="G799" t="str">
            <v>MURREYS</v>
          </cell>
          <cell r="H799">
            <v>3201</v>
          </cell>
          <cell r="I799" t="str">
            <v>M2YD1W</v>
          </cell>
          <cell r="J799" t="str">
            <v>MF 2YD CONT 1X WKLY</v>
          </cell>
          <cell r="K799">
            <v>219.34</v>
          </cell>
          <cell r="L799">
            <v>219.34</v>
          </cell>
        </row>
        <row r="800">
          <cell r="A800" t="str">
            <v>PUYALLUPMULTI-FAMILYM2YD1W</v>
          </cell>
          <cell r="B800" t="str">
            <v>MONTHLY ARREARS</v>
          </cell>
          <cell r="C800" t="str">
            <v>2111</v>
          </cell>
          <cell r="D800" t="str">
            <v>MULTI-FAMILY</v>
          </cell>
          <cell r="E800" t="b">
            <v>0</v>
          </cell>
          <cell r="F800" t="b">
            <v>0</v>
          </cell>
          <cell r="G800" t="str">
            <v>PUYALLUP</v>
          </cell>
          <cell r="H800">
            <v>3201</v>
          </cell>
          <cell r="I800" t="str">
            <v>M2YD1W</v>
          </cell>
          <cell r="J800" t="str">
            <v>MF 2YD CONT 1X WKLY</v>
          </cell>
          <cell r="K800">
            <v>540.67999999999995</v>
          </cell>
          <cell r="L800">
            <v>540.67999999999995</v>
          </cell>
        </row>
        <row r="801">
          <cell r="A801" t="str">
            <v>M-EDGEWOODMULTI-FAMILYM2YD2W</v>
          </cell>
          <cell r="B801" t="str">
            <v>MONTHLY ARREARS</v>
          </cell>
          <cell r="C801" t="str">
            <v>2111</v>
          </cell>
          <cell r="D801" t="str">
            <v>MULTI-FAMILY</v>
          </cell>
          <cell r="E801" t="b">
            <v>0</v>
          </cell>
          <cell r="F801" t="b">
            <v>0</v>
          </cell>
          <cell r="G801" t="str">
            <v>M-EDGEWOOD</v>
          </cell>
          <cell r="H801">
            <v>487</v>
          </cell>
          <cell r="I801" t="str">
            <v>M2YD2W</v>
          </cell>
          <cell r="J801" t="str">
            <v>MF 2YD CONT 2X WKLY</v>
          </cell>
          <cell r="K801">
            <v>438.68</v>
          </cell>
          <cell r="L801">
            <v>438.68</v>
          </cell>
        </row>
        <row r="802">
          <cell r="A802" t="str">
            <v>M-FIFEMULTI-FAMILYM2YD2W</v>
          </cell>
          <cell r="B802" t="str">
            <v>MONTHLY ARREARS</v>
          </cell>
          <cell r="C802" t="str">
            <v>2111</v>
          </cell>
          <cell r="D802" t="str">
            <v>MULTI-FAMILY</v>
          </cell>
          <cell r="E802" t="b">
            <v>0</v>
          </cell>
          <cell r="F802" t="b">
            <v>0</v>
          </cell>
          <cell r="G802" t="str">
            <v>M-FIFE</v>
          </cell>
          <cell r="H802">
            <v>487</v>
          </cell>
          <cell r="I802" t="str">
            <v>M2YD2W</v>
          </cell>
          <cell r="J802" t="str">
            <v>MF 2YD CONT 2X WKLY</v>
          </cell>
          <cell r="K802">
            <v>438.68</v>
          </cell>
          <cell r="L802">
            <v>438.68</v>
          </cell>
        </row>
        <row r="803">
          <cell r="A803" t="str">
            <v>MURREYSMULTI-FAMILYM2YD2W</v>
          </cell>
          <cell r="B803" t="str">
            <v>MONTHLY ARREARS</v>
          </cell>
          <cell r="C803" t="str">
            <v>2111</v>
          </cell>
          <cell r="D803" t="str">
            <v>MULTI-FAMILY</v>
          </cell>
          <cell r="E803" t="b">
            <v>0</v>
          </cell>
          <cell r="F803" t="b">
            <v>0</v>
          </cell>
          <cell r="G803" t="str">
            <v>MURREYS</v>
          </cell>
          <cell r="H803">
            <v>487</v>
          </cell>
          <cell r="I803" t="str">
            <v>M2YD2W</v>
          </cell>
          <cell r="J803" t="str">
            <v>MF 2YD CONT 2X WKLY</v>
          </cell>
          <cell r="K803">
            <v>438.68</v>
          </cell>
          <cell r="L803">
            <v>438.68</v>
          </cell>
        </row>
        <row r="804">
          <cell r="A804" t="str">
            <v>PUYALLUPMULTI-FAMILYM2YD2W</v>
          </cell>
          <cell r="B804" t="str">
            <v>MONTHLY ARREARS</v>
          </cell>
          <cell r="C804" t="str">
            <v>2111</v>
          </cell>
          <cell r="D804" t="str">
            <v>MULTI-FAMILY</v>
          </cell>
          <cell r="E804" t="b">
            <v>0</v>
          </cell>
          <cell r="F804" t="b">
            <v>0</v>
          </cell>
          <cell r="G804" t="str">
            <v>PUYALLUP</v>
          </cell>
          <cell r="H804">
            <v>487</v>
          </cell>
          <cell r="I804" t="str">
            <v>M2YD2W</v>
          </cell>
          <cell r="J804" t="str">
            <v>MF 2YD CONT 2X WKLY</v>
          </cell>
          <cell r="K804">
            <v>1093.06</v>
          </cell>
          <cell r="L804">
            <v>1093.06</v>
          </cell>
        </row>
        <row r="805">
          <cell r="A805" t="str">
            <v>M-EDGEWOODMULTI-FAMILYM2YD3W</v>
          </cell>
          <cell r="B805" t="str">
            <v>MONTHLY ARREARS</v>
          </cell>
          <cell r="C805" t="str">
            <v>2111</v>
          </cell>
          <cell r="D805" t="str">
            <v>MULTI-FAMILY</v>
          </cell>
          <cell r="E805" t="b">
            <v>0</v>
          </cell>
          <cell r="F805" t="b">
            <v>0</v>
          </cell>
          <cell r="G805" t="str">
            <v>M-EDGEWOOD</v>
          </cell>
          <cell r="H805">
            <v>3129</v>
          </cell>
          <cell r="I805" t="str">
            <v>M2YD3W</v>
          </cell>
          <cell r="J805" t="str">
            <v>MF 2YD CONT 3X WKLY</v>
          </cell>
          <cell r="K805">
            <v>658.02</v>
          </cell>
          <cell r="L805">
            <v>658.02</v>
          </cell>
        </row>
        <row r="806">
          <cell r="A806" t="str">
            <v>M-FIFEMULTI-FAMILYM2YD3W</v>
          </cell>
          <cell r="B806" t="str">
            <v>MONTHLY ARREARS</v>
          </cell>
          <cell r="C806" t="str">
            <v>2111</v>
          </cell>
          <cell r="D806" t="str">
            <v>MULTI-FAMILY</v>
          </cell>
          <cell r="E806" t="b">
            <v>0</v>
          </cell>
          <cell r="F806" t="b">
            <v>0</v>
          </cell>
          <cell r="G806" t="str">
            <v>M-FIFE</v>
          </cell>
          <cell r="H806">
            <v>3129</v>
          </cell>
          <cell r="I806" t="str">
            <v>M2YD3W</v>
          </cell>
          <cell r="J806" t="str">
            <v>MF 2YD CONT 3X WKLY</v>
          </cell>
          <cell r="K806">
            <v>658.02</v>
          </cell>
          <cell r="L806">
            <v>658.02</v>
          </cell>
        </row>
        <row r="807">
          <cell r="A807" t="str">
            <v>MURREYSMULTI-FAMILYM2YD3W</v>
          </cell>
          <cell r="B807" t="str">
            <v>MONTHLY ARREARS</v>
          </cell>
          <cell r="C807" t="str">
            <v>2111</v>
          </cell>
          <cell r="D807" t="str">
            <v>MULTI-FAMILY</v>
          </cell>
          <cell r="E807" t="b">
            <v>0</v>
          </cell>
          <cell r="F807" t="b">
            <v>0</v>
          </cell>
          <cell r="G807" t="str">
            <v>MURREYS</v>
          </cell>
          <cell r="H807">
            <v>3129</v>
          </cell>
          <cell r="I807" t="str">
            <v>M2YD3W</v>
          </cell>
          <cell r="J807" t="str">
            <v>MF 2YD CONT 3X WKLY</v>
          </cell>
          <cell r="K807">
            <v>658.02</v>
          </cell>
          <cell r="L807">
            <v>658.02</v>
          </cell>
        </row>
        <row r="808">
          <cell r="A808" t="str">
            <v>PUYALLUPMULTI-FAMILYM2YD3W</v>
          </cell>
          <cell r="B808" t="str">
            <v>MONTHLY ARREARS</v>
          </cell>
          <cell r="C808" t="str">
            <v>2111</v>
          </cell>
          <cell r="D808" t="str">
            <v>MULTI-FAMILY</v>
          </cell>
          <cell r="E808" t="b">
            <v>0</v>
          </cell>
          <cell r="F808" t="b">
            <v>0</v>
          </cell>
          <cell r="G808" t="str">
            <v>PUYALLUP</v>
          </cell>
          <cell r="H808">
            <v>3129</v>
          </cell>
          <cell r="I808" t="str">
            <v>M2YD3W</v>
          </cell>
          <cell r="J808" t="str">
            <v>MF 2YD CONT 3X WKLY</v>
          </cell>
          <cell r="K808">
            <v>1648.72</v>
          </cell>
          <cell r="L808">
            <v>1648.72</v>
          </cell>
        </row>
        <row r="809">
          <cell r="A809" t="str">
            <v>MURREYSMULTI-FAMILYM2YD4W</v>
          </cell>
          <cell r="B809" t="e">
            <v>#N/A</v>
          </cell>
          <cell r="C809" t="str">
            <v>2111</v>
          </cell>
          <cell r="D809" t="str">
            <v>MULTI-FAMILY</v>
          </cell>
          <cell r="E809" t="b">
            <v>0</v>
          </cell>
          <cell r="F809" t="b">
            <v>0</v>
          </cell>
          <cell r="G809" t="str">
            <v>MURREYS</v>
          </cell>
          <cell r="H809">
            <v>3586</v>
          </cell>
          <cell r="I809" t="str">
            <v>M2YD4W</v>
          </cell>
          <cell r="J809" t="str">
            <v>MF 2YD CONT 4X WKLY</v>
          </cell>
          <cell r="K809">
            <v>877.36</v>
          </cell>
          <cell r="L809">
            <v>877.36</v>
          </cell>
        </row>
        <row r="810">
          <cell r="A810" t="str">
            <v>PUYALLUPMULTI-FAMILYM2YD4W</v>
          </cell>
          <cell r="B810" t="e">
            <v>#N/A</v>
          </cell>
          <cell r="C810" t="str">
            <v>2111</v>
          </cell>
          <cell r="D810" t="str">
            <v>MULTI-FAMILY</v>
          </cell>
          <cell r="E810" t="b">
            <v>0</v>
          </cell>
          <cell r="F810" t="b">
            <v>0</v>
          </cell>
          <cell r="G810" t="str">
            <v>PUYALLUP</v>
          </cell>
          <cell r="H810">
            <v>3586</v>
          </cell>
          <cell r="I810" t="str">
            <v>M2YD4W</v>
          </cell>
          <cell r="J810" t="str">
            <v>MF 2YD CONT 4X WKLY</v>
          </cell>
          <cell r="K810">
            <v>2198.3000000000002</v>
          </cell>
          <cell r="L810">
            <v>2198.3000000000002</v>
          </cell>
        </row>
        <row r="811">
          <cell r="A811" t="str">
            <v>PUYALLUPMULTI-FAMILYM2YD5W</v>
          </cell>
          <cell r="B811" t="e">
            <v>#N/A</v>
          </cell>
          <cell r="C811" t="str">
            <v>2111</v>
          </cell>
          <cell r="D811" t="str">
            <v>MULTI-FAMILY</v>
          </cell>
          <cell r="E811" t="b">
            <v>0</v>
          </cell>
          <cell r="F811" t="b">
            <v>0</v>
          </cell>
          <cell r="G811" t="str">
            <v>PUYALLUP</v>
          </cell>
          <cell r="H811">
            <v>3589</v>
          </cell>
          <cell r="I811" t="str">
            <v>M2YD5W</v>
          </cell>
          <cell r="J811" t="str">
            <v>MF 2YD CONT 5X WKLY</v>
          </cell>
          <cell r="K811">
            <v>2747.75</v>
          </cell>
          <cell r="L811">
            <v>2747.75</v>
          </cell>
        </row>
        <row r="812">
          <cell r="A812" t="str">
            <v>M-EDGEWOODMULTI-FAMILYM2YDEX</v>
          </cell>
          <cell r="B812" t="str">
            <v>MONTHLY ARREARS</v>
          </cell>
          <cell r="C812" t="str">
            <v>2111</v>
          </cell>
          <cell r="D812" t="str">
            <v>MULTI-FAMILY</v>
          </cell>
          <cell r="E812" t="b">
            <v>1</v>
          </cell>
          <cell r="F812" t="b">
            <v>0</v>
          </cell>
          <cell r="G812" t="str">
            <v>M-EDGEWOOD</v>
          </cell>
          <cell r="H812">
            <v>3080</v>
          </cell>
          <cell r="I812" t="str">
            <v>M2YDEX</v>
          </cell>
          <cell r="J812" t="str">
            <v>MF 2YD CONT EXTRA</v>
          </cell>
          <cell r="K812">
            <v>52.85</v>
          </cell>
          <cell r="L812">
            <v>52.85</v>
          </cell>
        </row>
        <row r="813">
          <cell r="A813" t="str">
            <v>M-FIFEMULTI-FAMILYM2YDEX</v>
          </cell>
          <cell r="B813" t="str">
            <v>MONTHLY ARREARS</v>
          </cell>
          <cell r="C813" t="str">
            <v>2111</v>
          </cell>
          <cell r="D813" t="str">
            <v>MULTI-FAMILY</v>
          </cell>
          <cell r="E813" t="b">
            <v>1</v>
          </cell>
          <cell r="F813" t="b">
            <v>0</v>
          </cell>
          <cell r="G813" t="str">
            <v>M-FIFE</v>
          </cell>
          <cell r="H813">
            <v>3080</v>
          </cell>
          <cell r="I813" t="str">
            <v>M2YDEX</v>
          </cell>
          <cell r="J813" t="str">
            <v>MF 2YD CONT EXTRA</v>
          </cell>
          <cell r="K813">
            <v>52.85</v>
          </cell>
          <cell r="L813">
            <v>52.85</v>
          </cell>
        </row>
        <row r="814">
          <cell r="A814" t="str">
            <v>MURREYSMULTI-FAMILYM2YDEX</v>
          </cell>
          <cell r="B814" t="str">
            <v>MONTHLY ARREARS</v>
          </cell>
          <cell r="C814" t="str">
            <v>2111</v>
          </cell>
          <cell r="D814" t="str">
            <v>MULTI-FAMILY</v>
          </cell>
          <cell r="E814" t="b">
            <v>1</v>
          </cell>
          <cell r="F814" t="b">
            <v>0</v>
          </cell>
          <cell r="G814" t="str">
            <v>MURREYS</v>
          </cell>
          <cell r="H814">
            <v>3080</v>
          </cell>
          <cell r="I814" t="str">
            <v>M2YDEX</v>
          </cell>
          <cell r="J814" t="str">
            <v>MF 2YD CONT EXTRA</v>
          </cell>
          <cell r="K814">
            <v>52.85</v>
          </cell>
          <cell r="L814">
            <v>52.85</v>
          </cell>
        </row>
        <row r="815">
          <cell r="A815" t="str">
            <v>M-EDGEWOODMULTI-FAMILYM2YDRECY</v>
          </cell>
          <cell r="B815" t="str">
            <v>MONTHLY ARREARS</v>
          </cell>
          <cell r="C815" t="str">
            <v>2111</v>
          </cell>
          <cell r="D815" t="str">
            <v>MULTI-FAMILY</v>
          </cell>
          <cell r="E815" t="b">
            <v>0</v>
          </cell>
          <cell r="F815" t="b">
            <v>0</v>
          </cell>
          <cell r="G815" t="str">
            <v>M-EDGEWOOD</v>
          </cell>
          <cell r="H815">
            <v>3225</v>
          </cell>
          <cell r="I815" t="str">
            <v>M2YDRECY</v>
          </cell>
          <cell r="J815" t="str">
            <v>MF 2YD RECYCLING</v>
          </cell>
          <cell r="K815">
            <v>12.22</v>
          </cell>
          <cell r="L815">
            <v>12.22</v>
          </cell>
        </row>
        <row r="816">
          <cell r="A816" t="str">
            <v>M-FIFEMULTI-FAMILYM2YDRECY</v>
          </cell>
          <cell r="B816" t="str">
            <v>MONTHLY ARREARS</v>
          </cell>
          <cell r="C816" t="str">
            <v>2111</v>
          </cell>
          <cell r="D816" t="str">
            <v>MULTI-FAMILY</v>
          </cell>
          <cell r="E816" t="b">
            <v>0</v>
          </cell>
          <cell r="F816" t="b">
            <v>0</v>
          </cell>
          <cell r="G816" t="str">
            <v>M-FIFE</v>
          </cell>
          <cell r="H816">
            <v>3225</v>
          </cell>
          <cell r="I816" t="str">
            <v>M2YDRECY</v>
          </cell>
          <cell r="J816" t="str">
            <v>MF 2YD RECYCLING</v>
          </cell>
          <cell r="K816">
            <v>12.22</v>
          </cell>
          <cell r="L816">
            <v>12.22</v>
          </cell>
        </row>
        <row r="817">
          <cell r="A817" t="str">
            <v>MURREYSMULTI-FAMILYM2YDRECY</v>
          </cell>
          <cell r="B817" t="str">
            <v>MONTHLY ARREARS</v>
          </cell>
          <cell r="C817" t="str">
            <v>2111</v>
          </cell>
          <cell r="D817" t="str">
            <v>MULTI-FAMILY</v>
          </cell>
          <cell r="E817" t="b">
            <v>0</v>
          </cell>
          <cell r="F817" t="b">
            <v>0</v>
          </cell>
          <cell r="G817" t="str">
            <v>MURREYS</v>
          </cell>
          <cell r="H817">
            <v>3225</v>
          </cell>
          <cell r="I817" t="str">
            <v>M2YDRECY</v>
          </cell>
          <cell r="J817" t="str">
            <v>MF 2YD RECYCLING</v>
          </cell>
          <cell r="K817">
            <v>12.22</v>
          </cell>
          <cell r="L817">
            <v>12.22</v>
          </cell>
        </row>
        <row r="818">
          <cell r="A818" t="str">
            <v>M-EDGEWOODMULTI-FAMILYM2YDTPU</v>
          </cell>
          <cell r="B818" t="str">
            <v>MONTHLY ARREARS</v>
          </cell>
          <cell r="C818" t="str">
            <v>2111</v>
          </cell>
          <cell r="D818" t="str">
            <v>MULTI-FAMILY</v>
          </cell>
          <cell r="E818" t="b">
            <v>0</v>
          </cell>
          <cell r="F818" t="b">
            <v>0</v>
          </cell>
          <cell r="G818" t="str">
            <v>M-EDGEWOOD</v>
          </cell>
          <cell r="H818">
            <v>3230</v>
          </cell>
          <cell r="I818" t="str">
            <v>M2YDTPU</v>
          </cell>
          <cell r="J818" t="str">
            <v>MF 2YD TEMP CONT</v>
          </cell>
          <cell r="K818">
            <v>228.82</v>
          </cell>
          <cell r="L818">
            <v>228.82</v>
          </cell>
        </row>
        <row r="819">
          <cell r="A819" t="str">
            <v>M-FIFEMULTI-FAMILYM2YDTPU</v>
          </cell>
          <cell r="B819" t="str">
            <v>MONTHLY ARREARS</v>
          </cell>
          <cell r="C819" t="str">
            <v>2111</v>
          </cell>
          <cell r="D819" t="str">
            <v>MULTI-FAMILY</v>
          </cell>
          <cell r="E819" t="b">
            <v>0</v>
          </cell>
          <cell r="F819" t="b">
            <v>0</v>
          </cell>
          <cell r="G819" t="str">
            <v>M-FIFE</v>
          </cell>
          <cell r="H819">
            <v>3230</v>
          </cell>
          <cell r="I819" t="str">
            <v>M2YDTPU</v>
          </cell>
          <cell r="J819" t="str">
            <v>MF 2YD TEMP CONT</v>
          </cell>
          <cell r="K819">
            <v>228.82</v>
          </cell>
          <cell r="L819">
            <v>228.82</v>
          </cell>
        </row>
        <row r="820">
          <cell r="A820" t="str">
            <v>MURREYSMULTI-FAMILYM2YDTPU</v>
          </cell>
          <cell r="B820" t="str">
            <v>MONTHLY ARREARS</v>
          </cell>
          <cell r="C820" t="str">
            <v>2111</v>
          </cell>
          <cell r="D820" t="str">
            <v>MULTI-FAMILY</v>
          </cell>
          <cell r="E820" t="b">
            <v>0</v>
          </cell>
          <cell r="F820" t="b">
            <v>0</v>
          </cell>
          <cell r="G820" t="str">
            <v>MURREYS</v>
          </cell>
          <cell r="H820">
            <v>3230</v>
          </cell>
          <cell r="I820" t="str">
            <v>M2YDTPU</v>
          </cell>
          <cell r="J820" t="str">
            <v>MF 2YD TEMP CONT</v>
          </cell>
          <cell r="K820">
            <v>228.82</v>
          </cell>
          <cell r="L820">
            <v>228.82</v>
          </cell>
        </row>
        <row r="821">
          <cell r="A821" t="str">
            <v>M-EDGEWOODMULTI-FAMILYM4YD1W</v>
          </cell>
          <cell r="B821" t="str">
            <v>MONTHLY ARREARS</v>
          </cell>
          <cell r="C821" t="str">
            <v>2111</v>
          </cell>
          <cell r="D821" t="str">
            <v>MULTI-FAMILY</v>
          </cell>
          <cell r="E821" t="b">
            <v>0</v>
          </cell>
          <cell r="F821" t="b">
            <v>0</v>
          </cell>
          <cell r="G821" t="str">
            <v>M-EDGEWOOD</v>
          </cell>
          <cell r="H821">
            <v>3102</v>
          </cell>
          <cell r="I821" t="str">
            <v>M4YD1W</v>
          </cell>
          <cell r="J821" t="str">
            <v>MF 4YD CONT 1X WKLY</v>
          </cell>
          <cell r="K821">
            <v>416.97</v>
          </cell>
          <cell r="L821">
            <v>416.97</v>
          </cell>
        </row>
        <row r="822">
          <cell r="A822" t="str">
            <v>M-FIFEMULTI-FAMILYM4YD1W</v>
          </cell>
          <cell r="B822" t="str">
            <v>MONTHLY ARREARS</v>
          </cell>
          <cell r="C822" t="str">
            <v>2111</v>
          </cell>
          <cell r="D822" t="str">
            <v>MULTI-FAMILY</v>
          </cell>
          <cell r="E822" t="b">
            <v>0</v>
          </cell>
          <cell r="F822" t="b">
            <v>0</v>
          </cell>
          <cell r="G822" t="str">
            <v>M-FIFE</v>
          </cell>
          <cell r="H822">
            <v>3102</v>
          </cell>
          <cell r="I822" t="str">
            <v>M4YD1W</v>
          </cell>
          <cell r="J822" t="str">
            <v>MF 4YD CONT 1X WKLY</v>
          </cell>
          <cell r="K822">
            <v>416.97</v>
          </cell>
          <cell r="L822">
            <v>416.97</v>
          </cell>
        </row>
        <row r="823">
          <cell r="A823" t="str">
            <v>MURREYSMULTI-FAMILYM4YD1W</v>
          </cell>
          <cell r="B823" t="str">
            <v>MONTHLY ARREARS</v>
          </cell>
          <cell r="C823" t="str">
            <v>2111</v>
          </cell>
          <cell r="D823" t="str">
            <v>MULTI-FAMILY</v>
          </cell>
          <cell r="E823" t="b">
            <v>0</v>
          </cell>
          <cell r="F823" t="b">
            <v>0</v>
          </cell>
          <cell r="G823" t="str">
            <v>MURREYS</v>
          </cell>
          <cell r="H823">
            <v>3102</v>
          </cell>
          <cell r="I823" t="str">
            <v>M4YD1W</v>
          </cell>
          <cell r="J823" t="str">
            <v>MF 4YD CONT 1X WKLY</v>
          </cell>
          <cell r="K823">
            <v>416.97</v>
          </cell>
          <cell r="L823">
            <v>416.97</v>
          </cell>
        </row>
        <row r="824">
          <cell r="A824" t="str">
            <v>PUYALLUPMULTI-FAMILYM4YD1W</v>
          </cell>
          <cell r="B824" t="str">
            <v>MONTHLY ARREARS</v>
          </cell>
          <cell r="C824" t="str">
            <v>2111</v>
          </cell>
          <cell r="D824" t="str">
            <v>MULTI-FAMILY</v>
          </cell>
          <cell r="E824" t="b">
            <v>0</v>
          </cell>
          <cell r="F824" t="b">
            <v>0</v>
          </cell>
          <cell r="G824" t="str">
            <v>PUYALLUP</v>
          </cell>
          <cell r="H824">
            <v>3102</v>
          </cell>
          <cell r="I824" t="str">
            <v>M4YD1W</v>
          </cell>
          <cell r="J824" t="str">
            <v>MF 4YD CONT 1X WKLY</v>
          </cell>
          <cell r="K824">
            <v>1066.6600000000001</v>
          </cell>
          <cell r="L824">
            <v>1066.6600000000001</v>
          </cell>
        </row>
        <row r="825">
          <cell r="A825" t="str">
            <v>M-EDGEWOODMULTI-FAMILYM4YD2W</v>
          </cell>
          <cell r="B825" t="str">
            <v>MONTHLY ARREARS</v>
          </cell>
          <cell r="C825" t="str">
            <v>2111</v>
          </cell>
          <cell r="D825" t="str">
            <v>MULTI-FAMILY</v>
          </cell>
          <cell r="E825" t="b">
            <v>0</v>
          </cell>
          <cell r="F825" t="b">
            <v>0</v>
          </cell>
          <cell r="G825" t="str">
            <v>M-EDGEWOOD</v>
          </cell>
          <cell r="H825">
            <v>3105</v>
          </cell>
          <cell r="I825" t="str">
            <v>M4YD2W</v>
          </cell>
          <cell r="J825" t="str">
            <v>MF 4YD CONT 2X WKLY</v>
          </cell>
          <cell r="K825">
            <v>833.95</v>
          </cell>
          <cell r="L825">
            <v>833.95</v>
          </cell>
        </row>
        <row r="826">
          <cell r="A826" t="str">
            <v>M-FIFEMULTI-FAMILYM4YD2W</v>
          </cell>
          <cell r="B826" t="str">
            <v>MONTHLY ARREARS</v>
          </cell>
          <cell r="C826" t="str">
            <v>2111</v>
          </cell>
          <cell r="D826" t="str">
            <v>MULTI-FAMILY</v>
          </cell>
          <cell r="E826" t="b">
            <v>0</v>
          </cell>
          <cell r="F826" t="b">
            <v>0</v>
          </cell>
          <cell r="G826" t="str">
            <v>M-FIFE</v>
          </cell>
          <cell r="H826">
            <v>3105</v>
          </cell>
          <cell r="I826" t="str">
            <v>M4YD2W</v>
          </cell>
          <cell r="J826" t="str">
            <v>MF 4YD CONT 2X WKLY</v>
          </cell>
          <cell r="K826">
            <v>833.95</v>
          </cell>
          <cell r="L826">
            <v>833.95</v>
          </cell>
        </row>
        <row r="827">
          <cell r="A827" t="str">
            <v>MURREYSMULTI-FAMILYM4YD2W</v>
          </cell>
          <cell r="B827" t="str">
            <v>MONTHLY ARREARS</v>
          </cell>
          <cell r="C827" t="str">
            <v>2111</v>
          </cell>
          <cell r="D827" t="str">
            <v>MULTI-FAMILY</v>
          </cell>
          <cell r="E827" t="b">
            <v>0</v>
          </cell>
          <cell r="F827" t="b">
            <v>0</v>
          </cell>
          <cell r="G827" t="str">
            <v>MURREYS</v>
          </cell>
          <cell r="H827">
            <v>3105</v>
          </cell>
          <cell r="I827" t="str">
            <v>M4YD2W</v>
          </cell>
          <cell r="J827" t="str">
            <v>MF 4YD CONT 2X WKLY</v>
          </cell>
          <cell r="K827">
            <v>833.95</v>
          </cell>
          <cell r="L827">
            <v>833.95</v>
          </cell>
        </row>
        <row r="828">
          <cell r="A828" t="str">
            <v>PUYALLUPMULTI-FAMILYM4YD2W</v>
          </cell>
          <cell r="B828" t="str">
            <v>MONTHLY ARREARS</v>
          </cell>
          <cell r="C828" t="str">
            <v>2111</v>
          </cell>
          <cell r="D828" t="str">
            <v>MULTI-FAMILY</v>
          </cell>
          <cell r="E828" t="b">
            <v>0</v>
          </cell>
          <cell r="F828" t="b">
            <v>0</v>
          </cell>
          <cell r="G828" t="str">
            <v>PUYALLUP</v>
          </cell>
          <cell r="H828">
            <v>3105</v>
          </cell>
          <cell r="I828" t="str">
            <v>M4YD2W</v>
          </cell>
          <cell r="J828" t="str">
            <v>MF 4YD CONT 2X WKLY</v>
          </cell>
          <cell r="K828">
            <v>2145.6799999999998</v>
          </cell>
          <cell r="L828">
            <v>2145.6799999999998</v>
          </cell>
        </row>
        <row r="829">
          <cell r="A829" t="str">
            <v>M-EDGEWOODMULTI-FAMILYM4YD3W</v>
          </cell>
          <cell r="B829" t="str">
            <v>MONTHLY ARREARS</v>
          </cell>
          <cell r="C829" t="str">
            <v>2111</v>
          </cell>
          <cell r="D829" t="str">
            <v>MULTI-FAMILY</v>
          </cell>
          <cell r="E829" t="b">
            <v>0</v>
          </cell>
          <cell r="F829" t="b">
            <v>0</v>
          </cell>
          <cell r="G829" t="str">
            <v>M-EDGEWOOD</v>
          </cell>
          <cell r="H829">
            <v>3322</v>
          </cell>
          <cell r="I829" t="str">
            <v>M4YD3W</v>
          </cell>
          <cell r="J829" t="str">
            <v>MF 4YD CONT 3X WKLY</v>
          </cell>
          <cell r="K829">
            <v>1250.92</v>
          </cell>
          <cell r="L829">
            <v>1250.92</v>
          </cell>
        </row>
        <row r="830">
          <cell r="A830" t="str">
            <v>M-FIFEMULTI-FAMILYM4YD3W</v>
          </cell>
          <cell r="B830" t="str">
            <v>MONTHLY ARREARS</v>
          </cell>
          <cell r="C830" t="str">
            <v>2111</v>
          </cell>
          <cell r="D830" t="str">
            <v>MULTI-FAMILY</v>
          </cell>
          <cell r="E830" t="b">
            <v>0</v>
          </cell>
          <cell r="F830" t="b">
            <v>0</v>
          </cell>
          <cell r="G830" t="str">
            <v>M-FIFE</v>
          </cell>
          <cell r="H830">
            <v>3322</v>
          </cell>
          <cell r="I830" t="str">
            <v>M4YD3W</v>
          </cell>
          <cell r="J830" t="str">
            <v>MF 4YD CONT 3X WKLY</v>
          </cell>
          <cell r="K830">
            <v>1250.92</v>
          </cell>
          <cell r="L830">
            <v>1250.92</v>
          </cell>
        </row>
        <row r="831">
          <cell r="A831" t="str">
            <v>MURREYSMULTI-FAMILYM4YD3W</v>
          </cell>
          <cell r="B831" t="str">
            <v>MONTHLY ARREARS</v>
          </cell>
          <cell r="C831" t="str">
            <v>2111</v>
          </cell>
          <cell r="D831" t="str">
            <v>MULTI-FAMILY</v>
          </cell>
          <cell r="E831" t="b">
            <v>0</v>
          </cell>
          <cell r="F831" t="b">
            <v>0</v>
          </cell>
          <cell r="G831" t="str">
            <v>MURREYS</v>
          </cell>
          <cell r="H831">
            <v>3322</v>
          </cell>
          <cell r="I831" t="str">
            <v>M4YD3W</v>
          </cell>
          <cell r="J831" t="str">
            <v>MF 4YD CONT 3X WKLY</v>
          </cell>
          <cell r="K831">
            <v>1250.92</v>
          </cell>
          <cell r="L831">
            <v>1250.92</v>
          </cell>
        </row>
        <row r="832">
          <cell r="A832" t="str">
            <v>PUYALLUPMULTI-FAMILYM4YD3W</v>
          </cell>
          <cell r="B832" t="str">
            <v>MONTHLY ARREARS</v>
          </cell>
          <cell r="C832" t="str">
            <v>2111</v>
          </cell>
          <cell r="D832" t="str">
            <v>MULTI-FAMILY</v>
          </cell>
          <cell r="E832" t="b">
            <v>0</v>
          </cell>
          <cell r="F832" t="b">
            <v>0</v>
          </cell>
          <cell r="G832" t="str">
            <v>PUYALLUP</v>
          </cell>
          <cell r="H832">
            <v>3322</v>
          </cell>
          <cell r="I832" t="str">
            <v>M4YD3W</v>
          </cell>
          <cell r="J832" t="str">
            <v>MF 4YD CONT 3X WKLY</v>
          </cell>
          <cell r="K832">
            <v>3227.84</v>
          </cell>
          <cell r="L832">
            <v>3227.84</v>
          </cell>
        </row>
        <row r="833">
          <cell r="A833" t="str">
            <v>M-EDGEWOODMULTI-FAMILYM4YDEX</v>
          </cell>
          <cell r="B833" t="str">
            <v>MONTHLY ARREARS</v>
          </cell>
          <cell r="C833" t="str">
            <v>2111</v>
          </cell>
          <cell r="D833" t="str">
            <v>MULTI-FAMILY</v>
          </cell>
          <cell r="E833" t="b">
            <v>1</v>
          </cell>
          <cell r="F833" t="b">
            <v>0</v>
          </cell>
          <cell r="G833" t="str">
            <v>M-EDGEWOOD</v>
          </cell>
          <cell r="H833">
            <v>3074</v>
          </cell>
          <cell r="I833" t="str">
            <v>M4YDEX</v>
          </cell>
          <cell r="J833" t="str">
            <v>MF 4YD CONT EXTRA</v>
          </cell>
          <cell r="K833">
            <v>98.48</v>
          </cell>
          <cell r="L833">
            <v>98.48</v>
          </cell>
        </row>
        <row r="834">
          <cell r="A834" t="str">
            <v>M-FIFEMULTI-FAMILYM4YDEX</v>
          </cell>
          <cell r="B834" t="str">
            <v>MONTHLY ARREARS</v>
          </cell>
          <cell r="C834" t="str">
            <v>2111</v>
          </cell>
          <cell r="D834" t="str">
            <v>MULTI-FAMILY</v>
          </cell>
          <cell r="E834" t="b">
            <v>1</v>
          </cell>
          <cell r="F834" t="b">
            <v>0</v>
          </cell>
          <cell r="G834" t="str">
            <v>M-FIFE</v>
          </cell>
          <cell r="H834">
            <v>3074</v>
          </cell>
          <cell r="I834" t="str">
            <v>M4YDEX</v>
          </cell>
          <cell r="J834" t="str">
            <v>MF 4YD CONT EXTRA</v>
          </cell>
          <cell r="K834">
            <v>98.48</v>
          </cell>
          <cell r="L834">
            <v>98.48</v>
          </cell>
        </row>
        <row r="835">
          <cell r="A835" t="str">
            <v>MURREYSMULTI-FAMILYM4YDEX</v>
          </cell>
          <cell r="B835" t="str">
            <v>MONTHLY ARREARS</v>
          </cell>
          <cell r="C835" t="str">
            <v>2111</v>
          </cell>
          <cell r="D835" t="str">
            <v>MULTI-FAMILY</v>
          </cell>
          <cell r="E835" t="b">
            <v>1</v>
          </cell>
          <cell r="F835" t="b">
            <v>0</v>
          </cell>
          <cell r="G835" t="str">
            <v>MURREYS</v>
          </cell>
          <cell r="H835">
            <v>3074</v>
          </cell>
          <cell r="I835" t="str">
            <v>M4YDEX</v>
          </cell>
          <cell r="J835" t="str">
            <v>MF 4YD CONT EXTRA</v>
          </cell>
          <cell r="K835">
            <v>98.48</v>
          </cell>
          <cell r="L835">
            <v>98.48</v>
          </cell>
        </row>
        <row r="836">
          <cell r="A836" t="str">
            <v>M-EDGEWOODMULTI-FAMILYM6YD1W</v>
          </cell>
          <cell r="B836" t="str">
            <v>MONTHLY ARREARS</v>
          </cell>
          <cell r="C836" t="str">
            <v>2111</v>
          </cell>
          <cell r="D836" t="str">
            <v>MULTI-FAMILY</v>
          </cell>
          <cell r="E836" t="b">
            <v>0</v>
          </cell>
          <cell r="F836" t="b">
            <v>0</v>
          </cell>
          <cell r="G836" t="str">
            <v>M-EDGEWOOD</v>
          </cell>
          <cell r="H836">
            <v>2401</v>
          </cell>
          <cell r="I836" t="str">
            <v>M6YD1W</v>
          </cell>
          <cell r="J836" t="str">
            <v>MF 6YD CONT 1X WKLY</v>
          </cell>
          <cell r="K836">
            <v>585.46</v>
          </cell>
          <cell r="L836">
            <v>585.46</v>
          </cell>
        </row>
        <row r="837">
          <cell r="A837" t="str">
            <v>M-FIFEMULTI-FAMILYM6YD1W</v>
          </cell>
          <cell r="B837" t="str">
            <v>MONTHLY ARREARS</v>
          </cell>
          <cell r="C837" t="str">
            <v>2111</v>
          </cell>
          <cell r="D837" t="str">
            <v>MULTI-FAMILY</v>
          </cell>
          <cell r="E837" t="b">
            <v>0</v>
          </cell>
          <cell r="F837" t="b">
            <v>0</v>
          </cell>
          <cell r="G837" t="str">
            <v>M-FIFE</v>
          </cell>
          <cell r="H837">
            <v>2401</v>
          </cell>
          <cell r="I837" t="str">
            <v>M6YD1W</v>
          </cell>
          <cell r="J837" t="str">
            <v>MF 6YD CONT 1X WKLY</v>
          </cell>
          <cell r="K837">
            <v>585.46</v>
          </cell>
          <cell r="L837">
            <v>585.46</v>
          </cell>
        </row>
        <row r="838">
          <cell r="A838" t="str">
            <v>MURREYSMULTI-FAMILYM6YD1W</v>
          </cell>
          <cell r="B838" t="str">
            <v>MONTHLY ARREARS</v>
          </cell>
          <cell r="C838" t="str">
            <v>2111</v>
          </cell>
          <cell r="D838" t="str">
            <v>MULTI-FAMILY</v>
          </cell>
          <cell r="E838" t="b">
            <v>0</v>
          </cell>
          <cell r="F838" t="b">
            <v>0</v>
          </cell>
          <cell r="G838" t="str">
            <v>MURREYS</v>
          </cell>
          <cell r="H838">
            <v>2401</v>
          </cell>
          <cell r="I838" t="str">
            <v>M6YD1W</v>
          </cell>
          <cell r="J838" t="str">
            <v>MF 6YD CONT 1X WKLY</v>
          </cell>
          <cell r="K838">
            <v>585.46</v>
          </cell>
          <cell r="L838">
            <v>585.46</v>
          </cell>
        </row>
        <row r="839">
          <cell r="A839" t="str">
            <v>PUYALLUPMULTI-FAMILYM6YD1W</v>
          </cell>
          <cell r="B839" t="str">
            <v>MONTHLY ARREARS</v>
          </cell>
          <cell r="C839" t="str">
            <v>2111</v>
          </cell>
          <cell r="D839" t="str">
            <v>MULTI-FAMILY</v>
          </cell>
          <cell r="E839" t="b">
            <v>0</v>
          </cell>
          <cell r="F839" t="b">
            <v>0</v>
          </cell>
          <cell r="G839" t="str">
            <v>PUYALLUP</v>
          </cell>
          <cell r="H839">
            <v>2401</v>
          </cell>
          <cell r="I839" t="str">
            <v>M6YD1W</v>
          </cell>
          <cell r="J839" t="str">
            <v>MF 6YD CONT 1X WKLY</v>
          </cell>
          <cell r="K839">
            <v>1543.76</v>
          </cell>
          <cell r="L839">
            <v>1543.76</v>
          </cell>
        </row>
        <row r="840">
          <cell r="A840" t="str">
            <v>M-EDGEWOODMULTI-FAMILYM6YD2W</v>
          </cell>
          <cell r="B840" t="str">
            <v>MONTHLY ARREARS</v>
          </cell>
          <cell r="C840" t="str">
            <v>2111</v>
          </cell>
          <cell r="D840" t="str">
            <v>MULTI-FAMILY</v>
          </cell>
          <cell r="E840" t="b">
            <v>0</v>
          </cell>
          <cell r="F840" t="b">
            <v>0</v>
          </cell>
          <cell r="G840" t="str">
            <v>M-EDGEWOOD</v>
          </cell>
          <cell r="H840">
            <v>2400</v>
          </cell>
          <cell r="I840" t="str">
            <v>M6YD2W</v>
          </cell>
          <cell r="J840" t="str">
            <v>MF 6YD CONT 2X WKLY</v>
          </cell>
          <cell r="K840">
            <v>1170.92</v>
          </cell>
          <cell r="L840">
            <v>1170.92</v>
          </cell>
        </row>
        <row r="841">
          <cell r="A841" t="str">
            <v>M-FIFEMULTI-FAMILYM6YD2W</v>
          </cell>
          <cell r="B841" t="str">
            <v>MONTHLY ARREARS</v>
          </cell>
          <cell r="C841" t="str">
            <v>2111</v>
          </cell>
          <cell r="D841" t="str">
            <v>MULTI-FAMILY</v>
          </cell>
          <cell r="E841" t="b">
            <v>0</v>
          </cell>
          <cell r="F841" t="b">
            <v>0</v>
          </cell>
          <cell r="G841" t="str">
            <v>M-FIFE</v>
          </cell>
          <cell r="H841">
            <v>2400</v>
          </cell>
          <cell r="I841" t="str">
            <v>M6YD2W</v>
          </cell>
          <cell r="J841" t="str">
            <v>MF 6YD CONT 2X WKLY</v>
          </cell>
          <cell r="K841">
            <v>1170.92</v>
          </cell>
          <cell r="L841">
            <v>1170.92</v>
          </cell>
        </row>
        <row r="842">
          <cell r="A842" t="str">
            <v>MURREYSMULTI-FAMILYM6YD2W</v>
          </cell>
          <cell r="B842" t="str">
            <v>MONTHLY ARREARS</v>
          </cell>
          <cell r="C842" t="str">
            <v>2111</v>
          </cell>
          <cell r="D842" t="str">
            <v>MULTI-FAMILY</v>
          </cell>
          <cell r="E842" t="b">
            <v>0</v>
          </cell>
          <cell r="F842" t="b">
            <v>0</v>
          </cell>
          <cell r="G842" t="str">
            <v>MURREYS</v>
          </cell>
          <cell r="H842">
            <v>2400</v>
          </cell>
          <cell r="I842" t="str">
            <v>M6YD2W</v>
          </cell>
          <cell r="J842" t="str">
            <v>MF 6YD CONT 2X WKLY</v>
          </cell>
          <cell r="K842">
            <v>1170.92</v>
          </cell>
          <cell r="L842">
            <v>1170.92</v>
          </cell>
        </row>
        <row r="843">
          <cell r="A843" t="str">
            <v>PUYALLUPMULTI-FAMILYM6YD2W</v>
          </cell>
          <cell r="B843" t="str">
            <v>MONTHLY ARREARS</v>
          </cell>
          <cell r="C843" t="str">
            <v>2111</v>
          </cell>
          <cell r="D843" t="str">
            <v>MULTI-FAMILY</v>
          </cell>
          <cell r="E843" t="b">
            <v>0</v>
          </cell>
          <cell r="F843" t="b">
            <v>0</v>
          </cell>
          <cell r="G843" t="str">
            <v>PUYALLUP</v>
          </cell>
          <cell r="H843">
            <v>2400</v>
          </cell>
          <cell r="I843" t="str">
            <v>M6YD2W</v>
          </cell>
          <cell r="J843" t="str">
            <v>MF 6YD CONT 2X WKLY</v>
          </cell>
          <cell r="K843">
            <v>3095</v>
          </cell>
          <cell r="L843">
            <v>3095</v>
          </cell>
        </row>
        <row r="844">
          <cell r="A844" t="str">
            <v>M-EDGEWOODMULTI-FAMILYM6YD3W</v>
          </cell>
          <cell r="B844" t="str">
            <v>MONTHLY ARREARS</v>
          </cell>
          <cell r="C844" t="str">
            <v>2111</v>
          </cell>
          <cell r="D844" t="str">
            <v>MULTI-FAMILY</v>
          </cell>
          <cell r="E844" t="b">
            <v>0</v>
          </cell>
          <cell r="F844" t="b">
            <v>0</v>
          </cell>
          <cell r="G844" t="str">
            <v>M-EDGEWOOD</v>
          </cell>
          <cell r="H844">
            <v>3060</v>
          </cell>
          <cell r="I844" t="str">
            <v>M6YD3W</v>
          </cell>
          <cell r="J844" t="str">
            <v>MF 6YD CONT 3X WKLY</v>
          </cell>
          <cell r="K844">
            <v>1756.38</v>
          </cell>
          <cell r="L844">
            <v>1756.38</v>
          </cell>
        </row>
        <row r="845">
          <cell r="A845" t="str">
            <v>M-FIFEMULTI-FAMILYM6YD3W</v>
          </cell>
          <cell r="B845" t="str">
            <v>MONTHLY ARREARS</v>
          </cell>
          <cell r="C845" t="str">
            <v>2111</v>
          </cell>
          <cell r="D845" t="str">
            <v>MULTI-FAMILY</v>
          </cell>
          <cell r="E845" t="b">
            <v>0</v>
          </cell>
          <cell r="F845" t="b">
            <v>0</v>
          </cell>
          <cell r="G845" t="str">
            <v>M-FIFE</v>
          </cell>
          <cell r="H845">
            <v>3060</v>
          </cell>
          <cell r="I845" t="str">
            <v>M6YD3W</v>
          </cell>
          <cell r="J845" t="str">
            <v>MF 6YD CONT 3X WKLY</v>
          </cell>
          <cell r="K845">
            <v>1756.38</v>
          </cell>
          <cell r="L845">
            <v>1756.38</v>
          </cell>
        </row>
        <row r="846">
          <cell r="A846" t="str">
            <v>MURREYSMULTI-FAMILYM6YD3W</v>
          </cell>
          <cell r="B846" t="str">
            <v>MONTHLY ARREARS</v>
          </cell>
          <cell r="C846" t="str">
            <v>2111</v>
          </cell>
          <cell r="D846" t="str">
            <v>MULTI-FAMILY</v>
          </cell>
          <cell r="E846" t="b">
            <v>0</v>
          </cell>
          <cell r="F846" t="b">
            <v>0</v>
          </cell>
          <cell r="G846" t="str">
            <v>MURREYS</v>
          </cell>
          <cell r="H846">
            <v>3060</v>
          </cell>
          <cell r="I846" t="str">
            <v>M6YD3W</v>
          </cell>
          <cell r="J846" t="str">
            <v>MF 6YD CONT 3X WKLY</v>
          </cell>
          <cell r="K846">
            <v>1756.38</v>
          </cell>
          <cell r="L846">
            <v>1756.38</v>
          </cell>
        </row>
        <row r="847">
          <cell r="A847" t="str">
            <v>PUYALLUPMULTI-FAMILYM6YD3W</v>
          </cell>
          <cell r="B847" t="str">
            <v>MONTHLY ARREARS</v>
          </cell>
          <cell r="C847" t="str">
            <v>2111</v>
          </cell>
          <cell r="D847" t="str">
            <v>MULTI-FAMILY</v>
          </cell>
          <cell r="E847" t="b">
            <v>0</v>
          </cell>
          <cell r="F847" t="b">
            <v>0</v>
          </cell>
          <cell r="G847" t="str">
            <v>PUYALLUP</v>
          </cell>
          <cell r="H847">
            <v>3060</v>
          </cell>
          <cell r="I847" t="str">
            <v>M6YD3W</v>
          </cell>
          <cell r="J847" t="str">
            <v>MF 6YD CONT 3X WKLY</v>
          </cell>
          <cell r="K847">
            <v>4656.12</v>
          </cell>
          <cell r="L847">
            <v>4656.12</v>
          </cell>
        </row>
        <row r="848">
          <cell r="A848" t="str">
            <v>M-EDGEWOODMULTI-FAMILYM6YD4W</v>
          </cell>
          <cell r="B848" t="str">
            <v>MONTHLY ARREARS</v>
          </cell>
          <cell r="C848" t="str">
            <v>2111</v>
          </cell>
          <cell r="D848" t="str">
            <v>MULTI-FAMILY</v>
          </cell>
          <cell r="E848" t="b">
            <v>0</v>
          </cell>
          <cell r="F848" t="b">
            <v>0</v>
          </cell>
          <cell r="G848" t="str">
            <v>M-EDGEWOOD</v>
          </cell>
          <cell r="H848">
            <v>3318</v>
          </cell>
          <cell r="I848" t="str">
            <v>M6YD4W</v>
          </cell>
          <cell r="J848" t="str">
            <v>MF 6YD CONT 4X WKLY</v>
          </cell>
          <cell r="K848">
            <v>2341.83</v>
          </cell>
          <cell r="L848">
            <v>2341.83</v>
          </cell>
        </row>
        <row r="849">
          <cell r="A849" t="str">
            <v>M-FIFEMULTI-FAMILYM6YD4W</v>
          </cell>
          <cell r="B849" t="str">
            <v>MONTHLY ARREARS</v>
          </cell>
          <cell r="C849" t="str">
            <v>2111</v>
          </cell>
          <cell r="D849" t="str">
            <v>MULTI-FAMILY</v>
          </cell>
          <cell r="E849" t="b">
            <v>0</v>
          </cell>
          <cell r="F849" t="b">
            <v>0</v>
          </cell>
          <cell r="G849" t="str">
            <v>M-FIFE</v>
          </cell>
          <cell r="H849">
            <v>3318</v>
          </cell>
          <cell r="I849" t="str">
            <v>M6YD4W</v>
          </cell>
          <cell r="J849" t="str">
            <v>MF 6YD CONT 4X WKLY</v>
          </cell>
          <cell r="K849">
            <v>2341.83</v>
          </cell>
          <cell r="L849">
            <v>2341.83</v>
          </cell>
        </row>
        <row r="850">
          <cell r="A850" t="str">
            <v>MURREYSMULTI-FAMILYM6YD4W</v>
          </cell>
          <cell r="B850" t="str">
            <v>MONTHLY ARREARS</v>
          </cell>
          <cell r="C850" t="str">
            <v>2111</v>
          </cell>
          <cell r="D850" t="str">
            <v>MULTI-FAMILY</v>
          </cell>
          <cell r="E850" t="b">
            <v>0</v>
          </cell>
          <cell r="F850" t="b">
            <v>0</v>
          </cell>
          <cell r="G850" t="str">
            <v>MURREYS</v>
          </cell>
          <cell r="H850">
            <v>3318</v>
          </cell>
          <cell r="I850" t="str">
            <v>M6YD4W</v>
          </cell>
          <cell r="J850" t="str">
            <v>MF 6YD CONT 4X WKLY</v>
          </cell>
          <cell r="K850">
            <v>2341.83</v>
          </cell>
          <cell r="L850">
            <v>2341.83</v>
          </cell>
        </row>
        <row r="851">
          <cell r="A851" t="str">
            <v>PUYALLUPMULTI-FAMILYM6YD4W</v>
          </cell>
          <cell r="B851" t="str">
            <v>MONTHLY ARREARS</v>
          </cell>
          <cell r="C851" t="str">
            <v>2111</v>
          </cell>
          <cell r="D851" t="str">
            <v>MULTI-FAMILY</v>
          </cell>
          <cell r="E851" t="b">
            <v>0</v>
          </cell>
          <cell r="F851" t="b">
            <v>0</v>
          </cell>
          <cell r="G851" t="str">
            <v>PUYALLUP</v>
          </cell>
          <cell r="H851">
            <v>3318</v>
          </cell>
          <cell r="I851" t="str">
            <v>M6YD4W</v>
          </cell>
          <cell r="J851" t="str">
            <v>MF 6YD CONT 4X WKLY</v>
          </cell>
          <cell r="K851">
            <v>6199.86</v>
          </cell>
          <cell r="L851">
            <v>6199.86</v>
          </cell>
        </row>
        <row r="852">
          <cell r="A852" t="str">
            <v>M-EDGEWOODMULTI-FAMILYM6YDEX</v>
          </cell>
          <cell r="B852" t="str">
            <v>MONTHLY ARREARS</v>
          </cell>
          <cell r="C852" t="str">
            <v>2111</v>
          </cell>
          <cell r="D852" t="str">
            <v>MULTI-FAMILY</v>
          </cell>
          <cell r="E852" t="b">
            <v>1</v>
          </cell>
          <cell r="F852" t="b">
            <v>0</v>
          </cell>
          <cell r="G852" t="str">
            <v>M-EDGEWOOD</v>
          </cell>
          <cell r="H852">
            <v>2253</v>
          </cell>
          <cell r="I852" t="str">
            <v>M6YDEX</v>
          </cell>
          <cell r="J852" t="str">
            <v>MF 6YD CONT EXTRA</v>
          </cell>
          <cell r="K852">
            <v>137.41</v>
          </cell>
          <cell r="L852">
            <v>137.41</v>
          </cell>
        </row>
        <row r="853">
          <cell r="A853" t="str">
            <v>M-FIFEMULTI-FAMILYM6YDEX</v>
          </cell>
          <cell r="B853" t="str">
            <v>MONTHLY ARREARS</v>
          </cell>
          <cell r="C853" t="str">
            <v>2111</v>
          </cell>
          <cell r="D853" t="str">
            <v>MULTI-FAMILY</v>
          </cell>
          <cell r="E853" t="b">
            <v>1</v>
          </cell>
          <cell r="F853" t="b">
            <v>0</v>
          </cell>
          <cell r="G853" t="str">
            <v>M-FIFE</v>
          </cell>
          <cell r="H853">
            <v>2253</v>
          </cell>
          <cell r="I853" t="str">
            <v>M6YDEX</v>
          </cell>
          <cell r="J853" t="str">
            <v>MF 6YD CONT EXTRA</v>
          </cell>
          <cell r="K853">
            <v>137.41</v>
          </cell>
          <cell r="L853">
            <v>137.41</v>
          </cell>
        </row>
        <row r="854">
          <cell r="A854" t="str">
            <v>MURREYSMULTI-FAMILYM6YDEX</v>
          </cell>
          <cell r="B854" t="str">
            <v>MONTHLY ARREARS</v>
          </cell>
          <cell r="C854" t="str">
            <v>2111</v>
          </cell>
          <cell r="D854" t="str">
            <v>MULTI-FAMILY</v>
          </cell>
          <cell r="E854" t="b">
            <v>1</v>
          </cell>
          <cell r="F854" t="b">
            <v>0</v>
          </cell>
          <cell r="G854" t="str">
            <v>MURREYS</v>
          </cell>
          <cell r="H854">
            <v>2253</v>
          </cell>
          <cell r="I854" t="str">
            <v>M6YDEX</v>
          </cell>
          <cell r="J854" t="str">
            <v>MF 6YD CONT EXTRA</v>
          </cell>
          <cell r="K854">
            <v>137.41</v>
          </cell>
          <cell r="L854">
            <v>137.41</v>
          </cell>
        </row>
        <row r="855">
          <cell r="A855" t="str">
            <v>M-EDGEWOODMULTI-FAMILYM6YDRECY</v>
          </cell>
          <cell r="B855" t="str">
            <v>MONTHLY ARREARS</v>
          </cell>
          <cell r="C855" t="str">
            <v>2111</v>
          </cell>
          <cell r="D855" t="str">
            <v>MULTI-FAMILY</v>
          </cell>
          <cell r="E855" t="b">
            <v>0</v>
          </cell>
          <cell r="F855" t="b">
            <v>0</v>
          </cell>
          <cell r="G855" t="str">
            <v>M-EDGEWOOD</v>
          </cell>
          <cell r="H855">
            <v>3220</v>
          </cell>
          <cell r="I855" t="str">
            <v>M6YDRECY</v>
          </cell>
          <cell r="J855" t="str">
            <v>MF 6YD RECYCLING</v>
          </cell>
          <cell r="K855">
            <v>38.130000000000003</v>
          </cell>
          <cell r="L855">
            <v>38.130000000000003</v>
          </cell>
        </row>
        <row r="856">
          <cell r="A856" t="str">
            <v>M-FIFEMULTI-FAMILYM6YDRECY</v>
          </cell>
          <cell r="B856" t="str">
            <v>MONTHLY ARREARS</v>
          </cell>
          <cell r="C856" t="str">
            <v>2111</v>
          </cell>
          <cell r="D856" t="str">
            <v>MULTI-FAMILY</v>
          </cell>
          <cell r="E856" t="b">
            <v>0</v>
          </cell>
          <cell r="F856" t="b">
            <v>0</v>
          </cell>
          <cell r="G856" t="str">
            <v>M-FIFE</v>
          </cell>
          <cell r="H856">
            <v>3220</v>
          </cell>
          <cell r="I856" t="str">
            <v>M6YDRECY</v>
          </cell>
          <cell r="J856" t="str">
            <v>MF 6YD RECYCLING</v>
          </cell>
          <cell r="K856">
            <v>38.130000000000003</v>
          </cell>
          <cell r="L856">
            <v>38.130000000000003</v>
          </cell>
        </row>
        <row r="857">
          <cell r="A857" t="str">
            <v>MURREYSMULTI-FAMILYM6YDRECY</v>
          </cell>
          <cell r="B857" t="str">
            <v>MONTHLY ARREARS</v>
          </cell>
          <cell r="C857" t="str">
            <v>2111</v>
          </cell>
          <cell r="D857" t="str">
            <v>MULTI-FAMILY</v>
          </cell>
          <cell r="E857" t="b">
            <v>0</v>
          </cell>
          <cell r="F857" t="b">
            <v>0</v>
          </cell>
          <cell r="G857" t="str">
            <v>MURREYS</v>
          </cell>
          <cell r="H857">
            <v>3220</v>
          </cell>
          <cell r="I857" t="str">
            <v>M6YDRECY</v>
          </cell>
          <cell r="J857" t="str">
            <v>MF 6YD RECYCLING</v>
          </cell>
          <cell r="K857">
            <v>38.130000000000003</v>
          </cell>
          <cell r="L857">
            <v>38.130000000000003</v>
          </cell>
        </row>
        <row r="858">
          <cell r="A858" t="str">
            <v>M-EDGEWOODMULTI-FAMILYMCCRECYR</v>
          </cell>
          <cell r="B858" t="str">
            <v>MONTHLY ARREARS</v>
          </cell>
          <cell r="C858" t="str">
            <v>2111</v>
          </cell>
          <cell r="D858" t="str">
            <v>MULTI-FAMILY</v>
          </cell>
          <cell r="E858" t="b">
            <v>0</v>
          </cell>
          <cell r="F858" t="b">
            <v>0</v>
          </cell>
          <cell r="G858" t="str">
            <v>M-EDGEWOOD</v>
          </cell>
          <cell r="H858">
            <v>3552</v>
          </cell>
          <cell r="I858" t="str">
            <v>MCCRECYR</v>
          </cell>
          <cell r="J858" t="str">
            <v>MF CAN COUNT RECYCLE PROG</v>
          </cell>
          <cell r="K858">
            <v>7.5</v>
          </cell>
          <cell r="L858">
            <v>7.5</v>
          </cell>
        </row>
        <row r="859">
          <cell r="A859" t="str">
            <v>M-FIFEMULTI-FAMILYMCCRECYR</v>
          </cell>
          <cell r="B859" t="str">
            <v>MONTHLY ARREARS</v>
          </cell>
          <cell r="C859" t="str">
            <v>2111</v>
          </cell>
          <cell r="D859" t="str">
            <v>MULTI-FAMILY</v>
          </cell>
          <cell r="E859" t="b">
            <v>0</v>
          </cell>
          <cell r="F859" t="b">
            <v>0</v>
          </cell>
          <cell r="G859" t="str">
            <v>M-FIFE</v>
          </cell>
          <cell r="H859">
            <v>3552</v>
          </cell>
          <cell r="I859" t="str">
            <v>MCCRECYR</v>
          </cell>
          <cell r="J859" t="str">
            <v>MF CAN COUNT RECYCLE PROG</v>
          </cell>
          <cell r="K859">
            <v>7.5</v>
          </cell>
          <cell r="L859">
            <v>7.5</v>
          </cell>
        </row>
        <row r="860">
          <cell r="A860" t="str">
            <v>MURREYSMULTI-FAMILYMCCRECYR</v>
          </cell>
          <cell r="B860" t="str">
            <v>MONTHLY ARREARS</v>
          </cell>
          <cell r="C860" t="str">
            <v>2111</v>
          </cell>
          <cell r="D860" t="str">
            <v>MULTI-FAMILY</v>
          </cell>
          <cell r="E860" t="b">
            <v>0</v>
          </cell>
          <cell r="F860" t="b">
            <v>0</v>
          </cell>
          <cell r="G860" t="str">
            <v>MURREYS</v>
          </cell>
          <cell r="H860">
            <v>3552</v>
          </cell>
          <cell r="I860" t="str">
            <v>MCCRECYR</v>
          </cell>
          <cell r="J860" t="str">
            <v>MF CAN COUNT RECYCLE PROG</v>
          </cell>
          <cell r="K860">
            <v>7.5</v>
          </cell>
          <cell r="L860">
            <v>7.5</v>
          </cell>
        </row>
        <row r="861">
          <cell r="A861" t="str">
            <v>M-EDGEWOODMULTI-FAMILYMCCWR20</v>
          </cell>
          <cell r="B861" t="str">
            <v>ONCALL</v>
          </cell>
          <cell r="C861" t="str">
            <v>2111</v>
          </cell>
          <cell r="D861" t="str">
            <v>MULTI-FAMILY</v>
          </cell>
          <cell r="E861" t="b">
            <v>0</v>
          </cell>
          <cell r="F861" t="b">
            <v>0</v>
          </cell>
          <cell r="G861" t="str">
            <v>M-EDGEWOOD</v>
          </cell>
          <cell r="H861">
            <v>3538</v>
          </cell>
          <cell r="I861" t="str">
            <v>MCCWR20</v>
          </cell>
          <cell r="J861" t="str">
            <v>MF 1-20 GL CART COUNT</v>
          </cell>
          <cell r="K861">
            <v>3.9</v>
          </cell>
          <cell r="L861">
            <v>3.9</v>
          </cell>
        </row>
        <row r="862">
          <cell r="A862" t="str">
            <v>M-FIFEMULTI-FAMILYMCCWR20</v>
          </cell>
          <cell r="B862" t="str">
            <v>ONCALL</v>
          </cell>
          <cell r="C862" t="str">
            <v>2111</v>
          </cell>
          <cell r="D862" t="str">
            <v>MULTI-FAMILY</v>
          </cell>
          <cell r="E862" t="b">
            <v>0</v>
          </cell>
          <cell r="F862" t="b">
            <v>0</v>
          </cell>
          <cell r="G862" t="str">
            <v>M-FIFE</v>
          </cell>
          <cell r="H862">
            <v>3538</v>
          </cell>
          <cell r="I862" t="str">
            <v>MCCWR20</v>
          </cell>
          <cell r="J862" t="str">
            <v>MF 1-20 GL CART COUNT</v>
          </cell>
          <cell r="K862">
            <v>3.9</v>
          </cell>
          <cell r="L862">
            <v>3.9</v>
          </cell>
        </row>
        <row r="863">
          <cell r="A863" t="str">
            <v>MURREYSMULTI-FAMILYMCCWR20</v>
          </cell>
          <cell r="B863" t="str">
            <v>ONCALL</v>
          </cell>
          <cell r="C863" t="str">
            <v>2111</v>
          </cell>
          <cell r="D863" t="str">
            <v>MULTI-FAMILY</v>
          </cell>
          <cell r="E863" t="b">
            <v>0</v>
          </cell>
          <cell r="F863" t="b">
            <v>0</v>
          </cell>
          <cell r="G863" t="str">
            <v>MURREYS</v>
          </cell>
          <cell r="H863">
            <v>3538</v>
          </cell>
          <cell r="I863" t="str">
            <v>MCCWR20</v>
          </cell>
          <cell r="J863" t="str">
            <v>MF 1-20 GL CART COUNT</v>
          </cell>
          <cell r="K863">
            <v>3.9</v>
          </cell>
          <cell r="L863">
            <v>3.9</v>
          </cell>
        </row>
        <row r="864">
          <cell r="A864" t="str">
            <v>M-EDGEWOODMULTI-FAMILYMCCWR35</v>
          </cell>
          <cell r="B864" t="str">
            <v>ONCALL</v>
          </cell>
          <cell r="C864" t="str">
            <v>2111</v>
          </cell>
          <cell r="D864" t="str">
            <v>MULTI-FAMILY</v>
          </cell>
          <cell r="E864" t="b">
            <v>0</v>
          </cell>
          <cell r="F864" t="b">
            <v>0</v>
          </cell>
          <cell r="G864" t="str">
            <v>M-EDGEWOOD</v>
          </cell>
          <cell r="H864">
            <v>3536</v>
          </cell>
          <cell r="I864" t="str">
            <v>MCCWR35</v>
          </cell>
          <cell r="J864" t="str">
            <v>MF 1-35 GL CART COUNT</v>
          </cell>
          <cell r="K864">
            <v>4.88</v>
          </cell>
          <cell r="L864">
            <v>4.88</v>
          </cell>
        </row>
        <row r="865">
          <cell r="A865" t="str">
            <v>M-FIFEMULTI-FAMILYMCCWR35</v>
          </cell>
          <cell r="B865" t="str">
            <v>ONCALL</v>
          </cell>
          <cell r="C865" t="str">
            <v>2111</v>
          </cell>
          <cell r="D865" t="str">
            <v>MULTI-FAMILY</v>
          </cell>
          <cell r="E865" t="b">
            <v>0</v>
          </cell>
          <cell r="F865" t="b">
            <v>0</v>
          </cell>
          <cell r="G865" t="str">
            <v>M-FIFE</v>
          </cell>
          <cell r="H865">
            <v>3536</v>
          </cell>
          <cell r="I865" t="str">
            <v>MCCWR35</v>
          </cell>
          <cell r="J865" t="str">
            <v>MF 1-35 GL CART COUNT</v>
          </cell>
          <cell r="K865">
            <v>4.88</v>
          </cell>
          <cell r="L865">
            <v>4.88</v>
          </cell>
        </row>
        <row r="866">
          <cell r="A866" t="str">
            <v>MURREYSMULTI-FAMILYMCCWR35</v>
          </cell>
          <cell r="B866" t="str">
            <v>ONCALL</v>
          </cell>
          <cell r="C866" t="str">
            <v>2111</v>
          </cell>
          <cell r="D866" t="str">
            <v>MULTI-FAMILY</v>
          </cell>
          <cell r="E866" t="b">
            <v>0</v>
          </cell>
          <cell r="F866" t="b">
            <v>0</v>
          </cell>
          <cell r="G866" t="str">
            <v>MURREYS</v>
          </cell>
          <cell r="H866">
            <v>3536</v>
          </cell>
          <cell r="I866" t="str">
            <v>MCCWR35</v>
          </cell>
          <cell r="J866" t="str">
            <v>MF 1-35 GL CART COUNT</v>
          </cell>
          <cell r="K866">
            <v>4.88</v>
          </cell>
          <cell r="L866">
            <v>4.88</v>
          </cell>
        </row>
        <row r="867">
          <cell r="A867" t="str">
            <v>M-EDGEWOODMULTI-FAMILYMCCWR65</v>
          </cell>
          <cell r="B867" t="str">
            <v>ONCALL</v>
          </cell>
          <cell r="C867" t="str">
            <v>2111</v>
          </cell>
          <cell r="D867" t="str">
            <v>MULTI-FAMILY</v>
          </cell>
          <cell r="E867" t="b">
            <v>0</v>
          </cell>
          <cell r="F867" t="b">
            <v>0</v>
          </cell>
          <cell r="G867" t="str">
            <v>M-EDGEWOOD</v>
          </cell>
          <cell r="H867">
            <v>3540</v>
          </cell>
          <cell r="I867" t="str">
            <v>MCCWR65</v>
          </cell>
          <cell r="J867" t="str">
            <v>MF 1-65 GL CART COUNT</v>
          </cell>
          <cell r="K867">
            <v>7.23</v>
          </cell>
          <cell r="L867">
            <v>7.23</v>
          </cell>
        </row>
        <row r="868">
          <cell r="A868" t="str">
            <v>M-FIFEMULTI-FAMILYMCCWR65</v>
          </cell>
          <cell r="B868" t="str">
            <v>ONCALL</v>
          </cell>
          <cell r="C868" t="str">
            <v>2111</v>
          </cell>
          <cell r="D868" t="str">
            <v>MULTI-FAMILY</v>
          </cell>
          <cell r="E868" t="b">
            <v>0</v>
          </cell>
          <cell r="F868" t="b">
            <v>0</v>
          </cell>
          <cell r="G868" t="str">
            <v>M-FIFE</v>
          </cell>
          <cell r="H868">
            <v>3540</v>
          </cell>
          <cell r="I868" t="str">
            <v>MCCWR65</v>
          </cell>
          <cell r="J868" t="str">
            <v>MF 1-65 GL CART COUNT</v>
          </cell>
          <cell r="K868">
            <v>7.23</v>
          </cell>
          <cell r="L868">
            <v>7.23</v>
          </cell>
        </row>
        <row r="869">
          <cell r="A869" t="str">
            <v>MURREYSMULTI-FAMILYMCCWR65</v>
          </cell>
          <cell r="B869" t="str">
            <v>ONCALL</v>
          </cell>
          <cell r="C869" t="str">
            <v>2111</v>
          </cell>
          <cell r="D869" t="str">
            <v>MULTI-FAMILY</v>
          </cell>
          <cell r="E869" t="b">
            <v>0</v>
          </cell>
          <cell r="F869" t="b">
            <v>0</v>
          </cell>
          <cell r="G869" t="str">
            <v>MURREYS</v>
          </cell>
          <cell r="H869">
            <v>3540</v>
          </cell>
          <cell r="I869" t="str">
            <v>MCCWR65</v>
          </cell>
          <cell r="J869" t="str">
            <v>MF 1-65 GL CART COUNT</v>
          </cell>
          <cell r="K869">
            <v>7.23</v>
          </cell>
          <cell r="L869">
            <v>7.23</v>
          </cell>
        </row>
        <row r="870">
          <cell r="A870" t="str">
            <v>M-EDGEWOODMULTI-FAMILYMCCWR95</v>
          </cell>
          <cell r="B870" t="str">
            <v>ONCALL</v>
          </cell>
          <cell r="C870" t="str">
            <v>2111</v>
          </cell>
          <cell r="D870" t="str">
            <v>MULTI-FAMILY</v>
          </cell>
          <cell r="E870" t="b">
            <v>0</v>
          </cell>
          <cell r="F870" t="b">
            <v>0</v>
          </cell>
          <cell r="G870" t="str">
            <v>M-EDGEWOOD</v>
          </cell>
          <cell r="H870">
            <v>3542</v>
          </cell>
          <cell r="I870" t="str">
            <v>MCCWR95</v>
          </cell>
          <cell r="J870" t="str">
            <v>MF 1-95 GL CART COUNT</v>
          </cell>
          <cell r="K870">
            <v>10.11</v>
          </cell>
          <cell r="L870">
            <v>10.11</v>
          </cell>
        </row>
        <row r="871">
          <cell r="A871" t="str">
            <v>M-FIFEMULTI-FAMILYMCCWR95</v>
          </cell>
          <cell r="B871" t="str">
            <v>ONCALL</v>
          </cell>
          <cell r="C871" t="str">
            <v>2111</v>
          </cell>
          <cell r="D871" t="str">
            <v>MULTI-FAMILY</v>
          </cell>
          <cell r="E871" t="b">
            <v>0</v>
          </cell>
          <cell r="F871" t="b">
            <v>0</v>
          </cell>
          <cell r="G871" t="str">
            <v>M-FIFE</v>
          </cell>
          <cell r="H871">
            <v>3542</v>
          </cell>
          <cell r="I871" t="str">
            <v>MCCWR95</v>
          </cell>
          <cell r="J871" t="str">
            <v>MF 1-95 GL CART COUNT</v>
          </cell>
          <cell r="K871">
            <v>10.11</v>
          </cell>
          <cell r="L871">
            <v>10.11</v>
          </cell>
        </row>
        <row r="872">
          <cell r="A872" t="str">
            <v>MURREYSMULTI-FAMILYMCCWR95</v>
          </cell>
          <cell r="B872" t="str">
            <v>ONCALL</v>
          </cell>
          <cell r="C872" t="str">
            <v>2111</v>
          </cell>
          <cell r="D872" t="str">
            <v>MULTI-FAMILY</v>
          </cell>
          <cell r="E872" t="b">
            <v>0</v>
          </cell>
          <cell r="F872" t="b">
            <v>0</v>
          </cell>
          <cell r="G872" t="str">
            <v>MURREYS</v>
          </cell>
          <cell r="H872">
            <v>3542</v>
          </cell>
          <cell r="I872" t="str">
            <v>MCCWR95</v>
          </cell>
          <cell r="J872" t="str">
            <v>MF 1-95 GL CART COUNT</v>
          </cell>
          <cell r="K872">
            <v>10.11</v>
          </cell>
          <cell r="L872">
            <v>10.11</v>
          </cell>
        </row>
        <row r="873">
          <cell r="A873" t="str">
            <v>PUYALLUPMULTI-FAMILYMCONNECT</v>
          </cell>
          <cell r="B873" t="str">
            <v>ONCALL</v>
          </cell>
          <cell r="C873" t="str">
            <v>2111</v>
          </cell>
          <cell r="D873" t="str">
            <v>MULTI-FAMILY</v>
          </cell>
          <cell r="E873" t="b">
            <v>0</v>
          </cell>
          <cell r="F873" t="b">
            <v>0</v>
          </cell>
          <cell r="G873" t="str">
            <v>PUYALLUP</v>
          </cell>
          <cell r="H873">
            <v>3295</v>
          </cell>
          <cell r="I873" t="str">
            <v>MCONNECT</v>
          </cell>
          <cell r="J873" t="str">
            <v>MF CONNECT/RECONNECT</v>
          </cell>
          <cell r="K873">
            <v>7.01</v>
          </cell>
          <cell r="L873">
            <v>7.01</v>
          </cell>
        </row>
        <row r="874">
          <cell r="A874" t="str">
            <v>M-EDGEWOODMULTI-FAMILYMRECYCRCANS</v>
          </cell>
          <cell r="B874" t="str">
            <v>MONTHLY ARREARS</v>
          </cell>
          <cell r="C874" t="str">
            <v>2111</v>
          </cell>
          <cell r="D874" t="str">
            <v>MULTI-FAMILY</v>
          </cell>
          <cell r="E874" t="b">
            <v>0</v>
          </cell>
          <cell r="F874" t="b">
            <v>0</v>
          </cell>
          <cell r="G874" t="str">
            <v>M-EDGEWOOD</v>
          </cell>
          <cell r="H874">
            <v>3319</v>
          </cell>
          <cell r="I874" t="str">
            <v>MRECYCRCANS</v>
          </cell>
          <cell r="J874" t="str">
            <v>VALUE OF RECYCLABLES</v>
          </cell>
          <cell r="K874">
            <v>2.0499999999999998</v>
          </cell>
          <cell r="L874">
            <v>2.0499999999999998</v>
          </cell>
        </row>
        <row r="875">
          <cell r="A875" t="str">
            <v>M-FIFEMULTI-FAMILYMRECYCRCANS</v>
          </cell>
          <cell r="B875" t="str">
            <v>MONTHLY ARREARS</v>
          </cell>
          <cell r="C875" t="str">
            <v>2111</v>
          </cell>
          <cell r="D875" t="str">
            <v>MULTI-FAMILY</v>
          </cell>
          <cell r="E875" t="b">
            <v>0</v>
          </cell>
          <cell r="F875" t="b">
            <v>0</v>
          </cell>
          <cell r="G875" t="str">
            <v>M-FIFE</v>
          </cell>
          <cell r="H875">
            <v>3319</v>
          </cell>
          <cell r="I875" t="str">
            <v>MRECYCRCANS</v>
          </cell>
          <cell r="J875" t="str">
            <v>VALUE OF RECYCLABLES</v>
          </cell>
          <cell r="K875">
            <v>2.0499999999999998</v>
          </cell>
          <cell r="L875">
            <v>2.0499999999999998</v>
          </cell>
        </row>
        <row r="876">
          <cell r="A876" t="str">
            <v>MURREYSMULTI-FAMILYMRECYCRCANS</v>
          </cell>
          <cell r="B876" t="str">
            <v>MONTHLY ARREARS</v>
          </cell>
          <cell r="C876" t="str">
            <v>2111</v>
          </cell>
          <cell r="D876" t="str">
            <v>MULTI-FAMILY</v>
          </cell>
          <cell r="E876" t="b">
            <v>0</v>
          </cell>
          <cell r="F876" t="b">
            <v>0</v>
          </cell>
          <cell r="G876" t="str">
            <v>MURREYS</v>
          </cell>
          <cell r="H876">
            <v>3319</v>
          </cell>
          <cell r="I876" t="str">
            <v>MRECYCRCANS</v>
          </cell>
          <cell r="J876" t="str">
            <v>VALUE OF RECYCLABLES</v>
          </cell>
          <cell r="K876">
            <v>2.0499999999999998</v>
          </cell>
          <cell r="L876">
            <v>2.0499999999999998</v>
          </cell>
        </row>
        <row r="877">
          <cell r="A877" t="str">
            <v>M-EDGEWOODMULTI-FAMILYMRECYCRCONT</v>
          </cell>
          <cell r="B877" t="str">
            <v>MONTHLY ARREARS</v>
          </cell>
          <cell r="C877" t="str">
            <v>2111</v>
          </cell>
          <cell r="D877" t="str">
            <v>MULTI-FAMILY</v>
          </cell>
          <cell r="E877" t="b">
            <v>0</v>
          </cell>
          <cell r="F877" t="b">
            <v>0</v>
          </cell>
          <cell r="G877" t="str">
            <v>M-EDGEWOOD</v>
          </cell>
          <cell r="H877">
            <v>3281</v>
          </cell>
          <cell r="I877" t="str">
            <v>MRECYCRCONT</v>
          </cell>
          <cell r="J877" t="str">
            <v>VALUE OF RECYCLABLES</v>
          </cell>
          <cell r="K877">
            <v>3.33</v>
          </cell>
          <cell r="L877">
            <v>3.33</v>
          </cell>
        </row>
        <row r="878">
          <cell r="A878" t="str">
            <v>M-FIFEMULTI-FAMILYMRECYCRCONT</v>
          </cell>
          <cell r="B878" t="str">
            <v>MONTHLY ARREARS</v>
          </cell>
          <cell r="C878" t="str">
            <v>2111</v>
          </cell>
          <cell r="D878" t="str">
            <v>MULTI-FAMILY</v>
          </cell>
          <cell r="E878" t="b">
            <v>0</v>
          </cell>
          <cell r="F878" t="b">
            <v>0</v>
          </cell>
          <cell r="G878" t="str">
            <v>M-FIFE</v>
          </cell>
          <cell r="H878">
            <v>3281</v>
          </cell>
          <cell r="I878" t="str">
            <v>MRECYCRCONT</v>
          </cell>
          <cell r="J878" t="str">
            <v>VALUE OF RECYCLABLES</v>
          </cell>
          <cell r="K878">
            <v>3.33</v>
          </cell>
          <cell r="L878">
            <v>3.33</v>
          </cell>
        </row>
        <row r="879">
          <cell r="A879" t="str">
            <v>MURREYSMULTI-FAMILYMRECYCRCONT</v>
          </cell>
          <cell r="B879" t="str">
            <v>MONTHLY ARREARS</v>
          </cell>
          <cell r="C879" t="str">
            <v>2111</v>
          </cell>
          <cell r="D879" t="str">
            <v>MULTI-FAMILY</v>
          </cell>
          <cell r="E879" t="b">
            <v>0</v>
          </cell>
          <cell r="F879" t="b">
            <v>0</v>
          </cell>
          <cell r="G879" t="str">
            <v>MURREYS</v>
          </cell>
          <cell r="H879">
            <v>3281</v>
          </cell>
          <cell r="I879" t="str">
            <v>MRECYCRCONT</v>
          </cell>
          <cell r="J879" t="str">
            <v>VALUE OF RECYCLABLES</v>
          </cell>
          <cell r="K879">
            <v>3.33</v>
          </cell>
          <cell r="L879">
            <v>3.33</v>
          </cell>
        </row>
        <row r="880">
          <cell r="A880" t="str">
            <v>M-EDGEWOODMULTI-FAMILYMRECYCRCONTCORR</v>
          </cell>
          <cell r="B880" t="str">
            <v>MONTHLY ARREARS</v>
          </cell>
          <cell r="C880" t="str">
            <v>2111</v>
          </cell>
          <cell r="D880" t="str">
            <v>MULTI-FAMILY</v>
          </cell>
          <cell r="E880" t="b">
            <v>0</v>
          </cell>
          <cell r="F880" t="b">
            <v>0</v>
          </cell>
          <cell r="G880" t="str">
            <v>M-EDGEWOOD</v>
          </cell>
          <cell r="H880">
            <v>3568</v>
          </cell>
          <cell r="I880" t="str">
            <v>MRECYCRCONTCORR</v>
          </cell>
          <cell r="J880" t="str">
            <v>COMMODITY ADJUSTMENT CORR</v>
          </cell>
          <cell r="K880">
            <v>4.29</v>
          </cell>
          <cell r="L880">
            <v>4.29</v>
          </cell>
        </row>
        <row r="881">
          <cell r="A881" t="str">
            <v>M-FIFEMULTI-FAMILYMRECYCRCONTCORR</v>
          </cell>
          <cell r="B881" t="str">
            <v>MONTHLY ARREARS</v>
          </cell>
          <cell r="C881" t="str">
            <v>2111</v>
          </cell>
          <cell r="D881" t="str">
            <v>MULTI-FAMILY</v>
          </cell>
          <cell r="E881" t="b">
            <v>0</v>
          </cell>
          <cell r="F881" t="b">
            <v>0</v>
          </cell>
          <cell r="G881" t="str">
            <v>M-FIFE</v>
          </cell>
          <cell r="H881">
            <v>3568</v>
          </cell>
          <cell r="I881" t="str">
            <v>MRECYCRCONTCORR</v>
          </cell>
          <cell r="J881" t="str">
            <v>COMMODITY ADJUSTMENT CORR</v>
          </cell>
          <cell r="K881">
            <v>4.29</v>
          </cell>
          <cell r="L881">
            <v>4.29</v>
          </cell>
        </row>
        <row r="882">
          <cell r="A882" t="str">
            <v>MURREYSMULTI-FAMILYMRECYCRCONTCORR</v>
          </cell>
          <cell r="B882" t="str">
            <v>MONTHLY ARREARS</v>
          </cell>
          <cell r="C882" t="str">
            <v>2111</v>
          </cell>
          <cell r="D882" t="str">
            <v>MULTI-FAMILY</v>
          </cell>
          <cell r="E882" t="b">
            <v>0</v>
          </cell>
          <cell r="F882" t="b">
            <v>0</v>
          </cell>
          <cell r="G882" t="str">
            <v>MURREYS</v>
          </cell>
          <cell r="H882">
            <v>3568</v>
          </cell>
          <cell r="I882" t="str">
            <v>MRECYCRCONTCORR</v>
          </cell>
          <cell r="J882" t="str">
            <v>COMMODITY ADJUSTMENT CORR</v>
          </cell>
          <cell r="K882">
            <v>4.29</v>
          </cell>
          <cell r="L882">
            <v>4.29</v>
          </cell>
        </row>
        <row r="883">
          <cell r="A883" t="str">
            <v>M-EDGEWOODMULTI-FAMILYMRECYIN</v>
          </cell>
          <cell r="B883" t="str">
            <v>MONTHLY ARREARS</v>
          </cell>
          <cell r="C883" t="str">
            <v>2111</v>
          </cell>
          <cell r="D883" t="str">
            <v>MULTI-FAMILY</v>
          </cell>
          <cell r="E883" t="b">
            <v>0</v>
          </cell>
          <cell r="F883" t="b">
            <v>0</v>
          </cell>
          <cell r="G883" t="str">
            <v>M-EDGEWOOD</v>
          </cell>
          <cell r="H883">
            <v>3212</v>
          </cell>
          <cell r="I883" t="str">
            <v>MRECYIN</v>
          </cell>
          <cell r="J883" t="str">
            <v>MF RECYCLING INCENTIVE</v>
          </cell>
          <cell r="K883">
            <v>0.75</v>
          </cell>
          <cell r="L883">
            <v>0.75</v>
          </cell>
        </row>
        <row r="884">
          <cell r="A884" t="str">
            <v>M-FIFEMULTI-FAMILYMRECYIN</v>
          </cell>
          <cell r="B884" t="str">
            <v>MONTHLY ARREARS</v>
          </cell>
          <cell r="C884" t="str">
            <v>2111</v>
          </cell>
          <cell r="D884" t="str">
            <v>MULTI-FAMILY</v>
          </cell>
          <cell r="E884" t="b">
            <v>0</v>
          </cell>
          <cell r="F884" t="b">
            <v>0</v>
          </cell>
          <cell r="G884" t="str">
            <v>M-FIFE</v>
          </cell>
          <cell r="H884">
            <v>3212</v>
          </cell>
          <cell r="I884" t="str">
            <v>MRECYIN</v>
          </cell>
          <cell r="J884" t="str">
            <v>MF RECYCLING INCENTIVE</v>
          </cell>
          <cell r="K884">
            <v>0.75</v>
          </cell>
          <cell r="L884">
            <v>0.75</v>
          </cell>
        </row>
        <row r="885">
          <cell r="A885" t="str">
            <v>MURREYSMULTI-FAMILYMRECYIN</v>
          </cell>
          <cell r="B885" t="str">
            <v>MONTHLY ARREARS</v>
          </cell>
          <cell r="C885" t="str">
            <v>2111</v>
          </cell>
          <cell r="D885" t="str">
            <v>MULTI-FAMILY</v>
          </cell>
          <cell r="E885" t="b">
            <v>0</v>
          </cell>
          <cell r="F885" t="b">
            <v>0</v>
          </cell>
          <cell r="G885" t="str">
            <v>MURREYS</v>
          </cell>
          <cell r="H885">
            <v>3212</v>
          </cell>
          <cell r="I885" t="str">
            <v>MRECYIN</v>
          </cell>
          <cell r="J885" t="str">
            <v>MF RECYCLING INCENTIVE</v>
          </cell>
          <cell r="K885">
            <v>0.75</v>
          </cell>
          <cell r="L885">
            <v>0.75</v>
          </cell>
        </row>
        <row r="886">
          <cell r="A886" t="str">
            <v>M-EDGEWOODMULTI-FAMILYMRECYONLY</v>
          </cell>
          <cell r="B886" t="str">
            <v>MONTHLY ARREARS</v>
          </cell>
          <cell r="C886" t="str">
            <v>2111</v>
          </cell>
          <cell r="D886" t="str">
            <v>MULTI-FAMILY</v>
          </cell>
          <cell r="E886" t="b">
            <v>0</v>
          </cell>
          <cell r="F886" t="b">
            <v>0</v>
          </cell>
          <cell r="G886" t="str">
            <v>M-EDGEWOOD</v>
          </cell>
          <cell r="H886">
            <v>3511</v>
          </cell>
          <cell r="I886" t="str">
            <v>MRECYONLY</v>
          </cell>
          <cell r="J886" t="str">
            <v>MF RECYCLE ONLY</v>
          </cell>
          <cell r="K886">
            <v>11.12</v>
          </cell>
          <cell r="L886">
            <v>11.12</v>
          </cell>
        </row>
        <row r="887">
          <cell r="A887" t="str">
            <v>M-FIFEMULTI-FAMILYMRECYONLY</v>
          </cell>
          <cell r="B887" t="str">
            <v>MONTHLY ARREARS</v>
          </cell>
          <cell r="C887" t="str">
            <v>2111</v>
          </cell>
          <cell r="D887" t="str">
            <v>MULTI-FAMILY</v>
          </cell>
          <cell r="E887" t="b">
            <v>0</v>
          </cell>
          <cell r="F887" t="b">
            <v>0</v>
          </cell>
          <cell r="G887" t="str">
            <v>M-FIFE</v>
          </cell>
          <cell r="H887">
            <v>3511</v>
          </cell>
          <cell r="I887" t="str">
            <v>MRECYONLY</v>
          </cell>
          <cell r="J887" t="str">
            <v>MF RECYCLE ONLY</v>
          </cell>
          <cell r="K887">
            <v>11.12</v>
          </cell>
          <cell r="L887">
            <v>11.12</v>
          </cell>
        </row>
        <row r="888">
          <cell r="A888" t="str">
            <v>MURREYSMULTI-FAMILYMRECYONLY</v>
          </cell>
          <cell r="B888" t="str">
            <v>MONTHLY ARREARS</v>
          </cell>
          <cell r="C888" t="str">
            <v>2111</v>
          </cell>
          <cell r="D888" t="str">
            <v>MULTI-FAMILY</v>
          </cell>
          <cell r="E888" t="b">
            <v>0</v>
          </cell>
          <cell r="F888" t="b">
            <v>0</v>
          </cell>
          <cell r="G888" t="str">
            <v>MURREYS</v>
          </cell>
          <cell r="H888">
            <v>3511</v>
          </cell>
          <cell r="I888" t="str">
            <v>MRECYONLY</v>
          </cell>
          <cell r="J888" t="str">
            <v>MF RECYCLE ONLY</v>
          </cell>
          <cell r="K888">
            <v>11.12</v>
          </cell>
          <cell r="L888">
            <v>11.12</v>
          </cell>
        </row>
        <row r="889">
          <cell r="A889" t="str">
            <v>M-EDGEWOODMULTI-FAMILYMRECYR</v>
          </cell>
          <cell r="B889" t="str">
            <v>MONTHLY ARREARS</v>
          </cell>
          <cell r="C889" t="str">
            <v>2111</v>
          </cell>
          <cell r="D889" t="str">
            <v>MULTI-FAMILY</v>
          </cell>
          <cell r="E889" t="b">
            <v>0</v>
          </cell>
          <cell r="F889" t="b">
            <v>0</v>
          </cell>
          <cell r="G889" t="str">
            <v>M-EDGEWOOD</v>
          </cell>
          <cell r="H889">
            <v>3313</v>
          </cell>
          <cell r="I889" t="str">
            <v>MRECYR</v>
          </cell>
          <cell r="J889" t="str">
            <v>RECYCLE PROGRAM W/ BINS</v>
          </cell>
          <cell r="K889">
            <v>7.41</v>
          </cell>
          <cell r="L889">
            <v>7.41</v>
          </cell>
        </row>
        <row r="890">
          <cell r="A890" t="str">
            <v>M-FIFEMULTI-FAMILYMRECYR</v>
          </cell>
          <cell r="B890" t="str">
            <v>MONTHLY ARREARS</v>
          </cell>
          <cell r="C890" t="str">
            <v>2111</v>
          </cell>
          <cell r="D890" t="str">
            <v>MULTI-FAMILY</v>
          </cell>
          <cell r="E890" t="b">
            <v>0</v>
          </cell>
          <cell r="F890" t="b">
            <v>0</v>
          </cell>
          <cell r="G890" t="str">
            <v>M-FIFE</v>
          </cell>
          <cell r="H890">
            <v>3313</v>
          </cell>
          <cell r="I890" t="str">
            <v>MRECYR</v>
          </cell>
          <cell r="J890" t="str">
            <v>RECYCLE PROGRAM W/ BINS</v>
          </cell>
          <cell r="K890">
            <v>7.41</v>
          </cell>
          <cell r="L890">
            <v>7.41</v>
          </cell>
        </row>
        <row r="891">
          <cell r="A891" t="str">
            <v>MURREYSMULTI-FAMILYMRECYR</v>
          </cell>
          <cell r="B891" t="str">
            <v>MONTHLY ARREARS</v>
          </cell>
          <cell r="C891" t="str">
            <v>2111</v>
          </cell>
          <cell r="D891" t="str">
            <v>MULTI-FAMILY</v>
          </cell>
          <cell r="E891" t="b">
            <v>0</v>
          </cell>
          <cell r="F891" t="b">
            <v>0</v>
          </cell>
          <cell r="G891" t="str">
            <v>MURREYS</v>
          </cell>
          <cell r="H891">
            <v>3313</v>
          </cell>
          <cell r="I891" t="str">
            <v>MRECYR</v>
          </cell>
          <cell r="J891" t="str">
            <v>RECYCLE PROGRAM W/ BINS</v>
          </cell>
          <cell r="K891">
            <v>7.41</v>
          </cell>
          <cell r="L891">
            <v>7.41</v>
          </cell>
        </row>
        <row r="892">
          <cell r="A892" t="str">
            <v>ORTINGMULTI-FAMILYMRECYR</v>
          </cell>
          <cell r="B892" t="str">
            <v>MONTHLY ARREARS</v>
          </cell>
          <cell r="C892" t="str">
            <v>2111</v>
          </cell>
          <cell r="D892" t="str">
            <v>MULTI-FAMILY</v>
          </cell>
          <cell r="E892" t="b">
            <v>0</v>
          </cell>
          <cell r="F892" t="b">
            <v>0</v>
          </cell>
          <cell r="G892" t="str">
            <v>ORTING</v>
          </cell>
          <cell r="H892">
            <v>3313</v>
          </cell>
          <cell r="I892" t="str">
            <v>MRECYR</v>
          </cell>
          <cell r="J892" t="str">
            <v>RECYCLE PROGRAM W/ BINS</v>
          </cell>
          <cell r="K892">
            <v>9.5399999999999991</v>
          </cell>
          <cell r="L892">
            <v>9.5399999999999991</v>
          </cell>
        </row>
        <row r="893">
          <cell r="A893" t="str">
            <v>M-EDGEWOODMULTI-FAMILYMRENT2YDRECY</v>
          </cell>
          <cell r="B893" t="str">
            <v>MONTHLY ARREARS</v>
          </cell>
          <cell r="C893" t="str">
            <v>2111</v>
          </cell>
          <cell r="D893" t="str">
            <v>MULTI-FAMILY</v>
          </cell>
          <cell r="E893" t="b">
            <v>0</v>
          </cell>
          <cell r="F893" t="b">
            <v>0</v>
          </cell>
          <cell r="G893" t="str">
            <v>M-EDGEWOOD</v>
          </cell>
          <cell r="H893">
            <v>3224</v>
          </cell>
          <cell r="I893" t="str">
            <v>MRENT2YDRECY</v>
          </cell>
          <cell r="J893" t="str">
            <v>MF 2YD RECYCLE RENT</v>
          </cell>
          <cell r="K893">
            <v>11.63</v>
          </cell>
          <cell r="L893">
            <v>11.63</v>
          </cell>
        </row>
        <row r="894">
          <cell r="A894" t="str">
            <v>M-FIFEMULTI-FAMILYMRENT2YDRECY</v>
          </cell>
          <cell r="B894" t="str">
            <v>MONTHLY ARREARS</v>
          </cell>
          <cell r="C894" t="str">
            <v>2111</v>
          </cell>
          <cell r="D894" t="str">
            <v>MULTI-FAMILY</v>
          </cell>
          <cell r="E894" t="b">
            <v>0</v>
          </cell>
          <cell r="F894" t="b">
            <v>0</v>
          </cell>
          <cell r="G894" t="str">
            <v>M-FIFE</v>
          </cell>
          <cell r="H894">
            <v>3224</v>
          </cell>
          <cell r="I894" t="str">
            <v>MRENT2YDRECY</v>
          </cell>
          <cell r="J894" t="str">
            <v>MF 2YD RECYCLE RENT</v>
          </cell>
          <cell r="K894">
            <v>11.63</v>
          </cell>
          <cell r="L894">
            <v>11.63</v>
          </cell>
        </row>
        <row r="895">
          <cell r="A895" t="str">
            <v>MURREYSMULTI-FAMILYMRENT2YDRECY</v>
          </cell>
          <cell r="B895" t="str">
            <v>MONTHLY ARREARS</v>
          </cell>
          <cell r="C895" t="str">
            <v>2111</v>
          </cell>
          <cell r="D895" t="str">
            <v>MULTI-FAMILY</v>
          </cell>
          <cell r="E895" t="b">
            <v>0</v>
          </cell>
          <cell r="F895" t="b">
            <v>0</v>
          </cell>
          <cell r="G895" t="str">
            <v>MURREYS</v>
          </cell>
          <cell r="H895">
            <v>3224</v>
          </cell>
          <cell r="I895" t="str">
            <v>MRENT2YDRECY</v>
          </cell>
          <cell r="J895" t="str">
            <v>MF 2YD RECYCLE RENT</v>
          </cell>
          <cell r="K895">
            <v>11.63</v>
          </cell>
          <cell r="L895">
            <v>11.63</v>
          </cell>
        </row>
        <row r="896">
          <cell r="A896" t="str">
            <v>M-EDGEWOODMULTI-FAMILYMRENT6YDRECY</v>
          </cell>
          <cell r="B896" t="str">
            <v>MONTHLY ARREARS</v>
          </cell>
          <cell r="C896" t="str">
            <v>2111</v>
          </cell>
          <cell r="D896" t="str">
            <v>MULTI-FAMILY</v>
          </cell>
          <cell r="E896" t="b">
            <v>0</v>
          </cell>
          <cell r="F896" t="b">
            <v>0</v>
          </cell>
          <cell r="G896" t="str">
            <v>M-EDGEWOOD</v>
          </cell>
          <cell r="H896">
            <v>3221</v>
          </cell>
          <cell r="I896" t="str">
            <v>MRENT6YDRECY</v>
          </cell>
          <cell r="J896" t="str">
            <v>MF 6YD RECYCLE RENT</v>
          </cell>
          <cell r="K896">
            <v>17.18</v>
          </cell>
          <cell r="L896">
            <v>17.18</v>
          </cell>
        </row>
        <row r="897">
          <cell r="A897" t="str">
            <v>M-FIFEMULTI-FAMILYMRENT6YDRECY</v>
          </cell>
          <cell r="B897" t="str">
            <v>MONTHLY ARREARS</v>
          </cell>
          <cell r="C897" t="str">
            <v>2111</v>
          </cell>
          <cell r="D897" t="str">
            <v>MULTI-FAMILY</v>
          </cell>
          <cell r="E897" t="b">
            <v>0</v>
          </cell>
          <cell r="F897" t="b">
            <v>0</v>
          </cell>
          <cell r="G897" t="str">
            <v>M-FIFE</v>
          </cell>
          <cell r="H897">
            <v>3221</v>
          </cell>
          <cell r="I897" t="str">
            <v>MRENT6YDRECY</v>
          </cell>
          <cell r="J897" t="str">
            <v>MF 6YD RECYCLE RENT</v>
          </cell>
          <cell r="K897">
            <v>17.18</v>
          </cell>
          <cell r="L897">
            <v>17.18</v>
          </cell>
        </row>
        <row r="898">
          <cell r="A898" t="str">
            <v>MURREYSMULTI-FAMILYMRENT6YDRECY</v>
          </cell>
          <cell r="B898" t="str">
            <v>MONTHLY ARREARS</v>
          </cell>
          <cell r="C898" t="str">
            <v>2111</v>
          </cell>
          <cell r="D898" t="str">
            <v>MULTI-FAMILY</v>
          </cell>
          <cell r="E898" t="b">
            <v>0</v>
          </cell>
          <cell r="F898" t="b">
            <v>0</v>
          </cell>
          <cell r="G898" t="str">
            <v>MURREYS</v>
          </cell>
          <cell r="H898">
            <v>3221</v>
          </cell>
          <cell r="I898" t="str">
            <v>MRENT6YDRECY</v>
          </cell>
          <cell r="J898" t="str">
            <v>MF 6YD RECYCLE RENT</v>
          </cell>
          <cell r="K898">
            <v>17.18</v>
          </cell>
          <cell r="L898">
            <v>17.18</v>
          </cell>
        </row>
        <row r="899">
          <cell r="A899" t="str">
            <v>M-EDGEWOODMULTI-FAMILYMRENT90</v>
          </cell>
          <cell r="B899" t="str">
            <v>MONTHLY ARREARS</v>
          </cell>
          <cell r="C899" t="str">
            <v>2111</v>
          </cell>
          <cell r="D899" t="str">
            <v>MULTI-FAMILY</v>
          </cell>
          <cell r="E899" t="b">
            <v>0</v>
          </cell>
          <cell r="F899" t="b">
            <v>0</v>
          </cell>
          <cell r="G899" t="str">
            <v>M-EDGEWOOD</v>
          </cell>
          <cell r="H899">
            <v>3219</v>
          </cell>
          <cell r="I899" t="str">
            <v>MRENT90</v>
          </cell>
          <cell r="J899" t="str">
            <v>MF 90GAL TOTER RENT</v>
          </cell>
          <cell r="K899">
            <v>4.4400000000000004</v>
          </cell>
          <cell r="L899">
            <v>4.4400000000000004</v>
          </cell>
        </row>
        <row r="900">
          <cell r="A900" t="str">
            <v>M-FIFEMULTI-FAMILYMRENT90</v>
          </cell>
          <cell r="B900" t="str">
            <v>MONTHLY ARREARS</v>
          </cell>
          <cell r="C900" t="str">
            <v>2111</v>
          </cell>
          <cell r="D900" t="str">
            <v>MULTI-FAMILY</v>
          </cell>
          <cell r="E900" t="b">
            <v>0</v>
          </cell>
          <cell r="F900" t="b">
            <v>0</v>
          </cell>
          <cell r="G900" t="str">
            <v>M-FIFE</v>
          </cell>
          <cell r="H900">
            <v>3219</v>
          </cell>
          <cell r="I900" t="str">
            <v>MRENT90</v>
          </cell>
          <cell r="J900" t="str">
            <v>MF 90GAL TOTER RENT</v>
          </cell>
          <cell r="K900">
            <v>4.4400000000000004</v>
          </cell>
          <cell r="L900">
            <v>4.4400000000000004</v>
          </cell>
        </row>
        <row r="901">
          <cell r="A901" t="str">
            <v>MURREYSMULTI-FAMILYMRENT90</v>
          </cell>
          <cell r="B901" t="str">
            <v>MONTHLY ARREARS</v>
          </cell>
          <cell r="C901" t="str">
            <v>2111</v>
          </cell>
          <cell r="D901" t="str">
            <v>MULTI-FAMILY</v>
          </cell>
          <cell r="E901" t="b">
            <v>0</v>
          </cell>
          <cell r="F901" t="b">
            <v>0</v>
          </cell>
          <cell r="G901" t="str">
            <v>MURREYS</v>
          </cell>
          <cell r="H901">
            <v>3219</v>
          </cell>
          <cell r="I901" t="str">
            <v>MRENT90</v>
          </cell>
          <cell r="J901" t="str">
            <v>MF 90GAL TOTER RENT</v>
          </cell>
          <cell r="K901">
            <v>4.4400000000000004</v>
          </cell>
          <cell r="L901">
            <v>4.4400000000000004</v>
          </cell>
        </row>
        <row r="902">
          <cell r="A902" t="str">
            <v>M-EDGEWOODMULTI-FAMILYMROLL</v>
          </cell>
          <cell r="B902" t="str">
            <v>MONTHLY ARREARS</v>
          </cell>
          <cell r="C902" t="str">
            <v>2111</v>
          </cell>
          <cell r="D902" t="str">
            <v>MULTI-FAMILY</v>
          </cell>
          <cell r="E902" t="b">
            <v>0</v>
          </cell>
          <cell r="F902" t="b">
            <v>0</v>
          </cell>
          <cell r="G902" t="str">
            <v>M-EDGEWOOD</v>
          </cell>
          <cell r="H902">
            <v>2222</v>
          </cell>
          <cell r="I902" t="str">
            <v>MROLL</v>
          </cell>
          <cell r="J902" t="str">
            <v>ROLLOUT CHARGE - MF</v>
          </cell>
          <cell r="K902">
            <v>17.059999999999999</v>
          </cell>
          <cell r="L902">
            <v>17.059999999999999</v>
          </cell>
        </row>
        <row r="903">
          <cell r="A903" t="str">
            <v>M-FIFEMULTI-FAMILYMROLL</v>
          </cell>
          <cell r="B903" t="str">
            <v>MONTHLY ARREARS</v>
          </cell>
          <cell r="C903" t="str">
            <v>2111</v>
          </cell>
          <cell r="D903" t="str">
            <v>MULTI-FAMILY</v>
          </cell>
          <cell r="E903" t="b">
            <v>0</v>
          </cell>
          <cell r="F903" t="b">
            <v>0</v>
          </cell>
          <cell r="G903" t="str">
            <v>M-FIFE</v>
          </cell>
          <cell r="H903">
            <v>2222</v>
          </cell>
          <cell r="I903" t="str">
            <v>MROLL</v>
          </cell>
          <cell r="J903" t="str">
            <v>ROLLOUT CHARGE - MF</v>
          </cell>
          <cell r="K903">
            <v>17.059999999999999</v>
          </cell>
          <cell r="L903">
            <v>17.059999999999999</v>
          </cell>
        </row>
        <row r="904">
          <cell r="A904" t="str">
            <v>MURREYSMULTI-FAMILYMROLL</v>
          </cell>
          <cell r="B904" t="str">
            <v>MONTHLY ARREARS</v>
          </cell>
          <cell r="C904" t="str">
            <v>2111</v>
          </cell>
          <cell r="D904" t="str">
            <v>MULTI-FAMILY</v>
          </cell>
          <cell r="E904" t="b">
            <v>0</v>
          </cell>
          <cell r="F904" t="b">
            <v>0</v>
          </cell>
          <cell r="G904" t="str">
            <v>MURREYS</v>
          </cell>
          <cell r="H904">
            <v>2222</v>
          </cell>
          <cell r="I904" t="str">
            <v>MROLL</v>
          </cell>
          <cell r="J904" t="str">
            <v>ROLLOUT CHARGE - MF</v>
          </cell>
          <cell r="K904">
            <v>17.059999999999999</v>
          </cell>
          <cell r="L904">
            <v>17.059999999999999</v>
          </cell>
        </row>
        <row r="905">
          <cell r="A905" t="str">
            <v>M-EDGEWOODMULTI-FAMILYMSRTOT</v>
          </cell>
          <cell r="B905" t="str">
            <v>MONTHLY ARREARS</v>
          </cell>
          <cell r="C905" t="str">
            <v>2111</v>
          </cell>
          <cell r="D905" t="str">
            <v>MULTI-FAMILY</v>
          </cell>
          <cell r="E905" t="b">
            <v>0</v>
          </cell>
          <cell r="F905" t="b">
            <v>0</v>
          </cell>
          <cell r="G905" t="str">
            <v>M-EDGEWOOD</v>
          </cell>
          <cell r="H905">
            <v>3284</v>
          </cell>
          <cell r="I905" t="str">
            <v>MSRTOT</v>
          </cell>
          <cell r="J905" t="str">
            <v>MF TOTER SERVICE</v>
          </cell>
          <cell r="K905">
            <v>7.5</v>
          </cell>
          <cell r="L905">
            <v>7.5</v>
          </cell>
        </row>
        <row r="906">
          <cell r="A906" t="str">
            <v>M-FIFEMULTI-FAMILYMSRTOT</v>
          </cell>
          <cell r="B906" t="str">
            <v>MONTHLY ARREARS</v>
          </cell>
          <cell r="C906" t="str">
            <v>2111</v>
          </cell>
          <cell r="D906" t="str">
            <v>MULTI-FAMILY</v>
          </cell>
          <cell r="E906" t="b">
            <v>0</v>
          </cell>
          <cell r="F906" t="b">
            <v>0</v>
          </cell>
          <cell r="G906" t="str">
            <v>M-FIFE</v>
          </cell>
          <cell r="H906">
            <v>3284</v>
          </cell>
          <cell r="I906" t="str">
            <v>MSRTOT</v>
          </cell>
          <cell r="J906" t="str">
            <v>MF TOTER SERVICE</v>
          </cell>
          <cell r="K906">
            <v>7.5</v>
          </cell>
          <cell r="L906">
            <v>7.5</v>
          </cell>
        </row>
        <row r="907">
          <cell r="A907" t="str">
            <v>MURREYSMULTI-FAMILYMSRTOT</v>
          </cell>
          <cell r="B907" t="str">
            <v>MONTHLY ARREARS</v>
          </cell>
          <cell r="C907" t="str">
            <v>2111</v>
          </cell>
          <cell r="D907" t="str">
            <v>MULTI-FAMILY</v>
          </cell>
          <cell r="E907" t="b">
            <v>0</v>
          </cell>
          <cell r="F907" t="b">
            <v>0</v>
          </cell>
          <cell r="G907" t="str">
            <v>MURREYS</v>
          </cell>
          <cell r="H907">
            <v>3284</v>
          </cell>
          <cell r="I907" t="str">
            <v>MSRTOT</v>
          </cell>
          <cell r="J907" t="str">
            <v>MF TOTER SERVICE</v>
          </cell>
          <cell r="K907">
            <v>7.5</v>
          </cell>
          <cell r="L907">
            <v>7.5</v>
          </cell>
        </row>
        <row r="908">
          <cell r="A908" t="str">
            <v>M-EDGEWOODMULTI-FAMILYMUNLOCK</v>
          </cell>
          <cell r="B908" t="str">
            <v>MONTHLY ARREARS</v>
          </cell>
          <cell r="C908" t="str">
            <v>2111</v>
          </cell>
          <cell r="D908" t="str">
            <v>MULTI-FAMILY</v>
          </cell>
          <cell r="E908" t="b">
            <v>0</v>
          </cell>
          <cell r="F908" t="b">
            <v>0</v>
          </cell>
          <cell r="G908" t="str">
            <v>M-EDGEWOOD</v>
          </cell>
          <cell r="H908">
            <v>3482</v>
          </cell>
          <cell r="I908" t="str">
            <v>MUNLOCK</v>
          </cell>
          <cell r="J908" t="str">
            <v>MF UNLOCK GATE OR CONT</v>
          </cell>
          <cell r="K908">
            <v>4.76</v>
          </cell>
          <cell r="L908">
            <v>4.76</v>
          </cell>
        </row>
        <row r="909">
          <cell r="A909" t="str">
            <v>M-FIFEMULTI-FAMILYMUNLOCK</v>
          </cell>
          <cell r="B909" t="str">
            <v>MONTHLY ARREARS</v>
          </cell>
          <cell r="C909" t="str">
            <v>2111</v>
          </cell>
          <cell r="D909" t="str">
            <v>MULTI-FAMILY</v>
          </cell>
          <cell r="E909" t="b">
            <v>0</v>
          </cell>
          <cell r="F909" t="b">
            <v>0</v>
          </cell>
          <cell r="G909" t="str">
            <v>M-FIFE</v>
          </cell>
          <cell r="H909">
            <v>3482</v>
          </cell>
          <cell r="I909" t="str">
            <v>MUNLOCK</v>
          </cell>
          <cell r="J909" t="str">
            <v>MF UNLOCK GATE OR CONT</v>
          </cell>
          <cell r="K909">
            <v>4.76</v>
          </cell>
          <cell r="L909">
            <v>4.76</v>
          </cell>
        </row>
        <row r="910">
          <cell r="A910" t="str">
            <v>MURREYSMULTI-FAMILYMUNLOCK</v>
          </cell>
          <cell r="B910" t="str">
            <v>MONTHLY ARREARS</v>
          </cell>
          <cell r="C910" t="str">
            <v>2111</v>
          </cell>
          <cell r="D910" t="str">
            <v>MULTI-FAMILY</v>
          </cell>
          <cell r="E910" t="b">
            <v>0</v>
          </cell>
          <cell r="F910" t="b">
            <v>0</v>
          </cell>
          <cell r="G910" t="str">
            <v>MURREYS</v>
          </cell>
          <cell r="H910">
            <v>3482</v>
          </cell>
          <cell r="I910" t="str">
            <v>MUNLOCK</v>
          </cell>
          <cell r="J910" t="str">
            <v>MF UNLOCK GATE OR CONT</v>
          </cell>
          <cell r="K910">
            <v>4.76</v>
          </cell>
          <cell r="L910">
            <v>4.76</v>
          </cell>
        </row>
        <row r="911">
          <cell r="A911" t="str">
            <v>RUSTONMULTI-FAMILYMYDW65</v>
          </cell>
          <cell r="B911" t="e">
            <v>#N/A</v>
          </cell>
          <cell r="C911" t="str">
            <v>2111</v>
          </cell>
          <cell r="D911" t="str">
            <v>MULTI-FAMILY</v>
          </cell>
          <cell r="E911" t="b">
            <v>0</v>
          </cell>
          <cell r="F911" t="b">
            <v>0</v>
          </cell>
          <cell r="G911" t="str">
            <v>RUSTON</v>
          </cell>
          <cell r="H911">
            <v>3580</v>
          </cell>
          <cell r="I911" t="str">
            <v>MYDW65</v>
          </cell>
          <cell r="J911" t="str">
            <v>65 GAL WKLY YARDWASTE</v>
          </cell>
          <cell r="K911">
            <v>17.940000000000001</v>
          </cell>
          <cell r="L911">
            <v>17.940000000000001</v>
          </cell>
        </row>
        <row r="912">
          <cell r="A912" t="str">
            <v>BUCKLEYMULTI-FAMILYMYDW90</v>
          </cell>
          <cell r="B912" t="str">
            <v>MONTHLY ARREARS</v>
          </cell>
          <cell r="C912" t="str">
            <v>2111</v>
          </cell>
          <cell r="D912" t="str">
            <v>MULTI-FAMILY</v>
          </cell>
          <cell r="E912" t="b">
            <v>0</v>
          </cell>
          <cell r="F912" t="b">
            <v>0</v>
          </cell>
          <cell r="G912" t="str">
            <v>BUCKLEY</v>
          </cell>
          <cell r="H912">
            <v>3142</v>
          </cell>
          <cell r="I912" t="str">
            <v>MYDW90</v>
          </cell>
          <cell r="J912" t="str">
            <v>MF YARDWASTE</v>
          </cell>
          <cell r="K912">
            <v>7.04</v>
          </cell>
          <cell r="L912">
            <v>7.04</v>
          </cell>
        </row>
        <row r="913">
          <cell r="A913" t="str">
            <v>M-EDGEWOODMULTI-FAMILYMYDW90</v>
          </cell>
          <cell r="B913" t="str">
            <v>BI-MONTHLY SPLIT ODD</v>
          </cell>
          <cell r="C913" t="str">
            <v>2111</v>
          </cell>
          <cell r="D913" t="str">
            <v>MULTI-FAMILY</v>
          </cell>
          <cell r="E913" t="b">
            <v>0</v>
          </cell>
          <cell r="F913" t="b">
            <v>0</v>
          </cell>
          <cell r="G913" t="str">
            <v>M-EDGEWOOD</v>
          </cell>
          <cell r="H913">
            <v>3142</v>
          </cell>
          <cell r="I913" t="str">
            <v>MYDW90</v>
          </cell>
          <cell r="J913" t="str">
            <v>MF YARDWASTE</v>
          </cell>
          <cell r="K913">
            <v>6.23</v>
          </cell>
          <cell r="L913">
            <v>3.1150000000000002</v>
          </cell>
        </row>
        <row r="914">
          <cell r="A914" t="str">
            <v>M-FIFEMULTI-FAMILYMYDW90</v>
          </cell>
          <cell r="B914" t="str">
            <v>BI-MONTHLY SPLIT ODD</v>
          </cell>
          <cell r="C914" t="str">
            <v>2111</v>
          </cell>
          <cell r="D914" t="str">
            <v>MULTI-FAMILY</v>
          </cell>
          <cell r="E914" t="b">
            <v>0</v>
          </cell>
          <cell r="F914" t="b">
            <v>0</v>
          </cell>
          <cell r="G914" t="str">
            <v>M-FIFE</v>
          </cell>
          <cell r="H914">
            <v>3142</v>
          </cell>
          <cell r="I914" t="str">
            <v>MYDW90</v>
          </cell>
          <cell r="J914" t="str">
            <v>MF YARDWASTE</v>
          </cell>
          <cell r="K914">
            <v>6.23</v>
          </cell>
          <cell r="L914">
            <v>3.1150000000000002</v>
          </cell>
        </row>
        <row r="915">
          <cell r="A915" t="str">
            <v>MURREYSMULTI-FAMILYMYDW90</v>
          </cell>
          <cell r="B915" t="str">
            <v>BI-MONTHLY SPLIT ODD</v>
          </cell>
          <cell r="C915" t="str">
            <v>2111</v>
          </cell>
          <cell r="D915" t="str">
            <v>MULTI-FAMILY</v>
          </cell>
          <cell r="E915" t="b">
            <v>0</v>
          </cell>
          <cell r="F915" t="b">
            <v>0</v>
          </cell>
          <cell r="G915" t="str">
            <v>MURREYS</v>
          </cell>
          <cell r="H915">
            <v>3142</v>
          </cell>
          <cell r="I915" t="str">
            <v>MYDW90</v>
          </cell>
          <cell r="J915" t="str">
            <v>MF YARDWASTE</v>
          </cell>
          <cell r="K915">
            <v>6.23</v>
          </cell>
          <cell r="L915">
            <v>3.1150000000000002</v>
          </cell>
        </row>
        <row r="916">
          <cell r="A916" t="str">
            <v>RUSTONMULTI-FAMILYMYDW90</v>
          </cell>
          <cell r="B916" t="str">
            <v>BI-MONTHLY SPLIT ODD</v>
          </cell>
          <cell r="C916" t="str">
            <v>2111</v>
          </cell>
          <cell r="D916" t="str">
            <v>MULTI-FAMILY</v>
          </cell>
          <cell r="E916" t="b">
            <v>0</v>
          </cell>
          <cell r="F916" t="b">
            <v>0</v>
          </cell>
          <cell r="G916" t="str">
            <v>RUSTON</v>
          </cell>
          <cell r="H916">
            <v>3142</v>
          </cell>
          <cell r="I916" t="str">
            <v>MYDW90</v>
          </cell>
          <cell r="J916" t="str">
            <v>MF YARDWASTE</v>
          </cell>
          <cell r="K916">
            <v>17.940000000000001</v>
          </cell>
          <cell r="L916">
            <v>8.9700000000000006</v>
          </cell>
        </row>
        <row r="917">
          <cell r="A917" t="str">
            <v>SUMNERMULTI-FAMILYMYDW90</v>
          </cell>
          <cell r="B917" t="str">
            <v>BI-MONTHLY SPLIT ODD</v>
          </cell>
          <cell r="C917" t="str">
            <v>2111</v>
          </cell>
          <cell r="D917" t="str">
            <v>MULTI-FAMILY</v>
          </cell>
          <cell r="E917" t="b">
            <v>0</v>
          </cell>
          <cell r="F917" t="b">
            <v>0</v>
          </cell>
          <cell r="G917" t="str">
            <v>SUMNER</v>
          </cell>
          <cell r="H917">
            <v>3142</v>
          </cell>
          <cell r="I917" t="str">
            <v>MYDW90</v>
          </cell>
          <cell r="J917" t="str">
            <v>MF YARDWASTE</v>
          </cell>
          <cell r="K917">
            <v>6.66</v>
          </cell>
          <cell r="L917">
            <v>3.33</v>
          </cell>
        </row>
        <row r="918">
          <cell r="A918" t="str">
            <v>APSACCOUNTINGNSF FEES</v>
          </cell>
          <cell r="B918" t="str">
            <v>ONCALL</v>
          </cell>
          <cell r="C918" t="str">
            <v>2111</v>
          </cell>
          <cell r="D918" t="str">
            <v>ACCOUNTING</v>
          </cell>
          <cell r="E918" t="b">
            <v>0</v>
          </cell>
          <cell r="F918" t="b">
            <v>0</v>
          </cell>
          <cell r="G918" t="str">
            <v>APS</v>
          </cell>
          <cell r="H918">
            <v>2316</v>
          </cell>
          <cell r="I918" t="str">
            <v>NSF FEES</v>
          </cell>
          <cell r="J918" t="str">
            <v>RETURNED CHECK FEE</v>
          </cell>
          <cell r="K918">
            <v>35</v>
          </cell>
          <cell r="L918">
            <v>35</v>
          </cell>
        </row>
        <row r="919">
          <cell r="A919" t="str">
            <v>BONNEY LAKEACCOUNTINGNSF FEES</v>
          </cell>
          <cell r="B919" t="str">
            <v>ONCALL</v>
          </cell>
          <cell r="C919" t="str">
            <v>2111</v>
          </cell>
          <cell r="D919" t="str">
            <v>ACCOUNTING</v>
          </cell>
          <cell r="E919" t="b">
            <v>0</v>
          </cell>
          <cell r="F919" t="b">
            <v>0</v>
          </cell>
          <cell r="G919" t="str">
            <v>BONNEY LAKE</v>
          </cell>
          <cell r="H919">
            <v>2316</v>
          </cell>
          <cell r="I919" t="str">
            <v>NSF FEES</v>
          </cell>
          <cell r="J919" t="str">
            <v>RETURNED CHECK FEE</v>
          </cell>
          <cell r="K919">
            <v>25</v>
          </cell>
          <cell r="L919">
            <v>25</v>
          </cell>
        </row>
        <row r="920">
          <cell r="A920" t="str">
            <v>BUCKLEYACCOUNTINGNSF FEES</v>
          </cell>
          <cell r="B920" t="str">
            <v>ONCALL</v>
          </cell>
          <cell r="C920" t="str">
            <v>2111</v>
          </cell>
          <cell r="D920" t="str">
            <v>ACCOUNTING</v>
          </cell>
          <cell r="E920" t="b">
            <v>0</v>
          </cell>
          <cell r="F920" t="b">
            <v>0</v>
          </cell>
          <cell r="G920" t="str">
            <v>BUCKLEY</v>
          </cell>
          <cell r="H920">
            <v>2316</v>
          </cell>
          <cell r="I920" t="str">
            <v>NSF FEES</v>
          </cell>
          <cell r="J920" t="str">
            <v>RETURNED CHECK FEE</v>
          </cell>
          <cell r="K920">
            <v>25</v>
          </cell>
          <cell r="L920">
            <v>25</v>
          </cell>
        </row>
        <row r="921">
          <cell r="A921" t="str">
            <v>DM-PIERACCOUNTINGNSF FEES</v>
          </cell>
          <cell r="B921" t="str">
            <v>ONCALL</v>
          </cell>
          <cell r="C921" t="str">
            <v>2111</v>
          </cell>
          <cell r="D921" t="str">
            <v>ACCOUNTING</v>
          </cell>
          <cell r="E921" t="b">
            <v>0</v>
          </cell>
          <cell r="F921" t="b">
            <v>0</v>
          </cell>
          <cell r="G921" t="str">
            <v>DM-PIER</v>
          </cell>
          <cell r="H921">
            <v>2316</v>
          </cell>
          <cell r="I921" t="str">
            <v>NSF FEES</v>
          </cell>
          <cell r="J921" t="str">
            <v>RETURNED CHECK FEE</v>
          </cell>
          <cell r="K921">
            <v>35</v>
          </cell>
          <cell r="L921">
            <v>35</v>
          </cell>
        </row>
        <row r="922">
          <cell r="A922" t="str">
            <v>DMRACCOUNTINGNSF FEES</v>
          </cell>
          <cell r="B922" t="str">
            <v>ONCALL</v>
          </cell>
          <cell r="C922" t="str">
            <v>2111</v>
          </cell>
          <cell r="D922" t="str">
            <v>ACCOUNTING</v>
          </cell>
          <cell r="E922" t="b">
            <v>0</v>
          </cell>
          <cell r="F922" t="b">
            <v>0</v>
          </cell>
          <cell r="G922" t="str">
            <v>DMR</v>
          </cell>
          <cell r="H922">
            <v>2316</v>
          </cell>
          <cell r="I922" t="str">
            <v>NSF FEES</v>
          </cell>
          <cell r="J922" t="str">
            <v>RETURNED CHECK FEE</v>
          </cell>
          <cell r="K922">
            <v>40</v>
          </cell>
          <cell r="L922">
            <v>40</v>
          </cell>
        </row>
        <row r="923">
          <cell r="A923" t="str">
            <v>DMR-BACCOUNTINGNSF FEES</v>
          </cell>
          <cell r="B923" t="str">
            <v>ONCALL</v>
          </cell>
          <cell r="C923" t="str">
            <v>2111</v>
          </cell>
          <cell r="D923" t="str">
            <v>ACCOUNTING</v>
          </cell>
          <cell r="E923" t="b">
            <v>0</v>
          </cell>
          <cell r="F923" t="b">
            <v>0</v>
          </cell>
          <cell r="G923" t="str">
            <v>DMR-B</v>
          </cell>
          <cell r="H923">
            <v>2316</v>
          </cell>
          <cell r="I923" t="str">
            <v>NSF FEES</v>
          </cell>
          <cell r="J923" t="str">
            <v>RETURNED CHECK FEE</v>
          </cell>
          <cell r="K923">
            <v>35</v>
          </cell>
          <cell r="L923">
            <v>35</v>
          </cell>
        </row>
        <row r="924">
          <cell r="A924" t="str">
            <v>DMR-BLACCOUNTINGNSF FEES</v>
          </cell>
          <cell r="B924" t="str">
            <v>ONCALL</v>
          </cell>
          <cell r="C924" t="str">
            <v>2111</v>
          </cell>
          <cell r="D924" t="str">
            <v>ACCOUNTING</v>
          </cell>
          <cell r="E924" t="b">
            <v>0</v>
          </cell>
          <cell r="F924" t="b">
            <v>0</v>
          </cell>
          <cell r="G924" t="str">
            <v>DMR-BL</v>
          </cell>
          <cell r="H924">
            <v>2316</v>
          </cell>
          <cell r="I924" t="str">
            <v>NSF FEES</v>
          </cell>
          <cell r="J924" t="str">
            <v>RETURNED CHECK FEE</v>
          </cell>
          <cell r="K924">
            <v>25</v>
          </cell>
          <cell r="L924">
            <v>25</v>
          </cell>
        </row>
        <row r="925">
          <cell r="A925" t="str">
            <v>DMR-CPACCOUNTINGNSF FEES</v>
          </cell>
          <cell r="B925" t="str">
            <v>ONCALL</v>
          </cell>
          <cell r="C925" t="str">
            <v>2111</v>
          </cell>
          <cell r="D925" t="str">
            <v>ACCOUNTING</v>
          </cell>
          <cell r="E925" t="b">
            <v>0</v>
          </cell>
          <cell r="F925" t="b">
            <v>0</v>
          </cell>
          <cell r="G925" t="str">
            <v>DMR-CP</v>
          </cell>
          <cell r="H925">
            <v>2316</v>
          </cell>
          <cell r="I925" t="str">
            <v>NSF FEES</v>
          </cell>
          <cell r="J925" t="str">
            <v>RETURNED CHECK FEE</v>
          </cell>
          <cell r="K925">
            <v>26.65</v>
          </cell>
          <cell r="L925">
            <v>26.65</v>
          </cell>
        </row>
        <row r="926">
          <cell r="A926" t="str">
            <v>DMR-MILACCOUNTINGNSF FEES</v>
          </cell>
          <cell r="B926" t="str">
            <v>ONCALL</v>
          </cell>
          <cell r="C926" t="str">
            <v>2111</v>
          </cell>
          <cell r="D926" t="str">
            <v>ACCOUNTING</v>
          </cell>
          <cell r="E926" t="b">
            <v>0</v>
          </cell>
          <cell r="F926" t="b">
            <v>0</v>
          </cell>
          <cell r="G926" t="str">
            <v>DMR-MIL</v>
          </cell>
          <cell r="H926">
            <v>2316</v>
          </cell>
          <cell r="I926" t="str">
            <v>NSF FEES</v>
          </cell>
          <cell r="J926" t="str">
            <v>RETURNED CHECK FEE</v>
          </cell>
          <cell r="K926">
            <v>27.72</v>
          </cell>
          <cell r="L926">
            <v>27.72</v>
          </cell>
        </row>
        <row r="927">
          <cell r="A927" t="str">
            <v>M-EDGEWOODACCOUNTINGNSF FEES</v>
          </cell>
          <cell r="B927" t="str">
            <v>ONCALL</v>
          </cell>
          <cell r="C927" t="str">
            <v>2111</v>
          </cell>
          <cell r="D927" t="str">
            <v>ACCOUNTING</v>
          </cell>
          <cell r="E927" t="b">
            <v>0</v>
          </cell>
          <cell r="F927" t="b">
            <v>0</v>
          </cell>
          <cell r="G927" t="str">
            <v>M-EDGEWOOD</v>
          </cell>
          <cell r="H927">
            <v>2316</v>
          </cell>
          <cell r="I927" t="str">
            <v>NSF FEES</v>
          </cell>
          <cell r="J927" t="str">
            <v>RETURNED CHECK FEE</v>
          </cell>
          <cell r="K927">
            <v>21.8</v>
          </cell>
          <cell r="L927">
            <v>21.8</v>
          </cell>
        </row>
        <row r="928">
          <cell r="A928" t="str">
            <v>M-FIFEACCOUNTINGNSF FEES</v>
          </cell>
          <cell r="B928" t="str">
            <v>ONCALL</v>
          </cell>
          <cell r="C928" t="str">
            <v>2111</v>
          </cell>
          <cell r="D928" t="str">
            <v>ACCOUNTING</v>
          </cell>
          <cell r="E928" t="b">
            <v>0</v>
          </cell>
          <cell r="F928" t="b">
            <v>0</v>
          </cell>
          <cell r="G928" t="str">
            <v>M-FIFE</v>
          </cell>
          <cell r="H928">
            <v>2316</v>
          </cell>
          <cell r="I928" t="str">
            <v>NSF FEES</v>
          </cell>
          <cell r="J928" t="str">
            <v>RETURNED CHECK FEE</v>
          </cell>
          <cell r="K928">
            <v>21.8</v>
          </cell>
          <cell r="L928">
            <v>21.8</v>
          </cell>
        </row>
        <row r="929">
          <cell r="A929" t="str">
            <v>MILTONACCOUNTINGNSF FEES</v>
          </cell>
          <cell r="B929" t="str">
            <v>ONCALL</v>
          </cell>
          <cell r="C929" t="str">
            <v>2111</v>
          </cell>
          <cell r="D929" t="str">
            <v>ACCOUNTING</v>
          </cell>
          <cell r="E929" t="b">
            <v>0</v>
          </cell>
          <cell r="F929" t="b">
            <v>0</v>
          </cell>
          <cell r="G929" t="str">
            <v>MILTON</v>
          </cell>
          <cell r="H929">
            <v>2316</v>
          </cell>
          <cell r="I929" t="str">
            <v>NSF FEES</v>
          </cell>
          <cell r="J929" t="str">
            <v>RETURNED CHECK FEE</v>
          </cell>
          <cell r="K929">
            <v>27.72</v>
          </cell>
          <cell r="L929">
            <v>27.72</v>
          </cell>
        </row>
        <row r="930">
          <cell r="A930" t="str">
            <v>MURREYSACCOUNTINGNSF FEES</v>
          </cell>
          <cell r="B930" t="str">
            <v>ONCALL</v>
          </cell>
          <cell r="C930" t="str">
            <v>2111</v>
          </cell>
          <cell r="D930" t="str">
            <v>ACCOUNTING</v>
          </cell>
          <cell r="E930" t="b">
            <v>0</v>
          </cell>
          <cell r="F930" t="b">
            <v>0</v>
          </cell>
          <cell r="G930" t="str">
            <v>MURREYS</v>
          </cell>
          <cell r="H930">
            <v>2316</v>
          </cell>
          <cell r="I930" t="str">
            <v>NSF FEES</v>
          </cell>
          <cell r="J930" t="str">
            <v>RETURNED CHECK FEE</v>
          </cell>
          <cell r="K930">
            <v>21.8</v>
          </cell>
          <cell r="L930">
            <v>21.8</v>
          </cell>
        </row>
        <row r="931">
          <cell r="A931" t="str">
            <v>ORTINGACCOUNTINGNSF FEES</v>
          </cell>
          <cell r="B931" t="str">
            <v>ONCALL</v>
          </cell>
          <cell r="C931" t="str">
            <v>2111</v>
          </cell>
          <cell r="D931" t="str">
            <v>ACCOUNTING</v>
          </cell>
          <cell r="E931" t="b">
            <v>0</v>
          </cell>
          <cell r="F931" t="b">
            <v>0</v>
          </cell>
          <cell r="G931" t="str">
            <v>ORTING</v>
          </cell>
          <cell r="H931">
            <v>2316</v>
          </cell>
          <cell r="I931" t="str">
            <v>NSF FEES</v>
          </cell>
          <cell r="J931" t="str">
            <v>RETURNED CHECK FEE</v>
          </cell>
          <cell r="K931">
            <v>25</v>
          </cell>
          <cell r="L931">
            <v>25</v>
          </cell>
        </row>
        <row r="932">
          <cell r="A932" t="str">
            <v>PUYALLUPACCOUNTINGNSF FEES</v>
          </cell>
          <cell r="B932" t="str">
            <v>ONCALL</v>
          </cell>
          <cell r="C932" t="str">
            <v>2111</v>
          </cell>
          <cell r="D932" t="str">
            <v>ACCOUNTING</v>
          </cell>
          <cell r="E932" t="b">
            <v>0</v>
          </cell>
          <cell r="F932" t="b">
            <v>0</v>
          </cell>
          <cell r="G932" t="str">
            <v>PUYALLUP</v>
          </cell>
          <cell r="H932">
            <v>2316</v>
          </cell>
          <cell r="I932" t="str">
            <v>NSF FEES</v>
          </cell>
          <cell r="J932" t="str">
            <v>RETURNED CHECK FEE</v>
          </cell>
          <cell r="K932">
            <v>26.65</v>
          </cell>
          <cell r="L932">
            <v>26.65</v>
          </cell>
        </row>
        <row r="933">
          <cell r="A933" t="str">
            <v>RUSTONACCOUNTINGNSF FEES</v>
          </cell>
          <cell r="B933" t="str">
            <v>ONCALL</v>
          </cell>
          <cell r="C933" t="str">
            <v>2111</v>
          </cell>
          <cell r="D933" t="str">
            <v>ACCOUNTING</v>
          </cell>
          <cell r="E933" t="b">
            <v>0</v>
          </cell>
          <cell r="F933" t="b">
            <v>0</v>
          </cell>
          <cell r="G933" t="str">
            <v>RUSTON</v>
          </cell>
          <cell r="H933">
            <v>2316</v>
          </cell>
          <cell r="I933" t="str">
            <v>NSF FEES</v>
          </cell>
          <cell r="J933" t="str">
            <v>RETURNED CHECK FEE</v>
          </cell>
          <cell r="K933">
            <v>25</v>
          </cell>
          <cell r="L933">
            <v>25</v>
          </cell>
        </row>
        <row r="934">
          <cell r="A934" t="str">
            <v>SOUTH PRAIRIEACCOUNTINGNSF FEES</v>
          </cell>
          <cell r="B934" t="str">
            <v>ONCALL</v>
          </cell>
          <cell r="C934" t="str">
            <v>2111</v>
          </cell>
          <cell r="D934" t="str">
            <v>ACCOUNTING</v>
          </cell>
          <cell r="E934" t="b">
            <v>0</v>
          </cell>
          <cell r="F934" t="b">
            <v>0</v>
          </cell>
          <cell r="G934" t="str">
            <v>SOUTH PRAIRIE</v>
          </cell>
          <cell r="H934">
            <v>2316</v>
          </cell>
          <cell r="I934" t="str">
            <v>NSF FEES</v>
          </cell>
          <cell r="J934" t="str">
            <v>RETURNED CHECK FEE</v>
          </cell>
          <cell r="K934">
            <v>25</v>
          </cell>
          <cell r="L934">
            <v>25</v>
          </cell>
        </row>
        <row r="935">
          <cell r="A935" t="str">
            <v>SUMNERACCOUNTINGNSF FEES</v>
          </cell>
          <cell r="B935" t="str">
            <v>ONCALL</v>
          </cell>
          <cell r="C935" t="str">
            <v>2111</v>
          </cell>
          <cell r="D935" t="str">
            <v>ACCOUNTING</v>
          </cell>
          <cell r="E935" t="b">
            <v>0</v>
          </cell>
          <cell r="F935" t="b">
            <v>0</v>
          </cell>
          <cell r="G935" t="str">
            <v>SUMNER</v>
          </cell>
          <cell r="H935">
            <v>2316</v>
          </cell>
          <cell r="I935" t="str">
            <v>NSF FEES</v>
          </cell>
          <cell r="J935" t="str">
            <v>RETURNED CHECK FEE</v>
          </cell>
          <cell r="K935">
            <v>25</v>
          </cell>
          <cell r="L935">
            <v>25</v>
          </cell>
        </row>
        <row r="936">
          <cell r="A936" t="str">
            <v>VASHONACCOUNTINGNSF FEES</v>
          </cell>
          <cell r="B936" t="str">
            <v>ONCALL</v>
          </cell>
          <cell r="C936" t="str">
            <v>2111</v>
          </cell>
          <cell r="D936" t="str">
            <v>ACCOUNTING</v>
          </cell>
          <cell r="E936" t="b">
            <v>0</v>
          </cell>
          <cell r="F936" t="b">
            <v>0</v>
          </cell>
          <cell r="G936" t="str">
            <v>VASHON</v>
          </cell>
          <cell r="H936">
            <v>2316</v>
          </cell>
          <cell r="I936" t="str">
            <v>NSF FEES</v>
          </cell>
          <cell r="J936" t="str">
            <v>RETURNED CHECK FEE</v>
          </cell>
          <cell r="K936">
            <v>28.08</v>
          </cell>
          <cell r="L936">
            <v>28.08</v>
          </cell>
        </row>
        <row r="937">
          <cell r="A937" t="str">
            <v>M-EDGEWOODRESIDENTIALOBSR</v>
          </cell>
          <cell r="B937" t="str">
            <v>BI-MONTHLY SPLIT ODD</v>
          </cell>
          <cell r="C937" t="str">
            <v>2111</v>
          </cell>
          <cell r="D937" t="str">
            <v>RESIDENTIAL</v>
          </cell>
          <cell r="E937" t="b">
            <v>0</v>
          </cell>
          <cell r="F937" t="b">
            <v>0</v>
          </cell>
          <cell r="G937" t="str">
            <v>M-EDGEWOOD</v>
          </cell>
          <cell r="H937">
            <v>3213</v>
          </cell>
          <cell r="I937" t="str">
            <v>OBSR</v>
          </cell>
          <cell r="J937" t="str">
            <v>OBSTRUCTION</v>
          </cell>
          <cell r="K937">
            <v>1.68</v>
          </cell>
          <cell r="L937">
            <v>0.84</v>
          </cell>
        </row>
        <row r="938">
          <cell r="A938" t="str">
            <v>M-FIFERESIDENTIALOBSR</v>
          </cell>
          <cell r="B938" t="str">
            <v>BI-MONTHLY SPLIT ODD</v>
          </cell>
          <cell r="C938" t="str">
            <v>2111</v>
          </cell>
          <cell r="D938" t="str">
            <v>RESIDENTIAL</v>
          </cell>
          <cell r="E938" t="b">
            <v>0</v>
          </cell>
          <cell r="F938" t="b">
            <v>0</v>
          </cell>
          <cell r="G938" t="str">
            <v>M-FIFE</v>
          </cell>
          <cell r="H938">
            <v>3213</v>
          </cell>
          <cell r="I938" t="str">
            <v>OBSR</v>
          </cell>
          <cell r="J938" t="str">
            <v>OBSTRUCTION</v>
          </cell>
          <cell r="K938">
            <v>1.68</v>
          </cell>
          <cell r="L938">
            <v>0.84</v>
          </cell>
        </row>
        <row r="939">
          <cell r="A939" t="str">
            <v>MURREYSRESIDENTIALOBSR</v>
          </cell>
          <cell r="B939" t="str">
            <v>BI-MONTHLY SPLIT ODD</v>
          </cell>
          <cell r="C939" t="str">
            <v>2111</v>
          </cell>
          <cell r="D939" t="str">
            <v>RESIDENTIAL</v>
          </cell>
          <cell r="E939" t="b">
            <v>0</v>
          </cell>
          <cell r="F939" t="b">
            <v>0</v>
          </cell>
          <cell r="G939" t="str">
            <v>MURREYS</v>
          </cell>
          <cell r="H939">
            <v>3213</v>
          </cell>
          <cell r="I939" t="str">
            <v>OBSR</v>
          </cell>
          <cell r="J939" t="str">
            <v>OBSTRUCTION</v>
          </cell>
          <cell r="K939">
            <v>1.68</v>
          </cell>
          <cell r="L939">
            <v>0.84</v>
          </cell>
        </row>
        <row r="940">
          <cell r="A940" t="str">
            <v>VASHONRESIDENTIALOBSR</v>
          </cell>
          <cell r="B940" t="str">
            <v>BI-MONTHLY SPLIT ODD</v>
          </cell>
          <cell r="C940" t="str">
            <v>2111</v>
          </cell>
          <cell r="D940" t="str">
            <v>RESIDENTIAL</v>
          </cell>
          <cell r="E940" t="b">
            <v>0</v>
          </cell>
          <cell r="F940" t="b">
            <v>0</v>
          </cell>
          <cell r="G940" t="str">
            <v>VASHON</v>
          </cell>
          <cell r="H940">
            <v>3213</v>
          </cell>
          <cell r="I940" t="str">
            <v>OBSR</v>
          </cell>
          <cell r="J940" t="str">
            <v>OBSTRUCTION</v>
          </cell>
          <cell r="K940">
            <v>2.2400000000000002</v>
          </cell>
          <cell r="L940">
            <v>1.1200000000000001</v>
          </cell>
        </row>
        <row r="941">
          <cell r="A941" t="str">
            <v>VASHONRESIDENTIALOS</v>
          </cell>
          <cell r="B941" t="str">
            <v>MONTHLY ARREARS</v>
          </cell>
          <cell r="C941" t="str">
            <v>2111</v>
          </cell>
          <cell r="D941" t="str">
            <v>RESIDENTIAL</v>
          </cell>
          <cell r="E941" t="b">
            <v>1</v>
          </cell>
          <cell r="F941" t="b">
            <v>0</v>
          </cell>
          <cell r="G941" t="str">
            <v>VASHON</v>
          </cell>
          <cell r="H941">
            <v>3426</v>
          </cell>
          <cell r="I941" t="str">
            <v>OS</v>
          </cell>
          <cell r="J941" t="str">
            <v>OVERSIZE UNIT</v>
          </cell>
          <cell r="K941">
            <v>2.78</v>
          </cell>
          <cell r="L941">
            <v>2.78</v>
          </cell>
        </row>
        <row r="942">
          <cell r="A942" t="str">
            <v>VASHONRESIDENTIALOSOW</v>
          </cell>
          <cell r="B942" t="str">
            <v>ONCALL</v>
          </cell>
          <cell r="C942" t="str">
            <v>2111</v>
          </cell>
          <cell r="D942" t="str">
            <v>RESIDENTIAL</v>
          </cell>
          <cell r="E942" t="b">
            <v>1</v>
          </cell>
          <cell r="F942" t="b">
            <v>0</v>
          </cell>
          <cell r="G942" t="str">
            <v>VASHON</v>
          </cell>
          <cell r="H942">
            <v>2225</v>
          </cell>
          <cell r="I942" t="str">
            <v>OSOW</v>
          </cell>
          <cell r="J942" t="str">
            <v>OVERSIZE/OVERWEIGHT</v>
          </cell>
          <cell r="K942">
            <v>2.78</v>
          </cell>
          <cell r="L942">
            <v>2.78</v>
          </cell>
        </row>
        <row r="943">
          <cell r="A943" t="str">
            <v>M-EDGEWOODROLL OFFOT-RO</v>
          </cell>
          <cell r="B943" t="str">
            <v>ONCALL</v>
          </cell>
          <cell r="C943" t="str">
            <v>2111</v>
          </cell>
          <cell r="D943" t="str">
            <v>ROLL OFF</v>
          </cell>
          <cell r="E943" t="b">
            <v>0</v>
          </cell>
          <cell r="F943" t="b">
            <v>0</v>
          </cell>
          <cell r="G943" t="str">
            <v>M-EDGEWOOD</v>
          </cell>
          <cell r="H943">
            <v>3456</v>
          </cell>
          <cell r="I943" t="str">
            <v>OT-RO</v>
          </cell>
          <cell r="J943" t="str">
            <v>OVERTIME PERIOD - RO</v>
          </cell>
          <cell r="K943">
            <v>76.67</v>
          </cell>
          <cell r="L943">
            <v>76.67</v>
          </cell>
        </row>
        <row r="944">
          <cell r="A944" t="str">
            <v>M-FIFEROLL OFFOT-RO</v>
          </cell>
          <cell r="B944" t="str">
            <v>ONCALL</v>
          </cell>
          <cell r="C944" t="str">
            <v>2111</v>
          </cell>
          <cell r="D944" t="str">
            <v>ROLL OFF</v>
          </cell>
          <cell r="E944" t="b">
            <v>0</v>
          </cell>
          <cell r="F944" t="b">
            <v>0</v>
          </cell>
          <cell r="G944" t="str">
            <v>M-FIFE</v>
          </cell>
          <cell r="H944">
            <v>3456</v>
          </cell>
          <cell r="I944" t="str">
            <v>OT-RO</v>
          </cell>
          <cell r="J944" t="str">
            <v>OVERTIME PERIOD - RO</v>
          </cell>
          <cell r="K944">
            <v>76.67</v>
          </cell>
          <cell r="L944">
            <v>76.67</v>
          </cell>
        </row>
        <row r="945">
          <cell r="A945" t="str">
            <v>MURREYSROLL OFFOT-RO</v>
          </cell>
          <cell r="B945" t="str">
            <v>ONCALL</v>
          </cell>
          <cell r="C945" t="str">
            <v>2111</v>
          </cell>
          <cell r="D945" t="str">
            <v>ROLL OFF</v>
          </cell>
          <cell r="E945" t="b">
            <v>0</v>
          </cell>
          <cell r="F945" t="b">
            <v>0</v>
          </cell>
          <cell r="G945" t="str">
            <v>MURREYS</v>
          </cell>
          <cell r="H945">
            <v>3456</v>
          </cell>
          <cell r="I945" t="str">
            <v>OT-RO</v>
          </cell>
          <cell r="J945" t="str">
            <v>OVERTIME PERIOD - RO</v>
          </cell>
          <cell r="K945">
            <v>76.67</v>
          </cell>
          <cell r="L945">
            <v>76.67</v>
          </cell>
        </row>
        <row r="946">
          <cell r="A946" t="str">
            <v>PUYALLUPROLL OFFOT-RO</v>
          </cell>
          <cell r="B946" t="str">
            <v>ONCALL</v>
          </cell>
          <cell r="C946" t="str">
            <v>2111</v>
          </cell>
          <cell r="D946" t="str">
            <v>ROLL OFF</v>
          </cell>
          <cell r="E946" t="b">
            <v>0</v>
          </cell>
          <cell r="F946" t="b">
            <v>0</v>
          </cell>
          <cell r="G946" t="str">
            <v>PUYALLUP</v>
          </cell>
          <cell r="H946">
            <v>3456</v>
          </cell>
          <cell r="I946" t="str">
            <v>OT-RO</v>
          </cell>
          <cell r="J946" t="str">
            <v>OVERTIME PERIOD - RO</v>
          </cell>
          <cell r="K946">
            <v>88.3</v>
          </cell>
          <cell r="L946">
            <v>88.3</v>
          </cell>
        </row>
        <row r="947">
          <cell r="A947" t="str">
            <v>VASHONROLL OFFOT-RO</v>
          </cell>
          <cell r="B947" t="str">
            <v>ONCALL</v>
          </cell>
          <cell r="C947" t="str">
            <v>2111</v>
          </cell>
          <cell r="D947" t="str">
            <v>ROLL OFF</v>
          </cell>
          <cell r="E947" t="b">
            <v>0</v>
          </cell>
          <cell r="F947" t="b">
            <v>0</v>
          </cell>
          <cell r="G947" t="str">
            <v>VASHON</v>
          </cell>
          <cell r="H947">
            <v>3456</v>
          </cell>
          <cell r="I947" t="str">
            <v>OT-RO</v>
          </cell>
          <cell r="J947" t="str">
            <v>OVERTIME PERIOD - RO</v>
          </cell>
          <cell r="K947">
            <v>63.42</v>
          </cell>
          <cell r="L947">
            <v>63.42</v>
          </cell>
        </row>
        <row r="948">
          <cell r="A948" t="str">
            <v>VASHONCOMMERCIALOVERHEAD-COMM</v>
          </cell>
          <cell r="B948" t="str">
            <v>ONCALL</v>
          </cell>
          <cell r="C948" t="str">
            <v>2111</v>
          </cell>
          <cell r="D948" t="str">
            <v>COMMERCIAL</v>
          </cell>
          <cell r="E948" t="b">
            <v>0</v>
          </cell>
          <cell r="F948" t="b">
            <v>0</v>
          </cell>
          <cell r="G948" t="str">
            <v>VASHON</v>
          </cell>
          <cell r="H948">
            <v>3460</v>
          </cell>
          <cell r="I948" t="str">
            <v>OVERHEAD-COMM</v>
          </cell>
          <cell r="J948" t="str">
            <v>OVERHEAD OBSTRUCTION - COMM</v>
          </cell>
          <cell r="K948">
            <v>1.21</v>
          </cell>
          <cell r="L948">
            <v>1.21</v>
          </cell>
        </row>
        <row r="949">
          <cell r="A949" t="str">
            <v>CARBONADORESIDENTIALOW</v>
          </cell>
          <cell r="B949" t="str">
            <v>MONTHLY ARREARS</v>
          </cell>
          <cell r="C949" t="str">
            <v>2111</v>
          </cell>
          <cell r="D949" t="str">
            <v>RESIDENTIAL</v>
          </cell>
          <cell r="E949" t="b">
            <v>0</v>
          </cell>
          <cell r="F949" t="b">
            <v>0</v>
          </cell>
          <cell r="G949" t="str">
            <v>CARBONADO</v>
          </cell>
          <cell r="H949">
            <v>3427</v>
          </cell>
          <cell r="I949" t="str">
            <v>OW</v>
          </cell>
          <cell r="J949" t="str">
            <v>OVERWEIGHT UNIT</v>
          </cell>
          <cell r="K949">
            <v>0</v>
          </cell>
          <cell r="L949">
            <v>0</v>
          </cell>
        </row>
        <row r="950">
          <cell r="A950" t="str">
            <v>VASHONRESIDENTIALOW</v>
          </cell>
          <cell r="B950" t="str">
            <v>MONTHLY ARREARS</v>
          </cell>
          <cell r="C950" t="str">
            <v>2111</v>
          </cell>
          <cell r="D950" t="str">
            <v>RESIDENTIAL</v>
          </cell>
          <cell r="E950" t="b">
            <v>0</v>
          </cell>
          <cell r="F950" t="b">
            <v>0</v>
          </cell>
          <cell r="G950" t="str">
            <v>VASHON</v>
          </cell>
          <cell r="H950">
            <v>3427</v>
          </cell>
          <cell r="I950" t="str">
            <v>OW</v>
          </cell>
          <cell r="J950" t="str">
            <v>OVERWEIGHT UNIT</v>
          </cell>
          <cell r="K950">
            <v>2.78</v>
          </cell>
          <cell r="L950">
            <v>2.78</v>
          </cell>
        </row>
        <row r="951">
          <cell r="A951" t="str">
            <v>M-EDGEWOODCOMMERCIALPACKC</v>
          </cell>
          <cell r="B951" t="str">
            <v>MONTHLY ARREARS</v>
          </cell>
          <cell r="C951" t="str">
            <v>2111</v>
          </cell>
          <cell r="D951" t="str">
            <v>COMMERCIAL</v>
          </cell>
          <cell r="E951" t="b">
            <v>0</v>
          </cell>
          <cell r="F951" t="b">
            <v>0</v>
          </cell>
          <cell r="G951" t="str">
            <v>M-EDGEWOOD</v>
          </cell>
          <cell r="H951">
            <v>3012</v>
          </cell>
          <cell r="I951" t="str">
            <v>PACKC</v>
          </cell>
          <cell r="J951" t="str">
            <v>CARRY-OUT COMMERCIAL</v>
          </cell>
          <cell r="K951">
            <v>5.44</v>
          </cell>
          <cell r="L951">
            <v>5.44</v>
          </cell>
        </row>
        <row r="952">
          <cell r="A952" t="str">
            <v>M-FIFECOMMERCIALPACKC</v>
          </cell>
          <cell r="B952" t="str">
            <v>MONTHLY ARREARS</v>
          </cell>
          <cell r="C952" t="str">
            <v>2111</v>
          </cell>
          <cell r="D952" t="str">
            <v>COMMERCIAL</v>
          </cell>
          <cell r="E952" t="b">
            <v>0</v>
          </cell>
          <cell r="F952" t="b">
            <v>0</v>
          </cell>
          <cell r="G952" t="str">
            <v>M-FIFE</v>
          </cell>
          <cell r="H952">
            <v>3012</v>
          </cell>
          <cell r="I952" t="str">
            <v>PACKC</v>
          </cell>
          <cell r="J952" t="str">
            <v>CARRY-OUT COMMERCIAL</v>
          </cell>
          <cell r="K952">
            <v>5.44</v>
          </cell>
          <cell r="L952">
            <v>5.44</v>
          </cell>
        </row>
        <row r="953">
          <cell r="A953" t="str">
            <v>MURREYSCOMMERCIALPACKC</v>
          </cell>
          <cell r="B953" t="str">
            <v>MONTHLY ARREARS</v>
          </cell>
          <cell r="C953" t="str">
            <v>2111</v>
          </cell>
          <cell r="D953" t="str">
            <v>COMMERCIAL</v>
          </cell>
          <cell r="E953" t="b">
            <v>0</v>
          </cell>
          <cell r="F953" t="b">
            <v>0</v>
          </cell>
          <cell r="G953" t="str">
            <v>MURREYS</v>
          </cell>
          <cell r="H953">
            <v>3012</v>
          </cell>
          <cell r="I953" t="str">
            <v>PACKC</v>
          </cell>
          <cell r="J953" t="str">
            <v>CARRY-OUT COMMERCIAL</v>
          </cell>
          <cell r="K953">
            <v>5.44</v>
          </cell>
          <cell r="L953">
            <v>5.44</v>
          </cell>
        </row>
        <row r="954">
          <cell r="A954" t="str">
            <v>BUCKLEYRESIDENTIALPACKLC</v>
          </cell>
          <cell r="B954" t="str">
            <v>BI-MONTHLY SPLIT EVEN</v>
          </cell>
          <cell r="C954" t="str">
            <v>2111</v>
          </cell>
          <cell r="D954" t="str">
            <v>RESIDENTIAL</v>
          </cell>
          <cell r="E954" t="b">
            <v>0</v>
          </cell>
          <cell r="F954" t="b">
            <v>0</v>
          </cell>
          <cell r="G954" t="str">
            <v>BUCKLEY</v>
          </cell>
          <cell r="H954">
            <v>3288</v>
          </cell>
          <cell r="I954" t="str">
            <v>PACKLC</v>
          </cell>
          <cell r="J954" t="str">
            <v>CARRY-OUT LONG DISTANCE</v>
          </cell>
          <cell r="K954">
            <v>5.62</v>
          </cell>
          <cell r="L954">
            <v>2.81</v>
          </cell>
        </row>
        <row r="955">
          <cell r="A955" t="str">
            <v>ORTINGRESIDENTIALPACKLC</v>
          </cell>
          <cell r="B955" t="str">
            <v>BI-MONTHLY SPLIT EVEN</v>
          </cell>
          <cell r="C955" t="str">
            <v>2111</v>
          </cell>
          <cell r="D955" t="str">
            <v>RESIDENTIAL</v>
          </cell>
          <cell r="E955" t="b">
            <v>0</v>
          </cell>
          <cell r="F955" t="b">
            <v>0</v>
          </cell>
          <cell r="G955" t="str">
            <v>ORTING</v>
          </cell>
          <cell r="H955">
            <v>3288</v>
          </cell>
          <cell r="I955" t="str">
            <v>PACKLC</v>
          </cell>
          <cell r="J955" t="str">
            <v>CARRY-OUT LONG DISTANCE</v>
          </cell>
          <cell r="K955">
            <v>20.66</v>
          </cell>
          <cell r="L955">
            <v>10.33</v>
          </cell>
        </row>
        <row r="956">
          <cell r="A956" t="str">
            <v>PUYALLUPRESIDENTIALPACKLC</v>
          </cell>
          <cell r="B956" t="str">
            <v>BI-MONTHLY SPLIT EVEN</v>
          </cell>
          <cell r="C956" t="str">
            <v>2111</v>
          </cell>
          <cell r="D956" t="str">
            <v>RESIDENTIAL</v>
          </cell>
          <cell r="E956" t="b">
            <v>0</v>
          </cell>
          <cell r="F956" t="b">
            <v>0</v>
          </cell>
          <cell r="G956" t="str">
            <v>PUYALLUP</v>
          </cell>
          <cell r="H956">
            <v>3288</v>
          </cell>
          <cell r="I956" t="str">
            <v>PACKLC</v>
          </cell>
          <cell r="J956" t="str">
            <v>CARRY-OUT LONG DISTANCE</v>
          </cell>
          <cell r="K956">
            <v>26.58</v>
          </cell>
          <cell r="L956">
            <v>13.29</v>
          </cell>
        </row>
        <row r="957">
          <cell r="A957" t="str">
            <v>RUSTONRESIDENTIALPACKLC</v>
          </cell>
          <cell r="B957" t="str">
            <v>BI-MONTHLY SPLIT EVEN</v>
          </cell>
          <cell r="C957" t="str">
            <v>2111</v>
          </cell>
          <cell r="D957" t="str">
            <v>RESIDENTIAL</v>
          </cell>
          <cell r="E957" t="b">
            <v>0</v>
          </cell>
          <cell r="F957" t="b">
            <v>0</v>
          </cell>
          <cell r="G957" t="str">
            <v>RUSTON</v>
          </cell>
          <cell r="H957">
            <v>3288</v>
          </cell>
          <cell r="I957" t="str">
            <v>PACKLC</v>
          </cell>
          <cell r="J957" t="str">
            <v>CARRY-OUT LONG DISTANCE</v>
          </cell>
          <cell r="K957">
            <v>39.24</v>
          </cell>
          <cell r="L957">
            <v>19.62</v>
          </cell>
        </row>
        <row r="958">
          <cell r="A958" t="str">
            <v>M-EDGEWOODMULTI-FAMILYPACKM</v>
          </cell>
          <cell r="B958" t="str">
            <v>MONTHLY ARREARS</v>
          </cell>
          <cell r="C958" t="str">
            <v>2111</v>
          </cell>
          <cell r="D958" t="str">
            <v>MULTI-FAMILY</v>
          </cell>
          <cell r="E958" t="b">
            <v>0</v>
          </cell>
          <cell r="F958" t="b">
            <v>0</v>
          </cell>
          <cell r="G958" t="str">
            <v>M-EDGEWOOD</v>
          </cell>
          <cell r="H958">
            <v>3135</v>
          </cell>
          <cell r="I958" t="str">
            <v>PACKM</v>
          </cell>
          <cell r="J958" t="str">
            <v>CARRY-OUT MULTI FAMILY</v>
          </cell>
          <cell r="K958">
            <v>5.44</v>
          </cell>
          <cell r="L958">
            <v>5.44</v>
          </cell>
        </row>
        <row r="959">
          <cell r="A959" t="str">
            <v>M-FIFEMULTI-FAMILYPACKM</v>
          </cell>
          <cell r="B959" t="str">
            <v>MONTHLY ARREARS</v>
          </cell>
          <cell r="C959" t="str">
            <v>2111</v>
          </cell>
          <cell r="D959" t="str">
            <v>MULTI-FAMILY</v>
          </cell>
          <cell r="E959" t="b">
            <v>0</v>
          </cell>
          <cell r="F959" t="b">
            <v>0</v>
          </cell>
          <cell r="G959" t="str">
            <v>M-FIFE</v>
          </cell>
          <cell r="H959">
            <v>3135</v>
          </cell>
          <cell r="I959" t="str">
            <v>PACKM</v>
          </cell>
          <cell r="J959" t="str">
            <v>CARRY-OUT MULTI FAMILY</v>
          </cell>
          <cell r="K959">
            <v>5.44</v>
          </cell>
          <cell r="L959">
            <v>5.44</v>
          </cell>
        </row>
        <row r="960">
          <cell r="A960" t="str">
            <v>MURREYSMULTI-FAMILYPACKM</v>
          </cell>
          <cell r="B960" t="str">
            <v>MONTHLY ARREARS</v>
          </cell>
          <cell r="C960" t="str">
            <v>2111</v>
          </cell>
          <cell r="D960" t="str">
            <v>MULTI-FAMILY</v>
          </cell>
          <cell r="E960" t="b">
            <v>0</v>
          </cell>
          <cell r="F960" t="b">
            <v>0</v>
          </cell>
          <cell r="G960" t="str">
            <v>MURREYS</v>
          </cell>
          <cell r="H960">
            <v>3135</v>
          </cell>
          <cell r="I960" t="str">
            <v>PACKM</v>
          </cell>
          <cell r="J960" t="str">
            <v>CARRY-OUT MULTI FAMILY</v>
          </cell>
          <cell r="K960">
            <v>5.44</v>
          </cell>
          <cell r="L960">
            <v>5.44</v>
          </cell>
        </row>
        <row r="961">
          <cell r="A961" t="str">
            <v>BONNEY LAKERESIDENTIALPACKR</v>
          </cell>
          <cell r="B961" t="str">
            <v>BI-MONTHLY SPLIT ODD</v>
          </cell>
          <cell r="C961" t="str">
            <v>2111</v>
          </cell>
          <cell r="D961" t="str">
            <v>RESIDENTIAL</v>
          </cell>
          <cell r="E961" t="b">
            <v>0</v>
          </cell>
          <cell r="F961" t="b">
            <v>0</v>
          </cell>
          <cell r="G961" t="str">
            <v>BONNEY LAKE</v>
          </cell>
          <cell r="H961">
            <v>3011</v>
          </cell>
          <cell r="I961" t="str">
            <v>PACKR</v>
          </cell>
          <cell r="J961" t="str">
            <v>CARRY-OUT RESIDENTIAL</v>
          </cell>
          <cell r="K961">
            <v>38.659999999999997</v>
          </cell>
          <cell r="L961">
            <v>19.329999999999998</v>
          </cell>
        </row>
        <row r="962">
          <cell r="A962" t="str">
            <v>BUCKLEYRESIDENTIALPACKR</v>
          </cell>
          <cell r="B962" t="str">
            <v>BI-MONTHLY SPLIT ODD</v>
          </cell>
          <cell r="C962" t="str">
            <v>2111</v>
          </cell>
          <cell r="D962" t="str">
            <v>RESIDENTIAL</v>
          </cell>
          <cell r="E962" t="b">
            <v>0</v>
          </cell>
          <cell r="F962" t="b">
            <v>0</v>
          </cell>
          <cell r="G962" t="str">
            <v>BUCKLEY</v>
          </cell>
          <cell r="H962">
            <v>3011</v>
          </cell>
          <cell r="I962" t="str">
            <v>PACKR</v>
          </cell>
          <cell r="J962" t="str">
            <v>CARRY-OUT RESIDENTIAL</v>
          </cell>
          <cell r="K962">
            <v>11.24</v>
          </cell>
          <cell r="L962">
            <v>5.62</v>
          </cell>
        </row>
        <row r="963">
          <cell r="A963" t="str">
            <v>CARBONADORESIDENTIALPACKR</v>
          </cell>
          <cell r="B963" t="str">
            <v>BI-MONTHLY SPLIT ODD</v>
          </cell>
          <cell r="C963" t="str">
            <v>2111</v>
          </cell>
          <cell r="D963" t="str">
            <v>RESIDENTIAL</v>
          </cell>
          <cell r="E963" t="b">
            <v>0</v>
          </cell>
          <cell r="F963" t="b">
            <v>0</v>
          </cell>
          <cell r="G963" t="str">
            <v>CARBONADO</v>
          </cell>
          <cell r="H963">
            <v>3011</v>
          </cell>
          <cell r="I963" t="str">
            <v>PACKR</v>
          </cell>
          <cell r="J963" t="str">
            <v>CARRY-OUT RESIDENTIAL</v>
          </cell>
          <cell r="K963">
            <v>5.58</v>
          </cell>
          <cell r="L963">
            <v>2.79</v>
          </cell>
        </row>
        <row r="964">
          <cell r="A964" t="str">
            <v>M-EDGEWOODRESIDENTIALPACKR</v>
          </cell>
          <cell r="B964" t="str">
            <v>BI-MONTHLY SPLIT ODD</v>
          </cell>
          <cell r="C964" t="str">
            <v>2111</v>
          </cell>
          <cell r="D964" t="str">
            <v>RESIDENTIAL</v>
          </cell>
          <cell r="E964" t="b">
            <v>0</v>
          </cell>
          <cell r="F964" t="b">
            <v>0</v>
          </cell>
          <cell r="G964" t="str">
            <v>M-EDGEWOOD</v>
          </cell>
          <cell r="H964">
            <v>3011</v>
          </cell>
          <cell r="I964" t="str">
            <v>PACKR</v>
          </cell>
          <cell r="J964" t="str">
            <v>CARRY-OUT RESIDENTIAL</v>
          </cell>
          <cell r="K964">
            <v>10.88</v>
          </cell>
          <cell r="L964">
            <v>5.44</v>
          </cell>
        </row>
        <row r="965">
          <cell r="A965" t="str">
            <v>M-FIFERESIDENTIALPACKR</v>
          </cell>
          <cell r="B965" t="str">
            <v>BI-MONTHLY SPLIT ODD</v>
          </cell>
          <cell r="C965" t="str">
            <v>2111</v>
          </cell>
          <cell r="D965" t="str">
            <v>RESIDENTIAL</v>
          </cell>
          <cell r="E965" t="b">
            <v>0</v>
          </cell>
          <cell r="F965" t="b">
            <v>0</v>
          </cell>
          <cell r="G965" t="str">
            <v>M-FIFE</v>
          </cell>
          <cell r="H965">
            <v>3011</v>
          </cell>
          <cell r="I965" t="str">
            <v>PACKR</v>
          </cell>
          <cell r="J965" t="str">
            <v>CARRY-OUT RESIDENTIAL</v>
          </cell>
          <cell r="K965">
            <v>10.88</v>
          </cell>
          <cell r="L965">
            <v>5.44</v>
          </cell>
        </row>
        <row r="966">
          <cell r="A966" t="str">
            <v>MILTONRESIDENTIALPACKR</v>
          </cell>
          <cell r="B966" t="str">
            <v>BI-MONTHLY SPLIT ODD</v>
          </cell>
          <cell r="C966" t="str">
            <v>2111</v>
          </cell>
          <cell r="D966" t="str">
            <v>RESIDENTIAL</v>
          </cell>
          <cell r="E966" t="b">
            <v>0</v>
          </cell>
          <cell r="F966" t="b">
            <v>0</v>
          </cell>
          <cell r="G966" t="str">
            <v>MILTON</v>
          </cell>
          <cell r="H966">
            <v>3011</v>
          </cell>
          <cell r="I966" t="str">
            <v>PACKR</v>
          </cell>
          <cell r="J966" t="str">
            <v>CARRY-OUT RESIDENTIAL</v>
          </cell>
          <cell r="K966">
            <v>13.78</v>
          </cell>
          <cell r="L966">
            <v>6.89</v>
          </cell>
        </row>
        <row r="967">
          <cell r="A967" t="str">
            <v>MURREYSRESIDENTIALPACKR</v>
          </cell>
          <cell r="B967" t="str">
            <v>BI-MONTHLY SPLIT ODD</v>
          </cell>
          <cell r="C967" t="str">
            <v>2111</v>
          </cell>
          <cell r="D967" t="str">
            <v>RESIDENTIAL</v>
          </cell>
          <cell r="E967" t="b">
            <v>0</v>
          </cell>
          <cell r="F967" t="b">
            <v>0</v>
          </cell>
          <cell r="G967" t="str">
            <v>MURREYS</v>
          </cell>
          <cell r="H967">
            <v>3011</v>
          </cell>
          <cell r="I967" t="str">
            <v>PACKR</v>
          </cell>
          <cell r="J967" t="str">
            <v>CARRY-OUT RESIDENTIAL</v>
          </cell>
          <cell r="K967">
            <v>10.88</v>
          </cell>
          <cell r="L967">
            <v>5.44</v>
          </cell>
        </row>
        <row r="968">
          <cell r="A968" t="str">
            <v>SOUTH PRAIRIERESIDENTIALPACKR</v>
          </cell>
          <cell r="B968" t="str">
            <v>BI-MONTHLY SPLIT ODD</v>
          </cell>
          <cell r="C968" t="str">
            <v>2111</v>
          </cell>
          <cell r="D968" t="str">
            <v>RESIDENTIAL</v>
          </cell>
          <cell r="E968" t="b">
            <v>0</v>
          </cell>
          <cell r="F968" t="b">
            <v>0</v>
          </cell>
          <cell r="G968" t="str">
            <v>SOUTH PRAIRIE</v>
          </cell>
          <cell r="H968">
            <v>3011</v>
          </cell>
          <cell r="I968" t="str">
            <v>PACKR</v>
          </cell>
          <cell r="J968" t="str">
            <v>CARRY-OUT RESIDENTIAL</v>
          </cell>
          <cell r="K968">
            <v>10.08</v>
          </cell>
          <cell r="L968">
            <v>5.04</v>
          </cell>
        </row>
        <row r="969">
          <cell r="A969" t="str">
            <v>SUMNERRESIDENTIALPACKR</v>
          </cell>
          <cell r="B969" t="str">
            <v>BI-MONTHLY SPLIT ODD</v>
          </cell>
          <cell r="C969" t="str">
            <v>2111</v>
          </cell>
          <cell r="D969" t="str">
            <v>RESIDENTIAL</v>
          </cell>
          <cell r="E969" t="b">
            <v>0</v>
          </cell>
          <cell r="F969" t="b">
            <v>0</v>
          </cell>
          <cell r="G969" t="str">
            <v>SUMNER</v>
          </cell>
          <cell r="H969">
            <v>3011</v>
          </cell>
          <cell r="I969" t="str">
            <v>PACKR</v>
          </cell>
          <cell r="J969" t="str">
            <v>CARRY-OUT RESIDENTIAL</v>
          </cell>
          <cell r="K969">
            <v>25.8</v>
          </cell>
          <cell r="L969">
            <v>12.9</v>
          </cell>
        </row>
        <row r="970">
          <cell r="A970" t="str">
            <v>M-EDGEWOODRESIDENTIALPACKR-RECYADL</v>
          </cell>
          <cell r="B970" t="str">
            <v>BI-MONTHLY SPLIT ODD</v>
          </cell>
          <cell r="C970" t="str">
            <v>2111</v>
          </cell>
          <cell r="D970" t="str">
            <v>RESIDENTIAL</v>
          </cell>
          <cell r="E970" t="b">
            <v>0</v>
          </cell>
          <cell r="F970" t="b">
            <v>0</v>
          </cell>
          <cell r="G970" t="str">
            <v>M-EDGEWOOD</v>
          </cell>
          <cell r="H970">
            <v>3352</v>
          </cell>
          <cell r="I970" t="str">
            <v>PACKR-RECYADL</v>
          </cell>
          <cell r="J970" t="str">
            <v>RECYROLLOUT &gt;25 PER 5</v>
          </cell>
          <cell r="K970">
            <v>2.34</v>
          </cell>
          <cell r="L970">
            <v>1.17</v>
          </cell>
        </row>
        <row r="971">
          <cell r="A971" t="str">
            <v>M-FIFERESIDENTIALPACKR-RECYADL</v>
          </cell>
          <cell r="B971" t="str">
            <v>BI-MONTHLY SPLIT ODD</v>
          </cell>
          <cell r="C971" t="str">
            <v>2111</v>
          </cell>
          <cell r="D971" t="str">
            <v>RESIDENTIAL</v>
          </cell>
          <cell r="E971" t="b">
            <v>0</v>
          </cell>
          <cell r="F971" t="b">
            <v>0</v>
          </cell>
          <cell r="G971" t="str">
            <v>M-FIFE</v>
          </cell>
          <cell r="H971">
            <v>3352</v>
          </cell>
          <cell r="I971" t="str">
            <v>PACKR-RECYADL</v>
          </cell>
          <cell r="J971" t="str">
            <v>RECYROLLOUT &gt;25 PER 5</v>
          </cell>
          <cell r="K971">
            <v>2.34</v>
          </cell>
          <cell r="L971">
            <v>1.17</v>
          </cell>
        </row>
        <row r="972">
          <cell r="A972" t="str">
            <v>MURREYSRESIDENTIALPACKR-RECYADL</v>
          </cell>
          <cell r="B972" t="str">
            <v>BI-MONTHLY SPLIT ODD</v>
          </cell>
          <cell r="C972" t="str">
            <v>2111</v>
          </cell>
          <cell r="D972" t="str">
            <v>RESIDENTIAL</v>
          </cell>
          <cell r="E972" t="b">
            <v>0</v>
          </cell>
          <cell r="F972" t="b">
            <v>0</v>
          </cell>
          <cell r="G972" t="str">
            <v>MURREYS</v>
          </cell>
          <cell r="H972">
            <v>3352</v>
          </cell>
          <cell r="I972" t="str">
            <v>PACKR-RECYADL</v>
          </cell>
          <cell r="J972" t="str">
            <v>RECYROLLOUT &gt;25 PER 5</v>
          </cell>
          <cell r="K972">
            <v>2.34</v>
          </cell>
          <cell r="L972">
            <v>1.17</v>
          </cell>
        </row>
        <row r="973">
          <cell r="A973" t="str">
            <v>M-EDGEWOODRESIDENTIALPACKR-RECYCLE</v>
          </cell>
          <cell r="B973" t="str">
            <v>BI-MONTHLY SPLIT ODD</v>
          </cell>
          <cell r="C973" t="str">
            <v>2111</v>
          </cell>
          <cell r="D973" t="str">
            <v>RESIDENTIAL</v>
          </cell>
          <cell r="E973" t="b">
            <v>0</v>
          </cell>
          <cell r="F973" t="b">
            <v>0</v>
          </cell>
          <cell r="G973" t="str">
            <v>M-EDGEWOOD</v>
          </cell>
          <cell r="H973">
            <v>3349</v>
          </cell>
          <cell r="I973" t="str">
            <v>PACKR-RECYCLE</v>
          </cell>
          <cell r="J973" t="str">
            <v>RECY ROLLOUT RESI &lt;25</v>
          </cell>
          <cell r="K973">
            <v>10.88</v>
          </cell>
          <cell r="L973">
            <v>5.44</v>
          </cell>
        </row>
        <row r="974">
          <cell r="A974" t="str">
            <v>M-FIFERESIDENTIALPACKR-RECYCLE</v>
          </cell>
          <cell r="B974" t="str">
            <v>BI-MONTHLY SPLIT ODD</v>
          </cell>
          <cell r="C974" t="str">
            <v>2111</v>
          </cell>
          <cell r="D974" t="str">
            <v>RESIDENTIAL</v>
          </cell>
          <cell r="E974" t="b">
            <v>0</v>
          </cell>
          <cell r="F974" t="b">
            <v>0</v>
          </cell>
          <cell r="G974" t="str">
            <v>M-FIFE</v>
          </cell>
          <cell r="H974">
            <v>3349</v>
          </cell>
          <cell r="I974" t="str">
            <v>PACKR-RECYCLE</v>
          </cell>
          <cell r="J974" t="str">
            <v>RECY ROLLOUT RESI &lt;25</v>
          </cell>
          <cell r="K974">
            <v>10.88</v>
          </cell>
          <cell r="L974">
            <v>5.44</v>
          </cell>
        </row>
        <row r="975">
          <cell r="A975" t="str">
            <v>MURREYSRESIDENTIALPACKR-RECYCLE</v>
          </cell>
          <cell r="B975" t="str">
            <v>BI-MONTHLY SPLIT ODD</v>
          </cell>
          <cell r="C975" t="str">
            <v>2111</v>
          </cell>
          <cell r="D975" t="str">
            <v>RESIDENTIAL</v>
          </cell>
          <cell r="E975" t="b">
            <v>0</v>
          </cell>
          <cell r="F975" t="b">
            <v>0</v>
          </cell>
          <cell r="G975" t="str">
            <v>MURREYS</v>
          </cell>
          <cell r="H975">
            <v>3349</v>
          </cell>
          <cell r="I975" t="str">
            <v>PACKR-RECYCLE</v>
          </cell>
          <cell r="J975" t="str">
            <v>RECY ROLLOUT RESI &lt;25</v>
          </cell>
          <cell r="K975">
            <v>10.88</v>
          </cell>
          <cell r="L975">
            <v>5.44</v>
          </cell>
        </row>
        <row r="976">
          <cell r="A976" t="str">
            <v>MURREYSRESIDENTIALPACKR-YARDAD</v>
          </cell>
          <cell r="B976" t="str">
            <v>BI-MONTHLY SPLIT ODD</v>
          </cell>
          <cell r="C976" t="str">
            <v>2111</v>
          </cell>
          <cell r="D976" t="str">
            <v>RESIDENTIAL</v>
          </cell>
          <cell r="E976" t="b">
            <v>0</v>
          </cell>
          <cell r="F976" t="b">
            <v>0</v>
          </cell>
          <cell r="G976" t="str">
            <v>MURREYS</v>
          </cell>
          <cell r="H976">
            <v>3353</v>
          </cell>
          <cell r="I976" t="str">
            <v>PACKR-YARDAD</v>
          </cell>
          <cell r="J976" t="str">
            <v>YDWSTROLLOUT &gt;25 PER 5</v>
          </cell>
          <cell r="K976">
            <v>2.34</v>
          </cell>
          <cell r="L976">
            <v>1.17</v>
          </cell>
        </row>
        <row r="977">
          <cell r="A977" t="str">
            <v>M-EDGEWOODRESIDENTIALPACKR-YARDWASTE</v>
          </cell>
          <cell r="B977" t="str">
            <v>BI-MONTHLY SPLIT ODD</v>
          </cell>
          <cell r="C977" t="str">
            <v>2111</v>
          </cell>
          <cell r="D977" t="str">
            <v>RESIDENTIAL</v>
          </cell>
          <cell r="E977" t="b">
            <v>0</v>
          </cell>
          <cell r="F977" t="b">
            <v>0</v>
          </cell>
          <cell r="G977" t="str">
            <v>M-EDGEWOOD</v>
          </cell>
          <cell r="H977">
            <v>3350</v>
          </cell>
          <cell r="I977" t="str">
            <v>PACKR-YARDWASTE</v>
          </cell>
          <cell r="J977" t="str">
            <v>YRDWSTE ROLLOUT RES &lt;25</v>
          </cell>
          <cell r="K977">
            <v>10.88</v>
          </cell>
          <cell r="L977">
            <v>5.44</v>
          </cell>
        </row>
        <row r="978">
          <cell r="A978" t="str">
            <v>M-FIFERESIDENTIALPACKR-YARDWASTE</v>
          </cell>
          <cell r="B978" t="str">
            <v>BI-MONTHLY SPLIT ODD</v>
          </cell>
          <cell r="C978" t="str">
            <v>2111</v>
          </cell>
          <cell r="D978" t="str">
            <v>RESIDENTIAL</v>
          </cell>
          <cell r="E978" t="b">
            <v>0</v>
          </cell>
          <cell r="F978" t="b">
            <v>0</v>
          </cell>
          <cell r="G978" t="str">
            <v>M-FIFE</v>
          </cell>
          <cell r="H978">
            <v>3350</v>
          </cell>
          <cell r="I978" t="str">
            <v>PACKR-YARDWASTE</v>
          </cell>
          <cell r="J978" t="str">
            <v>YRDWSTE ROLLOUT RES &lt;25</v>
          </cell>
          <cell r="K978">
            <v>10.88</v>
          </cell>
          <cell r="L978">
            <v>5.44</v>
          </cell>
        </row>
        <row r="979">
          <cell r="A979" t="str">
            <v>MURREYSRESIDENTIALPACKR-YARDWASTE</v>
          </cell>
          <cell r="B979" t="str">
            <v>BI-MONTHLY SPLIT ODD</v>
          </cell>
          <cell r="C979" t="str">
            <v>2111</v>
          </cell>
          <cell r="D979" t="str">
            <v>RESIDENTIAL</v>
          </cell>
          <cell r="E979" t="b">
            <v>0</v>
          </cell>
          <cell r="F979" t="b">
            <v>0</v>
          </cell>
          <cell r="G979" t="str">
            <v>MURREYS</v>
          </cell>
          <cell r="H979">
            <v>3350</v>
          </cell>
          <cell r="I979" t="str">
            <v>PACKR-YARDWASTE</v>
          </cell>
          <cell r="J979" t="str">
            <v>YRDWSTE ROLLOUT RES &lt;25</v>
          </cell>
          <cell r="K979">
            <v>10.88</v>
          </cell>
          <cell r="L979">
            <v>5.44</v>
          </cell>
        </row>
        <row r="980">
          <cell r="A980" t="str">
            <v>PUYALLUPRESIDENTIALPACKSNR</v>
          </cell>
          <cell r="B980" t="str">
            <v>BI-MONTHLY SPLIT EVEN</v>
          </cell>
          <cell r="C980" t="str">
            <v>2111</v>
          </cell>
          <cell r="D980" t="str">
            <v>RESIDENTIAL</v>
          </cell>
          <cell r="E980" t="b">
            <v>0</v>
          </cell>
          <cell r="F980" t="b">
            <v>0</v>
          </cell>
          <cell r="G980" t="str">
            <v>PUYALLUP</v>
          </cell>
          <cell r="H980">
            <v>3293</v>
          </cell>
          <cell r="I980" t="str">
            <v>PACKSNR</v>
          </cell>
          <cell r="J980" t="str">
            <v>CARRY-OUT SENIOR SERVICE</v>
          </cell>
          <cell r="K980">
            <v>0</v>
          </cell>
          <cell r="L980">
            <v>0</v>
          </cell>
        </row>
        <row r="981">
          <cell r="A981" t="str">
            <v>RUSTONRESIDENTIALPACKSNR</v>
          </cell>
          <cell r="B981" t="str">
            <v>BI-MONTHLY SPLIT EVEN</v>
          </cell>
          <cell r="C981" t="str">
            <v>2111</v>
          </cell>
          <cell r="D981" t="str">
            <v>RESIDENTIAL</v>
          </cell>
          <cell r="E981" t="b">
            <v>0</v>
          </cell>
          <cell r="F981" t="b">
            <v>0</v>
          </cell>
          <cell r="G981" t="str">
            <v>RUSTON</v>
          </cell>
          <cell r="H981">
            <v>3293</v>
          </cell>
          <cell r="I981" t="str">
            <v>PACKSNR</v>
          </cell>
          <cell r="J981" t="str">
            <v>CARRY-OUT SENIOR SERVICE</v>
          </cell>
          <cell r="K981">
            <v>39.24</v>
          </cell>
          <cell r="L981">
            <v>19.62</v>
          </cell>
        </row>
        <row r="982">
          <cell r="A982" t="str">
            <v>PUYALLUPACCOUNTINGPO</v>
          </cell>
          <cell r="B982" t="str">
            <v>MONTHLY ARREARS</v>
          </cell>
          <cell r="C982" t="str">
            <v>2111</v>
          </cell>
          <cell r="D982" t="str">
            <v>ACCOUNTING</v>
          </cell>
          <cell r="E982" t="b">
            <v>1</v>
          </cell>
          <cell r="F982" t="b">
            <v>0</v>
          </cell>
          <cell r="G982" t="str">
            <v>PUYALLUP</v>
          </cell>
          <cell r="H982">
            <v>3276</v>
          </cell>
          <cell r="I982" t="str">
            <v>PO</v>
          </cell>
          <cell r="J982" t="str">
            <v>PO NUMBER</v>
          </cell>
          <cell r="K982">
            <v>0</v>
          </cell>
          <cell r="L982">
            <v>0</v>
          </cell>
        </row>
        <row r="983">
          <cell r="A983" t="str">
            <v>APSROLL OFFPSRENT12</v>
          </cell>
          <cell r="B983" t="str">
            <v>MONTHLY ARREARS</v>
          </cell>
          <cell r="C983" t="str">
            <v>2111</v>
          </cell>
          <cell r="D983" t="str">
            <v>ROLL OFF</v>
          </cell>
          <cell r="E983" t="b">
            <v>0</v>
          </cell>
          <cell r="F983" t="b">
            <v>0</v>
          </cell>
          <cell r="G983" t="str">
            <v>APS</v>
          </cell>
          <cell r="H983">
            <v>3176</v>
          </cell>
          <cell r="I983" t="str">
            <v>PSRENT12</v>
          </cell>
          <cell r="J983" t="str">
            <v>PORTABLE STORAGE RENT 12</v>
          </cell>
          <cell r="K983">
            <v>118</v>
          </cell>
          <cell r="L983">
            <v>118</v>
          </cell>
        </row>
        <row r="984">
          <cell r="A984" t="str">
            <v>APSROLL OFFPSRENT22</v>
          </cell>
          <cell r="B984" t="str">
            <v>MONTHLY ARREARS</v>
          </cell>
          <cell r="C984" t="str">
            <v>2111</v>
          </cell>
          <cell r="D984" t="str">
            <v>ROLL OFF</v>
          </cell>
          <cell r="E984" t="b">
            <v>0</v>
          </cell>
          <cell r="F984" t="b">
            <v>0</v>
          </cell>
          <cell r="G984" t="str">
            <v>APS</v>
          </cell>
          <cell r="H984">
            <v>3177</v>
          </cell>
          <cell r="I984" t="str">
            <v>PSRENT22</v>
          </cell>
          <cell r="J984" t="str">
            <v>PORTABLE STORAGE RENT 22</v>
          </cell>
          <cell r="K984">
            <v>155</v>
          </cell>
          <cell r="L984">
            <v>155</v>
          </cell>
        </row>
        <row r="985">
          <cell r="A985" t="str">
            <v>APSROLL OFFPSRENT26</v>
          </cell>
          <cell r="B985" t="str">
            <v>MONTHLY ARREARS</v>
          </cell>
          <cell r="C985" t="str">
            <v>2111</v>
          </cell>
          <cell r="D985" t="str">
            <v>ROLL OFF</v>
          </cell>
          <cell r="E985" t="b">
            <v>0</v>
          </cell>
          <cell r="F985" t="b">
            <v>0</v>
          </cell>
          <cell r="G985" t="str">
            <v>APS</v>
          </cell>
          <cell r="H985">
            <v>3178</v>
          </cell>
          <cell r="I985" t="str">
            <v>PSRENT26</v>
          </cell>
          <cell r="J985" t="str">
            <v>PORTABLE STORAGE RENT 26</v>
          </cell>
          <cell r="K985">
            <v>168</v>
          </cell>
          <cell r="L985">
            <v>168</v>
          </cell>
        </row>
        <row r="986">
          <cell r="A986" t="str">
            <v>VASHONCOMMERCIALR1.5YD1M</v>
          </cell>
          <cell r="B986" t="str">
            <v>MONTHLY ARREARS</v>
          </cell>
          <cell r="C986" t="str">
            <v>2111</v>
          </cell>
          <cell r="D986" t="str">
            <v>COMMERCIAL</v>
          </cell>
          <cell r="E986" t="b">
            <v>0</v>
          </cell>
          <cell r="F986" t="b">
            <v>0</v>
          </cell>
          <cell r="G986" t="str">
            <v>VASHON</v>
          </cell>
          <cell r="H986">
            <v>3174</v>
          </cell>
          <cell r="I986" t="str">
            <v>R1.5YD1M</v>
          </cell>
          <cell r="J986" t="str">
            <v>1.5YD CONT 1X A MONTH</v>
          </cell>
          <cell r="K986">
            <v>25.89</v>
          </cell>
          <cell r="L986">
            <v>25.89</v>
          </cell>
        </row>
        <row r="987">
          <cell r="A987" t="str">
            <v>BONNEY LAKECOMMERCIALR1.5YD1W</v>
          </cell>
          <cell r="B987" t="str">
            <v>MONTHLY ARREARS</v>
          </cell>
          <cell r="C987" t="str">
            <v>2111</v>
          </cell>
          <cell r="D987" t="str">
            <v>COMMERCIAL</v>
          </cell>
          <cell r="E987" t="b">
            <v>0</v>
          </cell>
          <cell r="F987" t="b">
            <v>0</v>
          </cell>
          <cell r="G987" t="str">
            <v>BONNEY LAKE</v>
          </cell>
          <cell r="H987">
            <v>3030</v>
          </cell>
          <cell r="I987" t="str">
            <v>R1.5YD1W</v>
          </cell>
          <cell r="J987" t="str">
            <v>1.5YD CONT 1xWEEKLY</v>
          </cell>
          <cell r="K987">
            <v>321.54000000000002</v>
          </cell>
          <cell r="L987">
            <v>321.54000000000002</v>
          </cell>
        </row>
        <row r="988">
          <cell r="A988" t="str">
            <v>BUCKLEYCOMMERCIALR1.5YD1W</v>
          </cell>
          <cell r="B988" t="str">
            <v>MONTHLY ARREARS</v>
          </cell>
          <cell r="C988" t="str">
            <v>2111</v>
          </cell>
          <cell r="D988" t="str">
            <v>COMMERCIAL</v>
          </cell>
          <cell r="E988" t="b">
            <v>0</v>
          </cell>
          <cell r="F988" t="b">
            <v>0</v>
          </cell>
          <cell r="G988" t="str">
            <v>BUCKLEY</v>
          </cell>
          <cell r="H988">
            <v>3030</v>
          </cell>
          <cell r="I988" t="str">
            <v>R1.5YD1W</v>
          </cell>
          <cell r="J988" t="str">
            <v>1.5YD CONT 1xWEEKLY</v>
          </cell>
          <cell r="K988">
            <v>166.66</v>
          </cell>
          <cell r="L988">
            <v>166.66</v>
          </cell>
        </row>
        <row r="989">
          <cell r="A989" t="str">
            <v>CARBONADOCOMMERCIALR1.5YD1W</v>
          </cell>
          <cell r="B989" t="str">
            <v>MONTHLY ARREARS</v>
          </cell>
          <cell r="C989" t="str">
            <v>2111</v>
          </cell>
          <cell r="D989" t="str">
            <v>COMMERCIAL</v>
          </cell>
          <cell r="E989" t="b">
            <v>0</v>
          </cell>
          <cell r="F989" t="b">
            <v>0</v>
          </cell>
          <cell r="G989" t="str">
            <v>CARBONADO</v>
          </cell>
          <cell r="H989">
            <v>3030</v>
          </cell>
          <cell r="I989" t="str">
            <v>R1.5YD1W</v>
          </cell>
          <cell r="J989" t="str">
            <v>1.5YD CONT 1xWEEKLY</v>
          </cell>
          <cell r="K989">
            <v>147.56</v>
          </cell>
          <cell r="L989">
            <v>147.56</v>
          </cell>
        </row>
        <row r="990">
          <cell r="A990" t="str">
            <v>M-EDGEWOODCOMMERCIALR1.5YD1W</v>
          </cell>
          <cell r="B990" t="str">
            <v>MONTHLY ARREARS</v>
          </cell>
          <cell r="C990" t="str">
            <v>2111</v>
          </cell>
          <cell r="D990" t="str">
            <v>COMMERCIAL</v>
          </cell>
          <cell r="E990" t="b">
            <v>0</v>
          </cell>
          <cell r="F990" t="b">
            <v>0</v>
          </cell>
          <cell r="G990" t="str">
            <v>M-EDGEWOOD</v>
          </cell>
          <cell r="H990">
            <v>3030</v>
          </cell>
          <cell r="I990" t="str">
            <v>R1.5YD1W</v>
          </cell>
          <cell r="J990" t="str">
            <v>1.5YD CONT 1xWEEKLY</v>
          </cell>
          <cell r="K990">
            <v>143.97</v>
          </cell>
          <cell r="L990">
            <v>143.97</v>
          </cell>
        </row>
        <row r="991">
          <cell r="A991" t="str">
            <v>M-FIFECOMMERCIALR1.5YD1W</v>
          </cell>
          <cell r="B991" t="str">
            <v>MONTHLY ARREARS</v>
          </cell>
          <cell r="C991" t="str">
            <v>2111</v>
          </cell>
          <cell r="D991" t="str">
            <v>COMMERCIAL</v>
          </cell>
          <cell r="E991" t="b">
            <v>0</v>
          </cell>
          <cell r="F991" t="b">
            <v>0</v>
          </cell>
          <cell r="G991" t="str">
            <v>M-FIFE</v>
          </cell>
          <cell r="H991">
            <v>3030</v>
          </cell>
          <cell r="I991" t="str">
            <v>R1.5YD1W</v>
          </cell>
          <cell r="J991" t="str">
            <v>1.5YD CONT 1xWEEKLY</v>
          </cell>
          <cell r="K991">
            <v>143.97</v>
          </cell>
          <cell r="L991">
            <v>143.97</v>
          </cell>
        </row>
        <row r="992">
          <cell r="A992" t="str">
            <v>MILTONCOMMERCIALR1.5YD1W</v>
          </cell>
          <cell r="B992" t="str">
            <v>MONTHLY ARREARS</v>
          </cell>
          <cell r="C992" t="str">
            <v>2111</v>
          </cell>
          <cell r="D992" t="str">
            <v>COMMERCIAL</v>
          </cell>
          <cell r="E992" t="b">
            <v>0</v>
          </cell>
          <cell r="F992" t="b">
            <v>0</v>
          </cell>
          <cell r="G992" t="str">
            <v>MILTON</v>
          </cell>
          <cell r="H992">
            <v>3030</v>
          </cell>
          <cell r="I992" t="str">
            <v>R1.5YD1W</v>
          </cell>
          <cell r="J992" t="str">
            <v>1.5YD CONT 1xWEEKLY</v>
          </cell>
          <cell r="K992">
            <v>322.24</v>
          </cell>
          <cell r="L992">
            <v>322.24</v>
          </cell>
        </row>
        <row r="993">
          <cell r="A993" t="str">
            <v>MURREYSCOMMERCIALR1.5YD1W</v>
          </cell>
          <cell r="B993" t="str">
            <v>MONTHLY ARREARS</v>
          </cell>
          <cell r="C993" t="str">
            <v>2111</v>
          </cell>
          <cell r="D993" t="str">
            <v>COMMERCIAL</v>
          </cell>
          <cell r="E993" t="b">
            <v>0</v>
          </cell>
          <cell r="F993" t="b">
            <v>0</v>
          </cell>
          <cell r="G993" t="str">
            <v>MURREYS</v>
          </cell>
          <cell r="H993">
            <v>3030</v>
          </cell>
          <cell r="I993" t="str">
            <v>R1.5YD1W</v>
          </cell>
          <cell r="J993" t="str">
            <v>1.5YD CONT 1xWEEKLY</v>
          </cell>
          <cell r="K993">
            <v>143.97</v>
          </cell>
          <cell r="L993">
            <v>143.97</v>
          </cell>
        </row>
        <row r="994">
          <cell r="A994" t="str">
            <v>ORTINGCOMMERCIALR1.5YD1W</v>
          </cell>
          <cell r="B994" t="str">
            <v>MONTHLY ARREARS</v>
          </cell>
          <cell r="C994" t="str">
            <v>2111</v>
          </cell>
          <cell r="D994" t="str">
            <v>COMMERCIAL</v>
          </cell>
          <cell r="E994" t="b">
            <v>0</v>
          </cell>
          <cell r="F994" t="b">
            <v>0</v>
          </cell>
          <cell r="G994" t="str">
            <v>ORTING</v>
          </cell>
          <cell r="H994">
            <v>3030</v>
          </cell>
          <cell r="I994" t="str">
            <v>R1.5YD1W</v>
          </cell>
          <cell r="J994" t="str">
            <v>1.5YD CONT 1xWEEKLY</v>
          </cell>
          <cell r="K994">
            <v>306.22000000000003</v>
          </cell>
          <cell r="L994">
            <v>306.22000000000003</v>
          </cell>
        </row>
        <row r="995">
          <cell r="A995" t="str">
            <v>PUYALLUPCOMMERCIALR1.5YD1W</v>
          </cell>
          <cell r="B995" t="str">
            <v>MONTHLY ARREARS</v>
          </cell>
          <cell r="C995" t="str">
            <v>2111</v>
          </cell>
          <cell r="D995" t="str">
            <v>COMMERCIAL</v>
          </cell>
          <cell r="E995" t="b">
            <v>0</v>
          </cell>
          <cell r="F995" t="b">
            <v>0</v>
          </cell>
          <cell r="G995" t="str">
            <v>PUYALLUP</v>
          </cell>
          <cell r="H995">
            <v>3030</v>
          </cell>
          <cell r="I995" t="str">
            <v>R1.5YD1W</v>
          </cell>
          <cell r="J995" t="str">
            <v>1.5YD CONT 1xWEEKLY</v>
          </cell>
          <cell r="K995">
            <v>345</v>
          </cell>
          <cell r="L995">
            <v>345</v>
          </cell>
        </row>
        <row r="996">
          <cell r="A996" t="str">
            <v>RUSTONCOMMERCIALR1.5YD1W</v>
          </cell>
          <cell r="B996" t="str">
            <v>MONTHLY ARREARS</v>
          </cell>
          <cell r="C996" t="str">
            <v>2111</v>
          </cell>
          <cell r="D996" t="str">
            <v>COMMERCIAL</v>
          </cell>
          <cell r="E996" t="b">
            <v>0</v>
          </cell>
          <cell r="F996" t="b">
            <v>0</v>
          </cell>
          <cell r="G996" t="str">
            <v>RUSTON</v>
          </cell>
          <cell r="H996">
            <v>3030</v>
          </cell>
          <cell r="I996" t="str">
            <v>R1.5YD1W</v>
          </cell>
          <cell r="J996" t="str">
            <v>1.5YD CONT 1xWEEKLY</v>
          </cell>
          <cell r="K996">
            <v>233.2</v>
          </cell>
          <cell r="L996">
            <v>233.2</v>
          </cell>
        </row>
        <row r="997">
          <cell r="A997" t="str">
            <v>SOUTH PRAIRIECOMMERCIALR1.5YD1W</v>
          </cell>
          <cell r="B997" t="str">
            <v>MONTHLY ARREARS</v>
          </cell>
          <cell r="C997" t="str">
            <v>2111</v>
          </cell>
          <cell r="D997" t="str">
            <v>COMMERCIAL</v>
          </cell>
          <cell r="E997" t="b">
            <v>0</v>
          </cell>
          <cell r="F997" t="b">
            <v>0</v>
          </cell>
          <cell r="G997" t="str">
            <v>SOUTH PRAIRIE</v>
          </cell>
          <cell r="H997">
            <v>3030</v>
          </cell>
          <cell r="I997" t="str">
            <v>R1.5YD1W</v>
          </cell>
          <cell r="J997" t="str">
            <v>1.5YD CONT 1xWEEKLY</v>
          </cell>
          <cell r="K997">
            <v>143.32</v>
          </cell>
          <cell r="L997">
            <v>143.32</v>
          </cell>
        </row>
        <row r="998">
          <cell r="A998" t="str">
            <v>SUMNERCOMMERCIALR1.5YD1W</v>
          </cell>
          <cell r="B998" t="str">
            <v>MONTHLY ARREARS</v>
          </cell>
          <cell r="C998" t="str">
            <v>2111</v>
          </cell>
          <cell r="D998" t="str">
            <v>COMMERCIAL</v>
          </cell>
          <cell r="E998" t="b">
            <v>0</v>
          </cell>
          <cell r="F998" t="b">
            <v>0</v>
          </cell>
          <cell r="G998" t="str">
            <v>SUMNER</v>
          </cell>
          <cell r="H998">
            <v>3030</v>
          </cell>
          <cell r="I998" t="str">
            <v>R1.5YD1W</v>
          </cell>
          <cell r="J998" t="str">
            <v>1.5YD CONT 1xWEEKLY</v>
          </cell>
          <cell r="K998">
            <v>168.98</v>
          </cell>
          <cell r="L998">
            <v>168.98</v>
          </cell>
        </row>
        <row r="999">
          <cell r="A999" t="str">
            <v>VASHONCOMMERCIALR1.5YD1W</v>
          </cell>
          <cell r="B999" t="str">
            <v>MONTHLY ARREARS</v>
          </cell>
          <cell r="C999" t="str">
            <v>2111</v>
          </cell>
          <cell r="D999" t="str">
            <v>COMMERCIAL</v>
          </cell>
          <cell r="E999" t="b">
            <v>0</v>
          </cell>
          <cell r="F999" t="b">
            <v>0</v>
          </cell>
          <cell r="G999" t="str">
            <v>VASHON</v>
          </cell>
          <cell r="H999">
            <v>3030</v>
          </cell>
          <cell r="I999" t="str">
            <v>R1.5YD1W</v>
          </cell>
          <cell r="J999" t="str">
            <v>1.5YD CONT 1xWEEKLY</v>
          </cell>
          <cell r="K999">
            <v>112.1</v>
          </cell>
          <cell r="L999">
            <v>112.1</v>
          </cell>
        </row>
        <row r="1000">
          <cell r="A1000" t="str">
            <v>BONNEY LAKECOMMERCIALR1.5YD2W</v>
          </cell>
          <cell r="B1000" t="str">
            <v>MONTHLY ARREARS</v>
          </cell>
          <cell r="C1000" t="str">
            <v>2111</v>
          </cell>
          <cell r="D1000" t="str">
            <v>COMMERCIAL</v>
          </cell>
          <cell r="E1000" t="b">
            <v>0</v>
          </cell>
          <cell r="F1000" t="b">
            <v>0</v>
          </cell>
          <cell r="G1000" t="str">
            <v>BONNEY LAKE</v>
          </cell>
          <cell r="H1000">
            <v>3031</v>
          </cell>
          <cell r="I1000" t="str">
            <v>R1.5YD2W</v>
          </cell>
          <cell r="J1000" t="str">
            <v>1.5YD CONT 2xWEEKLY</v>
          </cell>
          <cell r="K1000">
            <v>654.94000000000005</v>
          </cell>
          <cell r="L1000">
            <v>654.94000000000005</v>
          </cell>
        </row>
        <row r="1001">
          <cell r="A1001" t="str">
            <v>BUCKLEYCOMMERCIALR1.5YD2W</v>
          </cell>
          <cell r="B1001" t="str">
            <v>MONTHLY ARREARS</v>
          </cell>
          <cell r="C1001" t="str">
            <v>2111</v>
          </cell>
          <cell r="D1001" t="str">
            <v>COMMERCIAL</v>
          </cell>
          <cell r="E1001" t="b">
            <v>0</v>
          </cell>
          <cell r="F1001" t="b">
            <v>0</v>
          </cell>
          <cell r="G1001" t="str">
            <v>BUCKLEY</v>
          </cell>
          <cell r="H1001">
            <v>3031</v>
          </cell>
          <cell r="I1001" t="str">
            <v>R1.5YD2W</v>
          </cell>
          <cell r="J1001" t="str">
            <v>1.5YD CONT 2xWEEKLY</v>
          </cell>
          <cell r="K1001">
            <v>337.67</v>
          </cell>
          <cell r="L1001">
            <v>337.67</v>
          </cell>
        </row>
        <row r="1002">
          <cell r="A1002" t="str">
            <v>M-EDGEWOODCOMMERCIALR1.5YD2W</v>
          </cell>
          <cell r="B1002" t="str">
            <v>MONTHLY ARREARS</v>
          </cell>
          <cell r="C1002" t="str">
            <v>2111</v>
          </cell>
          <cell r="D1002" t="str">
            <v>COMMERCIAL</v>
          </cell>
          <cell r="E1002" t="b">
            <v>0</v>
          </cell>
          <cell r="F1002" t="b">
            <v>0</v>
          </cell>
          <cell r="G1002" t="str">
            <v>M-EDGEWOOD</v>
          </cell>
          <cell r="H1002">
            <v>3031</v>
          </cell>
          <cell r="I1002" t="str">
            <v>R1.5YD2W</v>
          </cell>
          <cell r="J1002" t="str">
            <v>1.5YD CONT 2xWEEKLY</v>
          </cell>
          <cell r="K1002">
            <v>287.95</v>
          </cell>
          <cell r="L1002">
            <v>287.95</v>
          </cell>
        </row>
        <row r="1003">
          <cell r="A1003" t="str">
            <v>M-FIFECOMMERCIALR1.5YD2W</v>
          </cell>
          <cell r="B1003" t="str">
            <v>MONTHLY ARREARS</v>
          </cell>
          <cell r="C1003" t="str">
            <v>2111</v>
          </cell>
          <cell r="D1003" t="str">
            <v>COMMERCIAL</v>
          </cell>
          <cell r="E1003" t="b">
            <v>0</v>
          </cell>
          <cell r="F1003" t="b">
            <v>0</v>
          </cell>
          <cell r="G1003" t="str">
            <v>M-FIFE</v>
          </cell>
          <cell r="H1003">
            <v>3031</v>
          </cell>
          <cell r="I1003" t="str">
            <v>R1.5YD2W</v>
          </cell>
          <cell r="J1003" t="str">
            <v>1.5YD CONT 2xWEEKLY</v>
          </cell>
          <cell r="K1003">
            <v>287.95</v>
          </cell>
          <cell r="L1003">
            <v>287.95</v>
          </cell>
        </row>
        <row r="1004">
          <cell r="A1004" t="str">
            <v>MILTONCOMMERCIALR1.5YD2W</v>
          </cell>
          <cell r="B1004" t="str">
            <v>MONTHLY ARREARS</v>
          </cell>
          <cell r="C1004" t="str">
            <v>2111</v>
          </cell>
          <cell r="D1004" t="str">
            <v>COMMERCIAL</v>
          </cell>
          <cell r="E1004" t="b">
            <v>0</v>
          </cell>
          <cell r="F1004" t="b">
            <v>0</v>
          </cell>
          <cell r="G1004" t="str">
            <v>MILTON</v>
          </cell>
          <cell r="H1004">
            <v>3031</v>
          </cell>
          <cell r="I1004" t="str">
            <v>R1.5YD2W</v>
          </cell>
          <cell r="J1004" t="str">
            <v>1.5YD CONT 2xWEEKLY</v>
          </cell>
          <cell r="K1004">
            <v>641.52</v>
          </cell>
          <cell r="L1004">
            <v>641.52</v>
          </cell>
        </row>
        <row r="1005">
          <cell r="A1005" t="str">
            <v>MURREYSCOMMERCIALR1.5YD2W</v>
          </cell>
          <cell r="B1005" t="str">
            <v>MONTHLY ARREARS</v>
          </cell>
          <cell r="C1005" t="str">
            <v>2111</v>
          </cell>
          <cell r="D1005" t="str">
            <v>COMMERCIAL</v>
          </cell>
          <cell r="E1005" t="b">
            <v>0</v>
          </cell>
          <cell r="F1005" t="b">
            <v>0</v>
          </cell>
          <cell r="G1005" t="str">
            <v>MURREYS</v>
          </cell>
          <cell r="H1005">
            <v>3031</v>
          </cell>
          <cell r="I1005" t="str">
            <v>R1.5YD2W</v>
          </cell>
          <cell r="J1005" t="str">
            <v>1.5YD CONT 2xWEEKLY</v>
          </cell>
          <cell r="K1005">
            <v>287.95</v>
          </cell>
          <cell r="L1005">
            <v>287.95</v>
          </cell>
        </row>
        <row r="1006">
          <cell r="A1006" t="str">
            <v>ORTINGCOMMERCIALR1.5YD2W</v>
          </cell>
          <cell r="B1006" t="str">
            <v>MONTHLY ARREARS</v>
          </cell>
          <cell r="C1006" t="str">
            <v>2111</v>
          </cell>
          <cell r="D1006" t="str">
            <v>COMMERCIAL</v>
          </cell>
          <cell r="E1006" t="b">
            <v>0</v>
          </cell>
          <cell r="F1006" t="b">
            <v>0</v>
          </cell>
          <cell r="G1006" t="str">
            <v>ORTING</v>
          </cell>
          <cell r="H1006">
            <v>3031</v>
          </cell>
          <cell r="I1006" t="str">
            <v>R1.5YD2W</v>
          </cell>
          <cell r="J1006" t="str">
            <v>1.5YD CONT 2xWEEKLY</v>
          </cell>
          <cell r="K1006">
            <v>605.82000000000005</v>
          </cell>
          <cell r="L1006">
            <v>605.82000000000005</v>
          </cell>
        </row>
        <row r="1007">
          <cell r="A1007" t="str">
            <v>PUYALLUPCOMMERCIALR1.5YD2W</v>
          </cell>
          <cell r="B1007" t="str">
            <v>MONTHLY ARREARS</v>
          </cell>
          <cell r="C1007" t="str">
            <v>2111</v>
          </cell>
          <cell r="D1007" t="str">
            <v>COMMERCIAL</v>
          </cell>
          <cell r="E1007" t="b">
            <v>0</v>
          </cell>
          <cell r="F1007" t="b">
            <v>0</v>
          </cell>
          <cell r="G1007" t="str">
            <v>PUYALLUP</v>
          </cell>
          <cell r="H1007">
            <v>3031</v>
          </cell>
          <cell r="I1007" t="str">
            <v>R1.5YD2W</v>
          </cell>
          <cell r="J1007" t="str">
            <v>1.5YD CONT 2xWEEKLY</v>
          </cell>
          <cell r="K1007">
            <v>674.54</v>
          </cell>
          <cell r="L1007">
            <v>674.54</v>
          </cell>
        </row>
        <row r="1008">
          <cell r="A1008" t="str">
            <v>RUSTONCOMMERCIALR1.5YD2W</v>
          </cell>
          <cell r="B1008" t="str">
            <v>MONTHLY ARREARS</v>
          </cell>
          <cell r="C1008" t="str">
            <v>2111</v>
          </cell>
          <cell r="D1008" t="str">
            <v>COMMERCIAL</v>
          </cell>
          <cell r="E1008" t="b">
            <v>0</v>
          </cell>
          <cell r="F1008" t="b">
            <v>0</v>
          </cell>
          <cell r="G1008" t="str">
            <v>RUSTON</v>
          </cell>
          <cell r="H1008">
            <v>3031</v>
          </cell>
          <cell r="I1008" t="str">
            <v>R1.5YD2W</v>
          </cell>
          <cell r="J1008" t="str">
            <v>1.5YD CONT 2xWEEKLY</v>
          </cell>
          <cell r="K1008">
            <v>466.37</v>
          </cell>
          <cell r="L1008">
            <v>466.37</v>
          </cell>
        </row>
        <row r="1009">
          <cell r="A1009" t="str">
            <v>SOUTH PRAIRIECOMMERCIALR1.5YD2W</v>
          </cell>
          <cell r="B1009" t="str">
            <v>MONTHLY ARREARS</v>
          </cell>
          <cell r="C1009" t="str">
            <v>2111</v>
          </cell>
          <cell r="D1009" t="str">
            <v>COMMERCIAL</v>
          </cell>
          <cell r="E1009" t="b">
            <v>0</v>
          </cell>
          <cell r="F1009" t="b">
            <v>0</v>
          </cell>
          <cell r="G1009" t="str">
            <v>SOUTH PRAIRIE</v>
          </cell>
          <cell r="H1009">
            <v>3031</v>
          </cell>
          <cell r="I1009" t="str">
            <v>R1.5YD2W</v>
          </cell>
          <cell r="J1009" t="str">
            <v>1.5YD CONT 2xWEEKLY</v>
          </cell>
          <cell r="K1009">
            <v>286.64</v>
          </cell>
          <cell r="L1009">
            <v>286.64</v>
          </cell>
        </row>
        <row r="1010">
          <cell r="A1010" t="str">
            <v>SUMNERCOMMERCIALR1.5YD2W</v>
          </cell>
          <cell r="B1010" t="str">
            <v>MONTHLY ARREARS</v>
          </cell>
          <cell r="C1010" t="str">
            <v>2111</v>
          </cell>
          <cell r="D1010" t="str">
            <v>COMMERCIAL</v>
          </cell>
          <cell r="E1010" t="b">
            <v>0</v>
          </cell>
          <cell r="F1010" t="b">
            <v>0</v>
          </cell>
          <cell r="G1010" t="str">
            <v>SUMNER</v>
          </cell>
          <cell r="H1010">
            <v>3031</v>
          </cell>
          <cell r="I1010" t="str">
            <v>R1.5YD2W</v>
          </cell>
          <cell r="J1010" t="str">
            <v>1.5YD CONT 2xWEEKLY</v>
          </cell>
          <cell r="K1010">
            <v>337.67</v>
          </cell>
          <cell r="L1010">
            <v>337.67</v>
          </cell>
        </row>
        <row r="1011">
          <cell r="A1011" t="str">
            <v>VASHONCOMMERCIALR1.5YD2W</v>
          </cell>
          <cell r="B1011" t="str">
            <v>MONTHLY ARREARS</v>
          </cell>
          <cell r="C1011" t="str">
            <v>2111</v>
          </cell>
          <cell r="D1011" t="str">
            <v>COMMERCIAL</v>
          </cell>
          <cell r="E1011" t="b">
            <v>0</v>
          </cell>
          <cell r="F1011" t="b">
            <v>0</v>
          </cell>
          <cell r="G1011" t="str">
            <v>VASHON</v>
          </cell>
          <cell r="H1011">
            <v>3031</v>
          </cell>
          <cell r="I1011" t="str">
            <v>R1.5YD2W</v>
          </cell>
          <cell r="J1011" t="str">
            <v>1.5YD CONT 2xWEEKLY</v>
          </cell>
          <cell r="K1011">
            <v>224.21</v>
          </cell>
          <cell r="L1011">
            <v>224.21</v>
          </cell>
        </row>
        <row r="1012">
          <cell r="A1012" t="str">
            <v>M-EDGEWOODCOMMERCIALR1.5YD3W</v>
          </cell>
          <cell r="B1012" t="str">
            <v>MONTHLY ARREARS</v>
          </cell>
          <cell r="C1012" t="str">
            <v>2111</v>
          </cell>
          <cell r="D1012" t="str">
            <v>COMMERCIAL</v>
          </cell>
          <cell r="E1012" t="b">
            <v>0</v>
          </cell>
          <cell r="F1012" t="b">
            <v>0</v>
          </cell>
          <cell r="G1012" t="str">
            <v>M-EDGEWOOD</v>
          </cell>
          <cell r="H1012">
            <v>3032</v>
          </cell>
          <cell r="I1012" t="str">
            <v>R1.5YD3W</v>
          </cell>
          <cell r="J1012" t="str">
            <v>1.5YD CONT 3xWEEKLY</v>
          </cell>
          <cell r="K1012">
            <v>431.92</v>
          </cell>
          <cell r="L1012">
            <v>431.92</v>
          </cell>
        </row>
        <row r="1013">
          <cell r="A1013" t="str">
            <v>M-FIFECOMMERCIALR1.5YD3W</v>
          </cell>
          <cell r="B1013" t="str">
            <v>MONTHLY ARREARS</v>
          </cell>
          <cell r="C1013" t="str">
            <v>2111</v>
          </cell>
          <cell r="D1013" t="str">
            <v>COMMERCIAL</v>
          </cell>
          <cell r="E1013" t="b">
            <v>0</v>
          </cell>
          <cell r="F1013" t="b">
            <v>0</v>
          </cell>
          <cell r="G1013" t="str">
            <v>M-FIFE</v>
          </cell>
          <cell r="H1013">
            <v>3032</v>
          </cell>
          <cell r="I1013" t="str">
            <v>R1.5YD3W</v>
          </cell>
          <cell r="J1013" t="str">
            <v>1.5YD CONT 3xWEEKLY</v>
          </cell>
          <cell r="K1013">
            <v>431.92</v>
          </cell>
          <cell r="L1013">
            <v>431.92</v>
          </cell>
        </row>
        <row r="1014">
          <cell r="A1014" t="str">
            <v>MILTONCOMMERCIALR1.5YD3W</v>
          </cell>
          <cell r="B1014" t="str">
            <v>MONTHLY ARREARS</v>
          </cell>
          <cell r="C1014" t="str">
            <v>2111</v>
          </cell>
          <cell r="D1014" t="str">
            <v>COMMERCIAL</v>
          </cell>
          <cell r="E1014" t="b">
            <v>0</v>
          </cell>
          <cell r="F1014" t="b">
            <v>0</v>
          </cell>
          <cell r="G1014" t="str">
            <v>MILTON</v>
          </cell>
          <cell r="H1014">
            <v>3032</v>
          </cell>
          <cell r="I1014" t="str">
            <v>R1.5YD3W</v>
          </cell>
          <cell r="J1014" t="str">
            <v>1.5YD CONT 3xWEEKLY</v>
          </cell>
          <cell r="K1014">
            <v>958.9</v>
          </cell>
          <cell r="L1014">
            <v>958.9</v>
          </cell>
        </row>
        <row r="1015">
          <cell r="A1015" t="str">
            <v>MURREYSCOMMERCIALR1.5YD3W</v>
          </cell>
          <cell r="B1015" t="str">
            <v>MONTHLY ARREARS</v>
          </cell>
          <cell r="C1015" t="str">
            <v>2111</v>
          </cell>
          <cell r="D1015" t="str">
            <v>COMMERCIAL</v>
          </cell>
          <cell r="E1015" t="b">
            <v>0</v>
          </cell>
          <cell r="F1015" t="b">
            <v>0</v>
          </cell>
          <cell r="G1015" t="str">
            <v>MURREYS</v>
          </cell>
          <cell r="H1015">
            <v>3032</v>
          </cell>
          <cell r="I1015" t="str">
            <v>R1.5YD3W</v>
          </cell>
          <cell r="J1015" t="str">
            <v>1.5YD CONT 3xWEEKLY</v>
          </cell>
          <cell r="K1015">
            <v>431.92</v>
          </cell>
          <cell r="L1015">
            <v>431.92</v>
          </cell>
        </row>
        <row r="1016">
          <cell r="A1016" t="str">
            <v>PUYALLUPCOMMERCIALR1.5YD3W</v>
          </cell>
          <cell r="B1016" t="str">
            <v>MONTHLY ARREARS</v>
          </cell>
          <cell r="C1016" t="str">
            <v>2111</v>
          </cell>
          <cell r="D1016" t="str">
            <v>COMMERCIAL</v>
          </cell>
          <cell r="E1016" t="b">
            <v>0</v>
          </cell>
          <cell r="F1016" t="b">
            <v>0</v>
          </cell>
          <cell r="G1016" t="str">
            <v>PUYALLUP</v>
          </cell>
          <cell r="H1016">
            <v>3032</v>
          </cell>
          <cell r="I1016" t="str">
            <v>R1.5YD3W</v>
          </cell>
          <cell r="J1016" t="str">
            <v>1.5YD CONT 3xWEEKLY</v>
          </cell>
          <cell r="K1016">
            <v>1004.44</v>
          </cell>
          <cell r="L1016">
            <v>1004.44</v>
          </cell>
        </row>
        <row r="1017">
          <cell r="A1017" t="str">
            <v>SUMNERCOMMERCIALR1.5YD3W</v>
          </cell>
          <cell r="B1017" t="str">
            <v>MONTHLY ARREARS</v>
          </cell>
          <cell r="C1017" t="str">
            <v>2111</v>
          </cell>
          <cell r="D1017" t="str">
            <v>COMMERCIAL</v>
          </cell>
          <cell r="E1017" t="b">
            <v>0</v>
          </cell>
          <cell r="F1017" t="b">
            <v>0</v>
          </cell>
          <cell r="G1017" t="str">
            <v>SUMNER</v>
          </cell>
          <cell r="H1017">
            <v>3032</v>
          </cell>
          <cell r="I1017" t="str">
            <v>R1.5YD3W</v>
          </cell>
          <cell r="J1017" t="str">
            <v>1.5YD CONT 3xWEEKLY</v>
          </cell>
          <cell r="K1017">
            <v>255.2</v>
          </cell>
          <cell r="L1017">
            <v>255.2</v>
          </cell>
        </row>
        <row r="1018">
          <cell r="A1018" t="str">
            <v>VASHONCOMMERCIALR1.5YD3W</v>
          </cell>
          <cell r="B1018" t="str">
            <v>MONTHLY ARREARS</v>
          </cell>
          <cell r="C1018" t="str">
            <v>2111</v>
          </cell>
          <cell r="D1018" t="str">
            <v>COMMERCIAL</v>
          </cell>
          <cell r="E1018" t="b">
            <v>0</v>
          </cell>
          <cell r="F1018" t="b">
            <v>0</v>
          </cell>
          <cell r="G1018" t="str">
            <v>VASHON</v>
          </cell>
          <cell r="H1018">
            <v>3032</v>
          </cell>
          <cell r="I1018" t="str">
            <v>R1.5YD3W</v>
          </cell>
          <cell r="J1018" t="str">
            <v>1.5YD CONT 3xWEEKLY</v>
          </cell>
          <cell r="K1018">
            <v>336.31</v>
          </cell>
          <cell r="L1018">
            <v>336.31</v>
          </cell>
        </row>
        <row r="1019">
          <cell r="A1019" t="str">
            <v>VASHONCOMMERCIALR1.5YDEOW</v>
          </cell>
          <cell r="B1019" t="str">
            <v>MONTHLY ARREARS</v>
          </cell>
          <cell r="C1019" t="str">
            <v>2111</v>
          </cell>
          <cell r="D1019" t="str">
            <v>COMMERCIAL</v>
          </cell>
          <cell r="E1019" t="b">
            <v>0</v>
          </cell>
          <cell r="F1019" t="b">
            <v>0</v>
          </cell>
          <cell r="G1019" t="str">
            <v>VASHON</v>
          </cell>
          <cell r="H1019">
            <v>3114</v>
          </cell>
          <cell r="I1019" t="str">
            <v>R1.5YDEOW</v>
          </cell>
          <cell r="J1019" t="str">
            <v>1.5YD CONT EOW</v>
          </cell>
          <cell r="K1019">
            <v>56.18</v>
          </cell>
          <cell r="L1019">
            <v>56.18</v>
          </cell>
        </row>
        <row r="1020">
          <cell r="A1020" t="str">
            <v>BONNEY LAKECOMMERCIALR1.5YDEX</v>
          </cell>
          <cell r="B1020" t="str">
            <v>MONTHLY ARREARS</v>
          </cell>
          <cell r="C1020" t="str">
            <v>2111</v>
          </cell>
          <cell r="D1020" t="str">
            <v>COMMERCIAL</v>
          </cell>
          <cell r="E1020" t="b">
            <v>1</v>
          </cell>
          <cell r="F1020" t="b">
            <v>0</v>
          </cell>
          <cell r="G1020" t="str">
            <v>BONNEY LAKE</v>
          </cell>
          <cell r="H1020">
            <v>3043</v>
          </cell>
          <cell r="I1020" t="str">
            <v>R1.5YDEX</v>
          </cell>
          <cell r="J1020" t="str">
            <v>1.5YD CONTAINER EXTRA</v>
          </cell>
          <cell r="K1020">
            <v>39.26</v>
          </cell>
          <cell r="L1020">
            <v>39.26</v>
          </cell>
        </row>
        <row r="1021">
          <cell r="A1021" t="str">
            <v>BUCKLEYCOMMERCIALR1.5YDEX</v>
          </cell>
          <cell r="B1021" t="str">
            <v>MONTHLY ARREARS</v>
          </cell>
          <cell r="C1021" t="str">
            <v>2111</v>
          </cell>
          <cell r="D1021" t="str">
            <v>COMMERCIAL</v>
          </cell>
          <cell r="E1021" t="b">
            <v>1</v>
          </cell>
          <cell r="F1021" t="b">
            <v>0</v>
          </cell>
          <cell r="G1021" t="str">
            <v>BUCKLEY</v>
          </cell>
          <cell r="H1021">
            <v>3043</v>
          </cell>
          <cell r="I1021" t="str">
            <v>R1.5YDEX</v>
          </cell>
          <cell r="J1021" t="str">
            <v>1.5YD CONTAINER EXTRA</v>
          </cell>
          <cell r="K1021">
            <v>43.66</v>
          </cell>
          <cell r="L1021">
            <v>43.66</v>
          </cell>
        </row>
        <row r="1022">
          <cell r="A1022" t="str">
            <v>CARBONADOCOMMERCIALR1.5YDEX</v>
          </cell>
          <cell r="B1022" t="str">
            <v>MONTHLY ARREARS</v>
          </cell>
          <cell r="C1022" t="str">
            <v>2111</v>
          </cell>
          <cell r="D1022" t="str">
            <v>COMMERCIAL</v>
          </cell>
          <cell r="E1022" t="b">
            <v>1</v>
          </cell>
          <cell r="F1022" t="b">
            <v>0</v>
          </cell>
          <cell r="G1022" t="str">
            <v>CARBONADO</v>
          </cell>
          <cell r="H1022">
            <v>3043</v>
          </cell>
          <cell r="I1022" t="str">
            <v>R1.5YDEX</v>
          </cell>
          <cell r="J1022" t="str">
            <v>1.5YD CONTAINER EXTRA</v>
          </cell>
          <cell r="K1022">
            <v>35.18</v>
          </cell>
          <cell r="L1022">
            <v>35.18</v>
          </cell>
        </row>
        <row r="1023">
          <cell r="A1023" t="str">
            <v>M-EDGEWOODCOMMERCIALR1.5YDEX</v>
          </cell>
          <cell r="B1023" t="str">
            <v>MONTHLY ARREARS</v>
          </cell>
          <cell r="C1023" t="str">
            <v>2111</v>
          </cell>
          <cell r="D1023" t="str">
            <v>COMMERCIAL</v>
          </cell>
          <cell r="E1023" t="b">
            <v>1</v>
          </cell>
          <cell r="F1023" t="b">
            <v>0</v>
          </cell>
          <cell r="G1023" t="str">
            <v>M-EDGEWOOD</v>
          </cell>
          <cell r="H1023">
            <v>3043</v>
          </cell>
          <cell r="I1023" t="str">
            <v>R1.5YDEX</v>
          </cell>
          <cell r="J1023" t="str">
            <v>1.5YD CONTAINER EXTRA</v>
          </cell>
          <cell r="K1023">
            <v>35.46</v>
          </cell>
          <cell r="L1023">
            <v>35.46</v>
          </cell>
        </row>
        <row r="1024">
          <cell r="A1024" t="str">
            <v>M-FIFECOMMERCIALR1.5YDEX</v>
          </cell>
          <cell r="B1024" t="str">
            <v>MONTHLY ARREARS</v>
          </cell>
          <cell r="C1024" t="str">
            <v>2111</v>
          </cell>
          <cell r="D1024" t="str">
            <v>COMMERCIAL</v>
          </cell>
          <cell r="E1024" t="b">
            <v>1</v>
          </cell>
          <cell r="F1024" t="b">
            <v>0</v>
          </cell>
          <cell r="G1024" t="str">
            <v>M-FIFE</v>
          </cell>
          <cell r="H1024">
            <v>3043</v>
          </cell>
          <cell r="I1024" t="str">
            <v>R1.5YDEX</v>
          </cell>
          <cell r="J1024" t="str">
            <v>1.5YD CONTAINER EXTRA</v>
          </cell>
          <cell r="K1024">
            <v>35.46</v>
          </cell>
          <cell r="L1024">
            <v>35.46</v>
          </cell>
        </row>
        <row r="1025">
          <cell r="A1025" t="str">
            <v>MILTONCOMMERCIALR1.5YDEX</v>
          </cell>
          <cell r="B1025" t="str">
            <v>MONTHLY ARREARS</v>
          </cell>
          <cell r="C1025" t="str">
            <v>2111</v>
          </cell>
          <cell r="D1025" t="str">
            <v>COMMERCIAL</v>
          </cell>
          <cell r="E1025" t="b">
            <v>1</v>
          </cell>
          <cell r="F1025" t="b">
            <v>0</v>
          </cell>
          <cell r="G1025" t="str">
            <v>MILTON</v>
          </cell>
          <cell r="H1025">
            <v>3043</v>
          </cell>
          <cell r="I1025" t="str">
            <v>R1.5YDEX</v>
          </cell>
          <cell r="J1025" t="str">
            <v>1.5YD CONTAINER EXTRA</v>
          </cell>
          <cell r="K1025">
            <v>35.32</v>
          </cell>
          <cell r="L1025">
            <v>35.32</v>
          </cell>
        </row>
        <row r="1026">
          <cell r="A1026" t="str">
            <v>MURREYSCOMMERCIALR1.5YDEX</v>
          </cell>
          <cell r="B1026" t="str">
            <v>MONTHLY ARREARS</v>
          </cell>
          <cell r="C1026" t="str">
            <v>2111</v>
          </cell>
          <cell r="D1026" t="str">
            <v>COMMERCIAL</v>
          </cell>
          <cell r="E1026" t="b">
            <v>1</v>
          </cell>
          <cell r="F1026" t="b">
            <v>0</v>
          </cell>
          <cell r="G1026" t="str">
            <v>MURREYS</v>
          </cell>
          <cell r="H1026">
            <v>3043</v>
          </cell>
          <cell r="I1026" t="str">
            <v>R1.5YDEX</v>
          </cell>
          <cell r="J1026" t="str">
            <v>1.5YD CONTAINER EXTRA</v>
          </cell>
          <cell r="K1026">
            <v>35.46</v>
          </cell>
          <cell r="L1026">
            <v>35.46</v>
          </cell>
        </row>
        <row r="1027">
          <cell r="A1027" t="str">
            <v>PUYALLUPCOMMERCIALR1.5YDEX</v>
          </cell>
          <cell r="B1027" t="str">
            <v>MONTHLY ARREARS</v>
          </cell>
          <cell r="C1027" t="str">
            <v>2111</v>
          </cell>
          <cell r="D1027" t="str">
            <v>COMMERCIAL</v>
          </cell>
          <cell r="E1027" t="b">
            <v>1</v>
          </cell>
          <cell r="F1027" t="b">
            <v>0</v>
          </cell>
          <cell r="G1027" t="str">
            <v>PUYALLUP</v>
          </cell>
          <cell r="H1027">
            <v>3043</v>
          </cell>
          <cell r="I1027" t="str">
            <v>R1.5YDEX</v>
          </cell>
          <cell r="J1027" t="str">
            <v>1.5YD CONTAINER EXTRA</v>
          </cell>
          <cell r="K1027">
            <v>47.88</v>
          </cell>
          <cell r="L1027">
            <v>47.88</v>
          </cell>
        </row>
        <row r="1028">
          <cell r="A1028" t="str">
            <v>RUSTONCOMMERCIALR1.5YDEX</v>
          </cell>
          <cell r="B1028" t="str">
            <v>MONTHLY ARREARS</v>
          </cell>
          <cell r="C1028" t="str">
            <v>2111</v>
          </cell>
          <cell r="D1028" t="str">
            <v>COMMERCIAL</v>
          </cell>
          <cell r="E1028" t="b">
            <v>1</v>
          </cell>
          <cell r="F1028" t="b">
            <v>0</v>
          </cell>
          <cell r="G1028" t="str">
            <v>RUSTON</v>
          </cell>
          <cell r="H1028">
            <v>3043</v>
          </cell>
          <cell r="I1028" t="str">
            <v>R1.5YDEX</v>
          </cell>
          <cell r="J1028" t="str">
            <v>1.5YD CONTAINER EXTRA</v>
          </cell>
          <cell r="K1028">
            <v>41.87</v>
          </cell>
          <cell r="L1028">
            <v>41.87</v>
          </cell>
        </row>
        <row r="1029">
          <cell r="A1029" t="str">
            <v>SOUTH PRAIRIECOMMERCIALR1.5YDEX</v>
          </cell>
          <cell r="B1029" t="str">
            <v>MONTHLY ARREARS</v>
          </cell>
          <cell r="C1029" t="str">
            <v>2111</v>
          </cell>
          <cell r="D1029" t="str">
            <v>COMMERCIAL</v>
          </cell>
          <cell r="E1029" t="b">
            <v>1</v>
          </cell>
          <cell r="F1029" t="b">
            <v>0</v>
          </cell>
          <cell r="G1029" t="str">
            <v>SOUTH PRAIRIE</v>
          </cell>
          <cell r="H1029">
            <v>3043</v>
          </cell>
          <cell r="I1029" t="str">
            <v>R1.5YDEX</v>
          </cell>
          <cell r="J1029" t="str">
            <v>1.5YD CONTAINER EXTRA</v>
          </cell>
          <cell r="K1029">
            <v>35.29</v>
          </cell>
          <cell r="L1029">
            <v>35.29</v>
          </cell>
        </row>
        <row r="1030">
          <cell r="A1030" t="str">
            <v>SUMNERCOMMERCIALR1.5YDEX</v>
          </cell>
          <cell r="B1030" t="str">
            <v>MONTHLY ARREARS</v>
          </cell>
          <cell r="C1030" t="str">
            <v>2111</v>
          </cell>
          <cell r="D1030" t="str">
            <v>COMMERCIAL</v>
          </cell>
          <cell r="E1030" t="b">
            <v>1</v>
          </cell>
          <cell r="F1030" t="b">
            <v>0</v>
          </cell>
          <cell r="G1030" t="str">
            <v>SUMNER</v>
          </cell>
          <cell r="H1030">
            <v>3043</v>
          </cell>
          <cell r="I1030" t="str">
            <v>R1.5YDEX</v>
          </cell>
          <cell r="J1030" t="str">
            <v>1.5YD CONTAINER EXTRA</v>
          </cell>
          <cell r="K1030">
            <v>43.66</v>
          </cell>
          <cell r="L1030">
            <v>43.66</v>
          </cell>
        </row>
        <row r="1031">
          <cell r="A1031" t="str">
            <v>VASHONCOMMERCIALR1.5YDEX</v>
          </cell>
          <cell r="B1031" t="str">
            <v>MONTHLY ARREARS</v>
          </cell>
          <cell r="C1031" t="str">
            <v>2111</v>
          </cell>
          <cell r="D1031" t="str">
            <v>COMMERCIAL</v>
          </cell>
          <cell r="E1031" t="b">
            <v>1</v>
          </cell>
          <cell r="F1031" t="b">
            <v>0</v>
          </cell>
          <cell r="G1031" t="str">
            <v>VASHON</v>
          </cell>
          <cell r="H1031">
            <v>3043</v>
          </cell>
          <cell r="I1031" t="str">
            <v>R1.5YDEX</v>
          </cell>
          <cell r="J1031" t="str">
            <v>1.5YD CONTAINER EXTRA</v>
          </cell>
          <cell r="K1031">
            <v>25.89</v>
          </cell>
          <cell r="L1031">
            <v>25.89</v>
          </cell>
        </row>
        <row r="1032">
          <cell r="A1032" t="str">
            <v>M-EDGEWOODCOMMERCIALR1.5YDTPU</v>
          </cell>
          <cell r="B1032" t="str">
            <v>MONTHLY ARREARS</v>
          </cell>
          <cell r="C1032" t="str">
            <v>2111</v>
          </cell>
          <cell r="D1032" t="str">
            <v>COMMERCIAL</v>
          </cell>
          <cell r="E1032" t="b">
            <v>0</v>
          </cell>
          <cell r="F1032" t="b">
            <v>0</v>
          </cell>
          <cell r="G1032" t="str">
            <v>M-EDGEWOOD</v>
          </cell>
          <cell r="H1032">
            <v>2264</v>
          </cell>
          <cell r="I1032" t="str">
            <v>R1.5YDTPU</v>
          </cell>
          <cell r="J1032" t="str">
            <v>1.5YD TEMP CONTAINER</v>
          </cell>
          <cell r="K1032">
            <v>153.54</v>
          </cell>
          <cell r="L1032">
            <v>153.54</v>
          </cell>
        </row>
        <row r="1033">
          <cell r="A1033" t="str">
            <v>M-FIFECOMMERCIALR1.5YDTPU</v>
          </cell>
          <cell r="B1033" t="str">
            <v>MONTHLY ARREARS</v>
          </cell>
          <cell r="C1033" t="str">
            <v>2111</v>
          </cell>
          <cell r="D1033" t="str">
            <v>COMMERCIAL</v>
          </cell>
          <cell r="E1033" t="b">
            <v>0</v>
          </cell>
          <cell r="F1033" t="b">
            <v>0</v>
          </cell>
          <cell r="G1033" t="str">
            <v>M-FIFE</v>
          </cell>
          <cell r="H1033">
            <v>2264</v>
          </cell>
          <cell r="I1033" t="str">
            <v>R1.5YDTPU</v>
          </cell>
          <cell r="J1033" t="str">
            <v>1.5YD TEMP CONTAINER</v>
          </cell>
          <cell r="K1033">
            <v>153.54</v>
          </cell>
          <cell r="L1033">
            <v>153.54</v>
          </cell>
        </row>
        <row r="1034">
          <cell r="A1034" t="str">
            <v>MURREYSCOMMERCIALR1.5YDTPU</v>
          </cell>
          <cell r="B1034" t="str">
            <v>MONTHLY ARREARS</v>
          </cell>
          <cell r="C1034" t="str">
            <v>2111</v>
          </cell>
          <cell r="D1034" t="str">
            <v>COMMERCIAL</v>
          </cell>
          <cell r="E1034" t="b">
            <v>0</v>
          </cell>
          <cell r="F1034" t="b">
            <v>0</v>
          </cell>
          <cell r="G1034" t="str">
            <v>MURREYS</v>
          </cell>
          <cell r="H1034">
            <v>2264</v>
          </cell>
          <cell r="I1034" t="str">
            <v>R1.5YDTPU</v>
          </cell>
          <cell r="J1034" t="str">
            <v>1.5YD TEMP CONTAINER</v>
          </cell>
          <cell r="K1034">
            <v>153.54</v>
          </cell>
          <cell r="L1034">
            <v>153.54</v>
          </cell>
        </row>
        <row r="1035">
          <cell r="A1035" t="str">
            <v>VASHONCOMMERCIALR1.5YDTPU</v>
          </cell>
          <cell r="B1035" t="str">
            <v>MONTHLY ARREARS</v>
          </cell>
          <cell r="C1035" t="str">
            <v>2111</v>
          </cell>
          <cell r="D1035" t="str">
            <v>COMMERCIAL</v>
          </cell>
          <cell r="E1035" t="b">
            <v>0</v>
          </cell>
          <cell r="F1035" t="b">
            <v>0</v>
          </cell>
          <cell r="G1035" t="str">
            <v>VASHON</v>
          </cell>
          <cell r="H1035">
            <v>2264</v>
          </cell>
          <cell r="I1035" t="str">
            <v>R1.5YDTPU</v>
          </cell>
          <cell r="J1035" t="str">
            <v>1.5YD TEMP CONTAINER</v>
          </cell>
          <cell r="K1035">
            <v>112</v>
          </cell>
          <cell r="L1035">
            <v>112</v>
          </cell>
        </row>
        <row r="1036">
          <cell r="A1036" t="str">
            <v>BONNEY LAKECOMMERCIALR1YD1W</v>
          </cell>
          <cell r="B1036" t="str">
            <v>MONTHLY ARREARS</v>
          </cell>
          <cell r="C1036" t="str">
            <v>2111</v>
          </cell>
          <cell r="D1036" t="str">
            <v>COMMERCIAL</v>
          </cell>
          <cell r="E1036" t="b">
            <v>0</v>
          </cell>
          <cell r="F1036" t="b">
            <v>0</v>
          </cell>
          <cell r="G1036" t="str">
            <v>BONNEY LAKE</v>
          </cell>
          <cell r="H1036">
            <v>3024</v>
          </cell>
          <cell r="I1036" t="str">
            <v>R1YD1W</v>
          </cell>
          <cell r="J1036" t="str">
            <v>1YD CONT 1xWEEKLY</v>
          </cell>
          <cell r="K1036">
            <v>230.84</v>
          </cell>
          <cell r="L1036">
            <v>230.84</v>
          </cell>
        </row>
        <row r="1037">
          <cell r="A1037" t="str">
            <v>BUCKLEYCOMMERCIALR1YD1W</v>
          </cell>
          <cell r="B1037" t="str">
            <v>MONTHLY ARREARS</v>
          </cell>
          <cell r="C1037" t="str">
            <v>2111</v>
          </cell>
          <cell r="D1037" t="str">
            <v>COMMERCIAL</v>
          </cell>
          <cell r="E1037" t="b">
            <v>0</v>
          </cell>
          <cell r="F1037" t="b">
            <v>0</v>
          </cell>
          <cell r="G1037" t="str">
            <v>BUCKLEY</v>
          </cell>
          <cell r="H1037">
            <v>3024</v>
          </cell>
          <cell r="I1037" t="str">
            <v>R1YD1W</v>
          </cell>
          <cell r="J1037" t="str">
            <v>1YD CONT 1xWEEKLY</v>
          </cell>
          <cell r="K1037">
            <v>124.16</v>
          </cell>
          <cell r="L1037">
            <v>124.16</v>
          </cell>
        </row>
        <row r="1038">
          <cell r="A1038" t="str">
            <v>CARBONADOCOMMERCIALR1YD1W</v>
          </cell>
          <cell r="B1038" t="str">
            <v>MONTHLY ARREARS</v>
          </cell>
          <cell r="C1038" t="str">
            <v>2111</v>
          </cell>
          <cell r="D1038" t="str">
            <v>COMMERCIAL</v>
          </cell>
          <cell r="E1038" t="b">
            <v>0</v>
          </cell>
          <cell r="F1038" t="b">
            <v>0</v>
          </cell>
          <cell r="G1038" t="str">
            <v>CARBONADO</v>
          </cell>
          <cell r="H1038">
            <v>3024</v>
          </cell>
          <cell r="I1038" t="str">
            <v>R1YD1W</v>
          </cell>
          <cell r="J1038" t="str">
            <v>1YD CONT 1xWEEKLY</v>
          </cell>
          <cell r="K1038">
            <v>105.97</v>
          </cell>
          <cell r="L1038">
            <v>105.97</v>
          </cell>
        </row>
        <row r="1039">
          <cell r="A1039" t="str">
            <v>M-EDGEWOODCOMMERCIALR1YD1W</v>
          </cell>
          <cell r="B1039" t="str">
            <v>MONTHLY ARREARS</v>
          </cell>
          <cell r="C1039" t="str">
            <v>2111</v>
          </cell>
          <cell r="D1039" t="str">
            <v>COMMERCIAL</v>
          </cell>
          <cell r="E1039" t="b">
            <v>0</v>
          </cell>
          <cell r="F1039" t="b">
            <v>0</v>
          </cell>
          <cell r="G1039" t="str">
            <v>M-EDGEWOOD</v>
          </cell>
          <cell r="H1039">
            <v>3024</v>
          </cell>
          <cell r="I1039" t="str">
            <v>R1YD1W</v>
          </cell>
          <cell r="J1039" t="str">
            <v>1YD CONT 1xWEEKLY</v>
          </cell>
          <cell r="K1039">
            <v>104.05</v>
          </cell>
          <cell r="L1039">
            <v>104.05</v>
          </cell>
        </row>
        <row r="1040">
          <cell r="A1040" t="str">
            <v>M-FIFECOMMERCIALR1YD1W</v>
          </cell>
          <cell r="B1040" t="str">
            <v>MONTHLY ARREARS</v>
          </cell>
          <cell r="C1040" t="str">
            <v>2111</v>
          </cell>
          <cell r="D1040" t="str">
            <v>COMMERCIAL</v>
          </cell>
          <cell r="E1040" t="b">
            <v>0</v>
          </cell>
          <cell r="F1040" t="b">
            <v>0</v>
          </cell>
          <cell r="G1040" t="str">
            <v>M-FIFE</v>
          </cell>
          <cell r="H1040">
            <v>3024</v>
          </cell>
          <cell r="I1040" t="str">
            <v>R1YD1W</v>
          </cell>
          <cell r="J1040" t="str">
            <v>1YD CONT 1xWEEKLY</v>
          </cell>
          <cell r="K1040">
            <v>104.05</v>
          </cell>
          <cell r="L1040">
            <v>104.05</v>
          </cell>
        </row>
        <row r="1041">
          <cell r="A1041" t="str">
            <v>MILTONCOMMERCIALR1YD1W</v>
          </cell>
          <cell r="B1041" t="str">
            <v>MONTHLY ARREARS</v>
          </cell>
          <cell r="C1041" t="str">
            <v>2111</v>
          </cell>
          <cell r="D1041" t="str">
            <v>COMMERCIAL</v>
          </cell>
          <cell r="E1041" t="b">
            <v>0</v>
          </cell>
          <cell r="F1041" t="b">
            <v>0</v>
          </cell>
          <cell r="G1041" t="str">
            <v>MILTON</v>
          </cell>
          <cell r="H1041">
            <v>3024</v>
          </cell>
          <cell r="I1041" t="str">
            <v>R1YD1W</v>
          </cell>
          <cell r="J1041" t="str">
            <v>1YD CONT 1xWEEKLY</v>
          </cell>
          <cell r="K1041">
            <v>226.06</v>
          </cell>
          <cell r="L1041">
            <v>226.06</v>
          </cell>
        </row>
        <row r="1042">
          <cell r="A1042" t="str">
            <v>MURREYSCOMMERCIALR1YD1W</v>
          </cell>
          <cell r="B1042" t="str">
            <v>MONTHLY ARREARS</v>
          </cell>
          <cell r="C1042" t="str">
            <v>2111</v>
          </cell>
          <cell r="D1042" t="str">
            <v>COMMERCIAL</v>
          </cell>
          <cell r="E1042" t="b">
            <v>0</v>
          </cell>
          <cell r="F1042" t="b">
            <v>0</v>
          </cell>
          <cell r="G1042" t="str">
            <v>MURREYS</v>
          </cell>
          <cell r="H1042">
            <v>3024</v>
          </cell>
          <cell r="I1042" t="str">
            <v>R1YD1W</v>
          </cell>
          <cell r="J1042" t="str">
            <v>1YD CONT 1xWEEKLY</v>
          </cell>
          <cell r="K1042">
            <v>104.05</v>
          </cell>
          <cell r="L1042">
            <v>104.05</v>
          </cell>
        </row>
        <row r="1043">
          <cell r="A1043" t="str">
            <v>ORTINGCOMMERCIALR1YD1W</v>
          </cell>
          <cell r="B1043" t="str">
            <v>MONTHLY ARREARS</v>
          </cell>
          <cell r="C1043" t="str">
            <v>2111</v>
          </cell>
          <cell r="D1043" t="str">
            <v>COMMERCIAL</v>
          </cell>
          <cell r="E1043" t="b">
            <v>0</v>
          </cell>
          <cell r="F1043" t="b">
            <v>0</v>
          </cell>
          <cell r="G1043" t="str">
            <v>ORTING</v>
          </cell>
          <cell r="H1043">
            <v>3024</v>
          </cell>
          <cell r="I1043" t="str">
            <v>R1YD1W</v>
          </cell>
          <cell r="J1043" t="str">
            <v>1YD CONT 1xWEEKLY</v>
          </cell>
          <cell r="K1043">
            <v>223.5</v>
          </cell>
          <cell r="L1043">
            <v>223.5</v>
          </cell>
        </row>
        <row r="1044">
          <cell r="A1044" t="str">
            <v>PUYALLUPCOMMERCIALR1YD1W</v>
          </cell>
          <cell r="B1044" t="str">
            <v>MONTHLY ARREARS</v>
          </cell>
          <cell r="C1044" t="str">
            <v>2111</v>
          </cell>
          <cell r="D1044" t="str">
            <v>COMMERCIAL</v>
          </cell>
          <cell r="E1044" t="b">
            <v>0</v>
          </cell>
          <cell r="F1044" t="b">
            <v>0</v>
          </cell>
          <cell r="G1044" t="str">
            <v>PUYALLUP</v>
          </cell>
          <cell r="H1044">
            <v>3024</v>
          </cell>
          <cell r="I1044" t="str">
            <v>R1YD1W</v>
          </cell>
          <cell r="J1044" t="str">
            <v>1YD CONT 1xWEEKLY</v>
          </cell>
          <cell r="K1044">
            <v>247.82</v>
          </cell>
          <cell r="L1044">
            <v>247.82</v>
          </cell>
        </row>
        <row r="1045">
          <cell r="A1045" t="str">
            <v>RUSTONCOMMERCIALR1YD1W</v>
          </cell>
          <cell r="B1045" t="str">
            <v>MONTHLY ARREARS</v>
          </cell>
          <cell r="C1045" t="str">
            <v>2111</v>
          </cell>
          <cell r="D1045" t="str">
            <v>COMMERCIAL</v>
          </cell>
          <cell r="E1045" t="b">
            <v>0</v>
          </cell>
          <cell r="F1045" t="b">
            <v>0</v>
          </cell>
          <cell r="G1045" t="str">
            <v>RUSTON</v>
          </cell>
          <cell r="H1045">
            <v>3024</v>
          </cell>
          <cell r="I1045" t="str">
            <v>R1YD1W</v>
          </cell>
          <cell r="J1045" t="str">
            <v>1YD CONT 1xWEEKLY</v>
          </cell>
          <cell r="K1045">
            <v>167.61</v>
          </cell>
          <cell r="L1045">
            <v>167.61</v>
          </cell>
        </row>
        <row r="1046">
          <cell r="A1046" t="str">
            <v>SOUTH PRAIRIECOMMERCIALR1YD1W</v>
          </cell>
          <cell r="B1046" t="str">
            <v>MONTHLY ARREARS</v>
          </cell>
          <cell r="C1046" t="str">
            <v>2111</v>
          </cell>
          <cell r="D1046" t="str">
            <v>COMMERCIAL</v>
          </cell>
          <cell r="E1046" t="b">
            <v>0</v>
          </cell>
          <cell r="F1046" t="b">
            <v>0</v>
          </cell>
          <cell r="G1046" t="str">
            <v>SOUTH PRAIRIE</v>
          </cell>
          <cell r="H1046">
            <v>3024</v>
          </cell>
          <cell r="I1046" t="str">
            <v>R1YD1W</v>
          </cell>
          <cell r="J1046" t="str">
            <v>1YD CONT 1xWEEKLY</v>
          </cell>
          <cell r="K1046">
            <v>103.57</v>
          </cell>
          <cell r="L1046">
            <v>103.57</v>
          </cell>
        </row>
        <row r="1047">
          <cell r="A1047" t="str">
            <v>SUMNERCOMMERCIALR1YD1W</v>
          </cell>
          <cell r="B1047" t="str">
            <v>MONTHLY ARREARS</v>
          </cell>
          <cell r="C1047" t="str">
            <v>2111</v>
          </cell>
          <cell r="D1047" t="str">
            <v>COMMERCIAL</v>
          </cell>
          <cell r="E1047" t="b">
            <v>0</v>
          </cell>
          <cell r="F1047" t="b">
            <v>0</v>
          </cell>
          <cell r="G1047" t="str">
            <v>SUMNER</v>
          </cell>
          <cell r="H1047">
            <v>3024</v>
          </cell>
          <cell r="I1047" t="str">
            <v>R1YD1W</v>
          </cell>
          <cell r="J1047" t="str">
            <v>1YD CONT 1xWEEKLY</v>
          </cell>
          <cell r="K1047">
            <v>121.36</v>
          </cell>
          <cell r="L1047">
            <v>121.36</v>
          </cell>
        </row>
        <row r="1048">
          <cell r="A1048" t="str">
            <v>VASHONCOMMERCIALR1YD1W</v>
          </cell>
          <cell r="B1048" t="str">
            <v>MONTHLY ARREARS</v>
          </cell>
          <cell r="C1048" t="str">
            <v>2111</v>
          </cell>
          <cell r="D1048" t="str">
            <v>COMMERCIAL</v>
          </cell>
          <cell r="E1048" t="b">
            <v>0</v>
          </cell>
          <cell r="F1048" t="b">
            <v>0</v>
          </cell>
          <cell r="G1048" t="str">
            <v>VASHON</v>
          </cell>
          <cell r="H1048">
            <v>3024</v>
          </cell>
          <cell r="I1048" t="str">
            <v>R1YD1W</v>
          </cell>
          <cell r="J1048" t="str">
            <v>1YD CONT 1xWEEKLY</v>
          </cell>
          <cell r="K1048">
            <v>87.9</v>
          </cell>
          <cell r="L1048">
            <v>87.9</v>
          </cell>
        </row>
        <row r="1049">
          <cell r="A1049" t="str">
            <v>BONNEY LAKECOMMERCIALR1YD2W</v>
          </cell>
          <cell r="B1049" t="str">
            <v>MONTHLY ARREARS</v>
          </cell>
          <cell r="C1049" t="str">
            <v>2111</v>
          </cell>
          <cell r="D1049" t="str">
            <v>COMMERCIAL</v>
          </cell>
          <cell r="E1049" t="b">
            <v>0</v>
          </cell>
          <cell r="F1049" t="b">
            <v>0</v>
          </cell>
          <cell r="G1049" t="str">
            <v>BONNEY LAKE</v>
          </cell>
          <cell r="H1049">
            <v>3025</v>
          </cell>
          <cell r="I1049" t="str">
            <v>R1YD2W</v>
          </cell>
          <cell r="J1049" t="str">
            <v>1YD CONT 2xWEEKLY</v>
          </cell>
          <cell r="K1049">
            <v>469.66</v>
          </cell>
          <cell r="L1049">
            <v>469.66</v>
          </cell>
        </row>
        <row r="1050">
          <cell r="A1050" t="str">
            <v>BUCKLEYCOMMERCIALR1YD2W</v>
          </cell>
          <cell r="B1050" t="str">
            <v>MONTHLY ARREARS</v>
          </cell>
          <cell r="C1050" t="str">
            <v>2111</v>
          </cell>
          <cell r="D1050" t="str">
            <v>COMMERCIAL</v>
          </cell>
          <cell r="E1050" t="b">
            <v>0</v>
          </cell>
          <cell r="F1050" t="b">
            <v>0</v>
          </cell>
          <cell r="G1050" t="str">
            <v>BUCKLEY</v>
          </cell>
          <cell r="H1050">
            <v>3025</v>
          </cell>
          <cell r="I1050" t="str">
            <v>R1YD2W</v>
          </cell>
          <cell r="J1050" t="str">
            <v>1YD CONT 2xWEEKLY</v>
          </cell>
          <cell r="K1050">
            <v>242.74</v>
          </cell>
          <cell r="L1050">
            <v>242.74</v>
          </cell>
        </row>
        <row r="1051">
          <cell r="A1051" t="str">
            <v>M-EDGEWOODCOMMERCIALR1YD2W</v>
          </cell>
          <cell r="B1051" t="str">
            <v>MONTHLY ARREARS</v>
          </cell>
          <cell r="C1051" t="str">
            <v>2111</v>
          </cell>
          <cell r="D1051" t="str">
            <v>COMMERCIAL</v>
          </cell>
          <cell r="E1051" t="b">
            <v>0</v>
          </cell>
          <cell r="F1051" t="b">
            <v>0</v>
          </cell>
          <cell r="G1051" t="str">
            <v>M-EDGEWOOD</v>
          </cell>
          <cell r="H1051">
            <v>3025</v>
          </cell>
          <cell r="I1051" t="str">
            <v>R1YD2W</v>
          </cell>
          <cell r="J1051" t="str">
            <v>1YD CONT 2xWEEKLY</v>
          </cell>
          <cell r="K1051">
            <v>208.1</v>
          </cell>
          <cell r="L1051">
            <v>208.1</v>
          </cell>
        </row>
        <row r="1052">
          <cell r="A1052" t="str">
            <v>M-FIFECOMMERCIALR1YD2W</v>
          </cell>
          <cell r="B1052" t="str">
            <v>MONTHLY ARREARS</v>
          </cell>
          <cell r="C1052" t="str">
            <v>2111</v>
          </cell>
          <cell r="D1052" t="str">
            <v>COMMERCIAL</v>
          </cell>
          <cell r="E1052" t="b">
            <v>0</v>
          </cell>
          <cell r="F1052" t="b">
            <v>0</v>
          </cell>
          <cell r="G1052" t="str">
            <v>M-FIFE</v>
          </cell>
          <cell r="H1052">
            <v>3025</v>
          </cell>
          <cell r="I1052" t="str">
            <v>R1YD2W</v>
          </cell>
          <cell r="J1052" t="str">
            <v>1YD CONT 2xWEEKLY</v>
          </cell>
          <cell r="K1052">
            <v>208.1</v>
          </cell>
          <cell r="L1052">
            <v>208.1</v>
          </cell>
        </row>
        <row r="1053">
          <cell r="A1053" t="str">
            <v>MILTONCOMMERCIALR1YD2W</v>
          </cell>
          <cell r="B1053" t="str">
            <v>MONTHLY ARREARS</v>
          </cell>
          <cell r="C1053" t="str">
            <v>2111</v>
          </cell>
          <cell r="D1053" t="str">
            <v>COMMERCIAL</v>
          </cell>
          <cell r="E1053" t="b">
            <v>0</v>
          </cell>
          <cell r="F1053" t="b">
            <v>0</v>
          </cell>
          <cell r="G1053" t="str">
            <v>MILTON</v>
          </cell>
          <cell r="H1053">
            <v>3025</v>
          </cell>
          <cell r="I1053" t="str">
            <v>R1YD2W</v>
          </cell>
          <cell r="J1053" t="str">
            <v>1YD CONT 2xWEEKLY</v>
          </cell>
          <cell r="K1053">
            <v>435.64</v>
          </cell>
          <cell r="L1053">
            <v>435.64</v>
          </cell>
        </row>
        <row r="1054">
          <cell r="A1054" t="str">
            <v>MURREYSCOMMERCIALR1YD2W</v>
          </cell>
          <cell r="B1054" t="str">
            <v>MONTHLY ARREARS</v>
          </cell>
          <cell r="C1054" t="str">
            <v>2111</v>
          </cell>
          <cell r="D1054" t="str">
            <v>COMMERCIAL</v>
          </cell>
          <cell r="E1054" t="b">
            <v>0</v>
          </cell>
          <cell r="F1054" t="b">
            <v>0</v>
          </cell>
          <cell r="G1054" t="str">
            <v>MURREYS</v>
          </cell>
          <cell r="H1054">
            <v>3025</v>
          </cell>
          <cell r="I1054" t="str">
            <v>R1YD2W</v>
          </cell>
          <cell r="J1054" t="str">
            <v>1YD CONT 2xWEEKLY</v>
          </cell>
          <cell r="K1054">
            <v>208.1</v>
          </cell>
          <cell r="L1054">
            <v>208.1</v>
          </cell>
        </row>
        <row r="1055">
          <cell r="A1055" t="str">
            <v>PUYALLUPCOMMERCIALR1YD2W</v>
          </cell>
          <cell r="B1055" t="str">
            <v>MONTHLY ARREARS</v>
          </cell>
          <cell r="C1055" t="str">
            <v>2111</v>
          </cell>
          <cell r="D1055" t="str">
            <v>COMMERCIAL</v>
          </cell>
          <cell r="E1055" t="b">
            <v>0</v>
          </cell>
          <cell r="F1055" t="b">
            <v>0</v>
          </cell>
          <cell r="G1055" t="str">
            <v>PUYALLUP</v>
          </cell>
          <cell r="H1055">
            <v>3025</v>
          </cell>
          <cell r="I1055" t="str">
            <v>R1YD2W</v>
          </cell>
          <cell r="J1055" t="str">
            <v>1YD CONT 2xWEEKLY</v>
          </cell>
          <cell r="K1055">
            <v>480.74</v>
          </cell>
          <cell r="L1055">
            <v>480.74</v>
          </cell>
        </row>
        <row r="1056">
          <cell r="A1056" t="str">
            <v>RUSTONCOMMERCIALR1YD2W</v>
          </cell>
          <cell r="B1056" t="str">
            <v>MONTHLY ARREARS</v>
          </cell>
          <cell r="C1056" t="str">
            <v>2111</v>
          </cell>
          <cell r="D1056" t="str">
            <v>COMMERCIAL</v>
          </cell>
          <cell r="E1056" t="b">
            <v>0</v>
          </cell>
          <cell r="F1056" t="b">
            <v>0</v>
          </cell>
          <cell r="G1056" t="str">
            <v>RUSTON</v>
          </cell>
          <cell r="H1056">
            <v>3025</v>
          </cell>
          <cell r="I1056" t="str">
            <v>R1YD2W</v>
          </cell>
          <cell r="J1056" t="str">
            <v>1YD CONT 2xWEEKLY</v>
          </cell>
          <cell r="K1056">
            <v>335.21</v>
          </cell>
          <cell r="L1056">
            <v>335.21</v>
          </cell>
        </row>
        <row r="1057">
          <cell r="A1057" t="str">
            <v>SOUTH PRAIRIECOMMERCIALR1YD2W</v>
          </cell>
          <cell r="B1057" t="str">
            <v>MONTHLY ARREARS</v>
          </cell>
          <cell r="C1057" t="str">
            <v>2111</v>
          </cell>
          <cell r="D1057" t="str">
            <v>COMMERCIAL</v>
          </cell>
          <cell r="E1057" t="b">
            <v>0</v>
          </cell>
          <cell r="F1057" t="b">
            <v>0</v>
          </cell>
          <cell r="G1057" t="str">
            <v>SOUTH PRAIRIE</v>
          </cell>
          <cell r="H1057">
            <v>3025</v>
          </cell>
          <cell r="I1057" t="str">
            <v>R1YD2W</v>
          </cell>
          <cell r="J1057" t="str">
            <v>1YD CONT 2xWEEKLY</v>
          </cell>
          <cell r="K1057">
            <v>207.14</v>
          </cell>
          <cell r="L1057">
            <v>207.14</v>
          </cell>
        </row>
        <row r="1058">
          <cell r="A1058" t="str">
            <v>SUMNERCOMMERCIALR1YD2W</v>
          </cell>
          <cell r="B1058" t="str">
            <v>MONTHLY ARREARS</v>
          </cell>
          <cell r="C1058" t="str">
            <v>2111</v>
          </cell>
          <cell r="D1058" t="str">
            <v>COMMERCIAL</v>
          </cell>
          <cell r="E1058" t="b">
            <v>0</v>
          </cell>
          <cell r="F1058" t="b">
            <v>0</v>
          </cell>
          <cell r="G1058" t="str">
            <v>SUMNER</v>
          </cell>
          <cell r="H1058">
            <v>3025</v>
          </cell>
          <cell r="I1058" t="str">
            <v>R1YD2W</v>
          </cell>
          <cell r="J1058" t="str">
            <v>1YD CONT 2xWEEKLY</v>
          </cell>
          <cell r="K1058">
            <v>242.74</v>
          </cell>
          <cell r="L1058">
            <v>242.74</v>
          </cell>
        </row>
        <row r="1059">
          <cell r="A1059" t="str">
            <v>VASHONCOMMERCIALR1YD2W</v>
          </cell>
          <cell r="B1059" t="str">
            <v>MONTHLY ARREARS</v>
          </cell>
          <cell r="C1059" t="str">
            <v>2111</v>
          </cell>
          <cell r="D1059" t="str">
            <v>COMMERCIAL</v>
          </cell>
          <cell r="E1059" t="b">
            <v>0</v>
          </cell>
          <cell r="F1059" t="b">
            <v>0</v>
          </cell>
          <cell r="G1059" t="str">
            <v>VASHON</v>
          </cell>
          <cell r="H1059">
            <v>3025</v>
          </cell>
          <cell r="I1059" t="str">
            <v>R1YD2W</v>
          </cell>
          <cell r="J1059" t="str">
            <v>1YD CONT 2xWEEKLY</v>
          </cell>
          <cell r="K1059">
            <v>175.8</v>
          </cell>
          <cell r="L1059">
            <v>175.8</v>
          </cell>
        </row>
        <row r="1060">
          <cell r="A1060" t="str">
            <v>M-EDGEWOODCOMMERCIALR1YD3W</v>
          </cell>
          <cell r="B1060" t="str">
            <v>MONTHLY ARREARS</v>
          </cell>
          <cell r="C1060" t="str">
            <v>2111</v>
          </cell>
          <cell r="D1060" t="str">
            <v>COMMERCIAL</v>
          </cell>
          <cell r="E1060" t="b">
            <v>0</v>
          </cell>
          <cell r="F1060" t="b">
            <v>0</v>
          </cell>
          <cell r="G1060" t="str">
            <v>M-EDGEWOOD</v>
          </cell>
          <cell r="H1060">
            <v>3026</v>
          </cell>
          <cell r="I1060" t="str">
            <v>R1YD3W</v>
          </cell>
          <cell r="J1060" t="str">
            <v>1YD CONT 3xWEEKLY</v>
          </cell>
          <cell r="K1060">
            <v>312.14999999999998</v>
          </cell>
          <cell r="L1060">
            <v>312.14999999999998</v>
          </cell>
        </row>
        <row r="1061">
          <cell r="A1061" t="str">
            <v>M-FIFECOMMERCIALR1YD3W</v>
          </cell>
          <cell r="B1061" t="str">
            <v>MONTHLY ARREARS</v>
          </cell>
          <cell r="C1061" t="str">
            <v>2111</v>
          </cell>
          <cell r="D1061" t="str">
            <v>COMMERCIAL</v>
          </cell>
          <cell r="E1061" t="b">
            <v>0</v>
          </cell>
          <cell r="F1061" t="b">
            <v>0</v>
          </cell>
          <cell r="G1061" t="str">
            <v>M-FIFE</v>
          </cell>
          <cell r="H1061">
            <v>3026</v>
          </cell>
          <cell r="I1061" t="str">
            <v>R1YD3W</v>
          </cell>
          <cell r="J1061" t="str">
            <v>1YD CONT 3xWEEKLY</v>
          </cell>
          <cell r="K1061">
            <v>312.14999999999998</v>
          </cell>
          <cell r="L1061">
            <v>312.14999999999998</v>
          </cell>
        </row>
        <row r="1062">
          <cell r="A1062" t="str">
            <v>MURREYSCOMMERCIALR1YD3W</v>
          </cell>
          <cell r="B1062" t="str">
            <v>MONTHLY ARREARS</v>
          </cell>
          <cell r="C1062" t="str">
            <v>2111</v>
          </cell>
          <cell r="D1062" t="str">
            <v>COMMERCIAL</v>
          </cell>
          <cell r="E1062" t="b">
            <v>0</v>
          </cell>
          <cell r="F1062" t="b">
            <v>0</v>
          </cell>
          <cell r="G1062" t="str">
            <v>MURREYS</v>
          </cell>
          <cell r="H1062">
            <v>3026</v>
          </cell>
          <cell r="I1062" t="str">
            <v>R1YD3W</v>
          </cell>
          <cell r="J1062" t="str">
            <v>1YD CONT 3xWEEKLY</v>
          </cell>
          <cell r="K1062">
            <v>312.14999999999998</v>
          </cell>
          <cell r="L1062">
            <v>312.14999999999998</v>
          </cell>
        </row>
        <row r="1063">
          <cell r="A1063" t="str">
            <v>VASHONCOMMERCIALR1YD3W</v>
          </cell>
          <cell r="B1063" t="str">
            <v>MONTHLY ARREARS</v>
          </cell>
          <cell r="C1063" t="str">
            <v>2111</v>
          </cell>
          <cell r="D1063" t="str">
            <v>COMMERCIAL</v>
          </cell>
          <cell r="E1063" t="b">
            <v>0</v>
          </cell>
          <cell r="F1063" t="b">
            <v>0</v>
          </cell>
          <cell r="G1063" t="str">
            <v>VASHON</v>
          </cell>
          <cell r="H1063">
            <v>3026</v>
          </cell>
          <cell r="I1063" t="str">
            <v>R1YD3W</v>
          </cell>
          <cell r="J1063" t="str">
            <v>1YD CONT 3xWEEKLY</v>
          </cell>
          <cell r="K1063">
            <v>263.7</v>
          </cell>
          <cell r="L1063">
            <v>263.7</v>
          </cell>
        </row>
        <row r="1064">
          <cell r="A1064" t="str">
            <v>M-EDGEWOODCOMMERCIALR1YD5W</v>
          </cell>
          <cell r="B1064" t="str">
            <v>MONTHLY ARREARS</v>
          </cell>
          <cell r="C1064" t="str">
            <v>2111</v>
          </cell>
          <cell r="D1064" t="str">
            <v>COMMERCIAL</v>
          </cell>
          <cell r="E1064" t="b">
            <v>0</v>
          </cell>
          <cell r="F1064" t="b">
            <v>0</v>
          </cell>
          <cell r="G1064" t="str">
            <v>M-EDGEWOOD</v>
          </cell>
          <cell r="H1064">
            <v>3028</v>
          </cell>
          <cell r="I1064" t="str">
            <v>R1YD5W</v>
          </cell>
          <cell r="J1064" t="str">
            <v>1YD CONT 5xWEEKLY</v>
          </cell>
          <cell r="K1064">
            <v>520.25</v>
          </cell>
          <cell r="L1064">
            <v>520.25</v>
          </cell>
        </row>
        <row r="1065">
          <cell r="A1065" t="str">
            <v>M-FIFECOMMERCIALR1YD5W</v>
          </cell>
          <cell r="B1065" t="str">
            <v>MONTHLY ARREARS</v>
          </cell>
          <cell r="C1065" t="str">
            <v>2111</v>
          </cell>
          <cell r="D1065" t="str">
            <v>COMMERCIAL</v>
          </cell>
          <cell r="E1065" t="b">
            <v>0</v>
          </cell>
          <cell r="F1065" t="b">
            <v>0</v>
          </cell>
          <cell r="G1065" t="str">
            <v>M-FIFE</v>
          </cell>
          <cell r="H1065">
            <v>3028</v>
          </cell>
          <cell r="I1065" t="str">
            <v>R1YD5W</v>
          </cell>
          <cell r="J1065" t="str">
            <v>1YD CONT 5xWEEKLY</v>
          </cell>
          <cell r="K1065">
            <v>520.25</v>
          </cell>
          <cell r="L1065">
            <v>520.25</v>
          </cell>
        </row>
        <row r="1066">
          <cell r="A1066" t="str">
            <v>MURREYSCOMMERCIALR1YD5W</v>
          </cell>
          <cell r="B1066" t="str">
            <v>MONTHLY ARREARS</v>
          </cell>
          <cell r="C1066" t="str">
            <v>2111</v>
          </cell>
          <cell r="D1066" t="str">
            <v>COMMERCIAL</v>
          </cell>
          <cell r="E1066" t="b">
            <v>0</v>
          </cell>
          <cell r="F1066" t="b">
            <v>0</v>
          </cell>
          <cell r="G1066" t="str">
            <v>MURREYS</v>
          </cell>
          <cell r="H1066">
            <v>3028</v>
          </cell>
          <cell r="I1066" t="str">
            <v>R1YD5W</v>
          </cell>
          <cell r="J1066" t="str">
            <v>1YD CONT 5xWEEKLY</v>
          </cell>
          <cell r="K1066">
            <v>520.25</v>
          </cell>
          <cell r="L1066">
            <v>520.25</v>
          </cell>
        </row>
        <row r="1067">
          <cell r="A1067" t="str">
            <v>VASHONCOMMERCIALR1YD5W</v>
          </cell>
          <cell r="B1067" t="str">
            <v>MONTHLY ARREARS</v>
          </cell>
          <cell r="C1067" t="str">
            <v>2111</v>
          </cell>
          <cell r="D1067" t="str">
            <v>COMMERCIAL</v>
          </cell>
          <cell r="E1067" t="b">
            <v>0</v>
          </cell>
          <cell r="F1067" t="b">
            <v>0</v>
          </cell>
          <cell r="G1067" t="str">
            <v>VASHON</v>
          </cell>
          <cell r="H1067">
            <v>3028</v>
          </cell>
          <cell r="I1067" t="str">
            <v>R1YD5W</v>
          </cell>
          <cell r="J1067" t="str">
            <v>1YD CONT 5xWEEKLY</v>
          </cell>
          <cell r="K1067">
            <v>439.5</v>
          </cell>
          <cell r="L1067">
            <v>439.5</v>
          </cell>
        </row>
        <row r="1068">
          <cell r="A1068" t="str">
            <v>VASHONCOMMERCIALR1YDEOW</v>
          </cell>
          <cell r="B1068" t="str">
            <v>MONTHLY ARREARS</v>
          </cell>
          <cell r="C1068" t="str">
            <v>2111</v>
          </cell>
          <cell r="D1068" t="str">
            <v>COMMERCIAL</v>
          </cell>
          <cell r="E1068" t="b">
            <v>0</v>
          </cell>
          <cell r="F1068" t="b">
            <v>0</v>
          </cell>
          <cell r="G1068" t="str">
            <v>VASHON</v>
          </cell>
          <cell r="H1068">
            <v>3111</v>
          </cell>
          <cell r="I1068" t="str">
            <v>R1YDEOW</v>
          </cell>
          <cell r="J1068" t="str">
            <v>1YD CONT EOW</v>
          </cell>
          <cell r="K1068">
            <v>44.05</v>
          </cell>
          <cell r="L1068">
            <v>44.05</v>
          </cell>
        </row>
        <row r="1069">
          <cell r="A1069" t="str">
            <v>BONNEY LAKECOMMERCIALR1YDEX</v>
          </cell>
          <cell r="B1069" t="str">
            <v>ONCALL</v>
          </cell>
          <cell r="C1069" t="str">
            <v>2111</v>
          </cell>
          <cell r="D1069" t="str">
            <v>COMMERCIAL</v>
          </cell>
          <cell r="E1069" t="b">
            <v>1</v>
          </cell>
          <cell r="F1069" t="b">
            <v>0</v>
          </cell>
          <cell r="G1069" t="str">
            <v>BONNEY LAKE</v>
          </cell>
          <cell r="H1069">
            <v>3042</v>
          </cell>
          <cell r="I1069" t="str">
            <v>R1YDEX</v>
          </cell>
          <cell r="J1069" t="str">
            <v>1YD CONTAINER EXTRA</v>
          </cell>
          <cell r="K1069">
            <v>29.65</v>
          </cell>
          <cell r="L1069">
            <v>29.65</v>
          </cell>
        </row>
        <row r="1070">
          <cell r="A1070" t="str">
            <v>BUCKLEYCOMMERCIALR1YDEX</v>
          </cell>
          <cell r="B1070" t="str">
            <v>ONCALL</v>
          </cell>
          <cell r="C1070" t="str">
            <v>2111</v>
          </cell>
          <cell r="D1070" t="str">
            <v>COMMERCIAL</v>
          </cell>
          <cell r="E1070" t="b">
            <v>1</v>
          </cell>
          <cell r="F1070" t="b">
            <v>0</v>
          </cell>
          <cell r="G1070" t="str">
            <v>BUCKLEY</v>
          </cell>
          <cell r="H1070">
            <v>3042</v>
          </cell>
          <cell r="I1070" t="str">
            <v>R1YDEX</v>
          </cell>
          <cell r="J1070" t="str">
            <v>1YD CONTAINER EXTRA</v>
          </cell>
          <cell r="K1070">
            <v>32.409999999999997</v>
          </cell>
          <cell r="L1070">
            <v>32.409999999999997</v>
          </cell>
        </row>
        <row r="1071">
          <cell r="A1071" t="str">
            <v>CARBONADOCOMMERCIALR1YDEX</v>
          </cell>
          <cell r="B1071" t="str">
            <v>ONCALL</v>
          </cell>
          <cell r="C1071" t="str">
            <v>2111</v>
          </cell>
          <cell r="D1071" t="str">
            <v>COMMERCIAL</v>
          </cell>
          <cell r="E1071" t="b">
            <v>1</v>
          </cell>
          <cell r="F1071" t="b">
            <v>0</v>
          </cell>
          <cell r="G1071" t="str">
            <v>CARBONADO</v>
          </cell>
          <cell r="H1071">
            <v>3042</v>
          </cell>
          <cell r="I1071" t="str">
            <v>R1YDEX</v>
          </cell>
          <cell r="J1071" t="str">
            <v>1YD CONTAINER EXTRA</v>
          </cell>
          <cell r="K1071">
            <v>25.26</v>
          </cell>
          <cell r="L1071">
            <v>25.26</v>
          </cell>
        </row>
        <row r="1072">
          <cell r="A1072" t="str">
            <v>M-EDGEWOODCOMMERCIALR1YDEX</v>
          </cell>
          <cell r="B1072" t="str">
            <v>ONCALL</v>
          </cell>
          <cell r="C1072" t="str">
            <v>2111</v>
          </cell>
          <cell r="D1072" t="str">
            <v>COMMERCIAL</v>
          </cell>
          <cell r="E1072" t="b">
            <v>1</v>
          </cell>
          <cell r="F1072" t="b">
            <v>0</v>
          </cell>
          <cell r="G1072" t="str">
            <v>M-EDGEWOOD</v>
          </cell>
          <cell r="H1072">
            <v>3042</v>
          </cell>
          <cell r="I1072" t="str">
            <v>R1YDEX</v>
          </cell>
          <cell r="J1072" t="str">
            <v>1YD CONTAINER EXTRA</v>
          </cell>
          <cell r="K1072">
            <v>26.21</v>
          </cell>
          <cell r="L1072">
            <v>26.21</v>
          </cell>
        </row>
        <row r="1073">
          <cell r="A1073" t="str">
            <v>M-FIFECOMMERCIALR1YDEX</v>
          </cell>
          <cell r="B1073" t="str">
            <v>ONCALL</v>
          </cell>
          <cell r="C1073" t="str">
            <v>2111</v>
          </cell>
          <cell r="D1073" t="str">
            <v>COMMERCIAL</v>
          </cell>
          <cell r="E1073" t="b">
            <v>1</v>
          </cell>
          <cell r="F1073" t="b">
            <v>0</v>
          </cell>
          <cell r="G1073" t="str">
            <v>M-FIFE</v>
          </cell>
          <cell r="H1073">
            <v>3042</v>
          </cell>
          <cell r="I1073" t="str">
            <v>R1YDEX</v>
          </cell>
          <cell r="J1073" t="str">
            <v>1YD CONTAINER EXTRA</v>
          </cell>
          <cell r="K1073">
            <v>26.21</v>
          </cell>
          <cell r="L1073">
            <v>26.21</v>
          </cell>
        </row>
        <row r="1074">
          <cell r="A1074" t="str">
            <v>MILTONCOMMERCIALR1YDEX</v>
          </cell>
          <cell r="B1074" t="str">
            <v>ONCALL</v>
          </cell>
          <cell r="C1074" t="str">
            <v>2111</v>
          </cell>
          <cell r="D1074" t="str">
            <v>COMMERCIAL</v>
          </cell>
          <cell r="E1074" t="b">
            <v>1</v>
          </cell>
          <cell r="F1074" t="b">
            <v>0</v>
          </cell>
          <cell r="G1074" t="str">
            <v>MILTON</v>
          </cell>
          <cell r="H1074">
            <v>3042</v>
          </cell>
          <cell r="I1074" t="str">
            <v>R1YDEX</v>
          </cell>
          <cell r="J1074" t="str">
            <v>1YD CONTAINER EXTRA</v>
          </cell>
          <cell r="K1074">
            <v>27.09</v>
          </cell>
          <cell r="L1074">
            <v>27.09</v>
          </cell>
        </row>
        <row r="1075">
          <cell r="A1075" t="str">
            <v>MURREYSCOMMERCIALR1YDEX</v>
          </cell>
          <cell r="B1075" t="str">
            <v>ONCALL</v>
          </cell>
          <cell r="C1075" t="str">
            <v>2111</v>
          </cell>
          <cell r="D1075" t="str">
            <v>COMMERCIAL</v>
          </cell>
          <cell r="E1075" t="b">
            <v>1</v>
          </cell>
          <cell r="F1075" t="b">
            <v>0</v>
          </cell>
          <cell r="G1075" t="str">
            <v>MURREYS</v>
          </cell>
          <cell r="H1075">
            <v>3042</v>
          </cell>
          <cell r="I1075" t="str">
            <v>R1YDEX</v>
          </cell>
          <cell r="J1075" t="str">
            <v>1YD CONTAINER EXTRA</v>
          </cell>
          <cell r="K1075">
            <v>26.21</v>
          </cell>
          <cell r="L1075">
            <v>26.21</v>
          </cell>
        </row>
        <row r="1076">
          <cell r="A1076" t="str">
            <v>ORTINGCOMMERCIALR1YDEX</v>
          </cell>
          <cell r="B1076" t="str">
            <v>ONCALL</v>
          </cell>
          <cell r="C1076" t="str">
            <v>2111</v>
          </cell>
          <cell r="D1076" t="str">
            <v>COMMERCIAL</v>
          </cell>
          <cell r="E1076" t="b">
            <v>1</v>
          </cell>
          <cell r="F1076" t="b">
            <v>0</v>
          </cell>
          <cell r="G1076" t="str">
            <v>ORTING</v>
          </cell>
          <cell r="H1076">
            <v>3042</v>
          </cell>
          <cell r="I1076" t="str">
            <v>R1YDEX</v>
          </cell>
          <cell r="J1076" t="str">
            <v>1YD CONTAINER EXTRA</v>
          </cell>
          <cell r="K1076">
            <v>26.34</v>
          </cell>
          <cell r="L1076">
            <v>26.34</v>
          </cell>
        </row>
        <row r="1077">
          <cell r="A1077" t="str">
            <v>PUYALLUPCOMMERCIALR1YDEX</v>
          </cell>
          <cell r="B1077" t="str">
            <v>ONCALL</v>
          </cell>
          <cell r="C1077" t="str">
            <v>2111</v>
          </cell>
          <cell r="D1077" t="str">
            <v>COMMERCIAL</v>
          </cell>
          <cell r="E1077" t="b">
            <v>1</v>
          </cell>
          <cell r="F1077" t="b">
            <v>0</v>
          </cell>
          <cell r="G1077" t="str">
            <v>PUYALLUP</v>
          </cell>
          <cell r="H1077">
            <v>3042</v>
          </cell>
          <cell r="I1077" t="str">
            <v>R1YDEX</v>
          </cell>
          <cell r="J1077" t="str">
            <v>1YD CONTAINER EXTRA</v>
          </cell>
          <cell r="K1077">
            <v>37.01</v>
          </cell>
          <cell r="L1077">
            <v>37.01</v>
          </cell>
        </row>
        <row r="1078">
          <cell r="A1078" t="str">
            <v>RUSTONCOMMERCIALR1YDEX</v>
          </cell>
          <cell r="B1078" t="str">
            <v>ONCALL</v>
          </cell>
          <cell r="C1078" t="str">
            <v>2111</v>
          </cell>
          <cell r="D1078" t="str">
            <v>COMMERCIAL</v>
          </cell>
          <cell r="E1078" t="b">
            <v>1</v>
          </cell>
          <cell r="F1078" t="b">
            <v>0</v>
          </cell>
          <cell r="G1078" t="str">
            <v>RUSTON</v>
          </cell>
          <cell r="H1078">
            <v>3042</v>
          </cell>
          <cell r="I1078" t="str">
            <v>R1YDEX</v>
          </cell>
          <cell r="J1078" t="str">
            <v>1YD CONTAINER EXTRA</v>
          </cell>
          <cell r="K1078">
            <v>31.63</v>
          </cell>
          <cell r="L1078">
            <v>31.63</v>
          </cell>
        </row>
        <row r="1079">
          <cell r="A1079" t="str">
            <v>SOUTH PRAIRIECOMMERCIALR1YDEX</v>
          </cell>
          <cell r="B1079" t="str">
            <v>ONCALL</v>
          </cell>
          <cell r="C1079" t="str">
            <v>2111</v>
          </cell>
          <cell r="D1079" t="str">
            <v>COMMERCIAL</v>
          </cell>
          <cell r="E1079" t="b">
            <v>1</v>
          </cell>
          <cell r="F1079" t="b">
            <v>0</v>
          </cell>
          <cell r="G1079" t="str">
            <v>SOUTH PRAIRIE</v>
          </cell>
          <cell r="H1079">
            <v>3042</v>
          </cell>
          <cell r="I1079" t="str">
            <v>R1YDEX</v>
          </cell>
          <cell r="J1079" t="str">
            <v>1YD CONTAINER EXTRA</v>
          </cell>
          <cell r="K1079">
            <v>26.09</v>
          </cell>
          <cell r="L1079">
            <v>26.09</v>
          </cell>
        </row>
        <row r="1080">
          <cell r="A1080" t="str">
            <v>SUMNERCOMMERCIALR1YDEX</v>
          </cell>
          <cell r="B1080" t="str">
            <v>ONCALL</v>
          </cell>
          <cell r="C1080" t="str">
            <v>2111</v>
          </cell>
          <cell r="D1080" t="str">
            <v>COMMERCIAL</v>
          </cell>
          <cell r="E1080" t="b">
            <v>1</v>
          </cell>
          <cell r="F1080" t="b">
            <v>0</v>
          </cell>
          <cell r="G1080" t="str">
            <v>SUMNER</v>
          </cell>
          <cell r="H1080">
            <v>3042</v>
          </cell>
          <cell r="I1080" t="str">
            <v>R1YDEX</v>
          </cell>
          <cell r="J1080" t="str">
            <v>1YD CONTAINER EXTRA</v>
          </cell>
          <cell r="K1080">
            <v>32.409999999999997</v>
          </cell>
          <cell r="L1080">
            <v>32.409999999999997</v>
          </cell>
        </row>
        <row r="1081">
          <cell r="A1081" t="str">
            <v>VASHONCOMMERCIALR1YDEX</v>
          </cell>
          <cell r="B1081" t="str">
            <v>ONCALL</v>
          </cell>
          <cell r="C1081" t="str">
            <v>2111</v>
          </cell>
          <cell r="D1081" t="str">
            <v>COMMERCIAL</v>
          </cell>
          <cell r="E1081" t="b">
            <v>1</v>
          </cell>
          <cell r="F1081" t="b">
            <v>0</v>
          </cell>
          <cell r="G1081" t="str">
            <v>VASHON</v>
          </cell>
          <cell r="H1081">
            <v>3042</v>
          </cell>
          <cell r="I1081" t="str">
            <v>R1YDEX</v>
          </cell>
          <cell r="J1081" t="str">
            <v>1YD CONTAINER EXTRA</v>
          </cell>
          <cell r="K1081">
            <v>20.3</v>
          </cell>
          <cell r="L1081">
            <v>20.3</v>
          </cell>
        </row>
        <row r="1082">
          <cell r="A1082" t="str">
            <v>M-EDGEWOODCOMMERCIALR1YDTPU</v>
          </cell>
          <cell r="B1082" t="str">
            <v>MONTHLY ARREARS</v>
          </cell>
          <cell r="C1082" t="str">
            <v>2111</v>
          </cell>
          <cell r="D1082" t="str">
            <v>COMMERCIAL</v>
          </cell>
          <cell r="E1082" t="b">
            <v>0</v>
          </cell>
          <cell r="F1082" t="b">
            <v>0</v>
          </cell>
          <cell r="G1082" t="str">
            <v>M-EDGEWOOD</v>
          </cell>
          <cell r="H1082">
            <v>3112</v>
          </cell>
          <cell r="I1082" t="str">
            <v>R1YDTPU</v>
          </cell>
          <cell r="J1082" t="str">
            <v>1YD TEMP CONT</v>
          </cell>
          <cell r="K1082">
            <v>113.49</v>
          </cell>
          <cell r="L1082">
            <v>113.49</v>
          </cell>
        </row>
        <row r="1083">
          <cell r="A1083" t="str">
            <v>M-FIFECOMMERCIALR1YDTPU</v>
          </cell>
          <cell r="B1083" t="str">
            <v>MONTHLY ARREARS</v>
          </cell>
          <cell r="C1083" t="str">
            <v>2111</v>
          </cell>
          <cell r="D1083" t="str">
            <v>COMMERCIAL</v>
          </cell>
          <cell r="E1083" t="b">
            <v>0</v>
          </cell>
          <cell r="F1083" t="b">
            <v>0</v>
          </cell>
          <cell r="G1083" t="str">
            <v>M-FIFE</v>
          </cell>
          <cell r="H1083">
            <v>3112</v>
          </cell>
          <cell r="I1083" t="str">
            <v>R1YDTPU</v>
          </cell>
          <cell r="J1083" t="str">
            <v>1YD TEMP CONT</v>
          </cell>
          <cell r="K1083">
            <v>113.49</v>
          </cell>
          <cell r="L1083">
            <v>113.49</v>
          </cell>
        </row>
        <row r="1084">
          <cell r="A1084" t="str">
            <v>MURREYSCOMMERCIALR1YDTPU</v>
          </cell>
          <cell r="B1084" t="str">
            <v>MONTHLY ARREARS</v>
          </cell>
          <cell r="C1084" t="str">
            <v>2111</v>
          </cell>
          <cell r="D1084" t="str">
            <v>COMMERCIAL</v>
          </cell>
          <cell r="E1084" t="b">
            <v>0</v>
          </cell>
          <cell r="F1084" t="b">
            <v>0</v>
          </cell>
          <cell r="G1084" t="str">
            <v>MURREYS</v>
          </cell>
          <cell r="H1084">
            <v>3112</v>
          </cell>
          <cell r="I1084" t="str">
            <v>R1YDTPU</v>
          </cell>
          <cell r="J1084" t="str">
            <v>1YD TEMP CONT</v>
          </cell>
          <cell r="K1084">
            <v>113.49</v>
          </cell>
          <cell r="L1084">
            <v>113.49</v>
          </cell>
        </row>
        <row r="1085">
          <cell r="A1085" t="str">
            <v>VASHONCOMMERCIALR1YDTPU</v>
          </cell>
          <cell r="B1085" t="str">
            <v>MONTHLY ARREARS</v>
          </cell>
          <cell r="C1085" t="str">
            <v>2111</v>
          </cell>
          <cell r="D1085" t="str">
            <v>COMMERCIAL</v>
          </cell>
          <cell r="E1085" t="b">
            <v>0</v>
          </cell>
          <cell r="F1085" t="b">
            <v>0</v>
          </cell>
          <cell r="G1085" t="str">
            <v>VASHON</v>
          </cell>
          <cell r="H1085">
            <v>3112</v>
          </cell>
          <cell r="I1085" t="str">
            <v>R1YDTPU</v>
          </cell>
          <cell r="J1085" t="str">
            <v>1YD TEMP CONT</v>
          </cell>
          <cell r="K1085">
            <v>89.68</v>
          </cell>
          <cell r="L1085">
            <v>89.68</v>
          </cell>
        </row>
        <row r="1086">
          <cell r="A1086" t="str">
            <v>BONNEY LAKECOMMERCIALR2YD1W</v>
          </cell>
          <cell r="B1086" t="str">
            <v>MONTHLY ARREARS</v>
          </cell>
          <cell r="C1086" t="str">
            <v>2111</v>
          </cell>
          <cell r="D1086" t="str">
            <v>COMMERCIAL</v>
          </cell>
          <cell r="E1086" t="b">
            <v>0</v>
          </cell>
          <cell r="F1086" t="b">
            <v>0</v>
          </cell>
          <cell r="G1086" t="str">
            <v>BONNEY LAKE</v>
          </cell>
          <cell r="H1086">
            <v>3036</v>
          </cell>
          <cell r="I1086" t="str">
            <v>R2YD1W</v>
          </cell>
          <cell r="J1086" t="str">
            <v>2YD CONT 1xWEEKLY</v>
          </cell>
          <cell r="K1086">
            <v>416.36</v>
          </cell>
          <cell r="L1086">
            <v>416.36</v>
          </cell>
        </row>
        <row r="1087">
          <cell r="A1087" t="str">
            <v>BUCKLEYCOMMERCIALR2YD1W</v>
          </cell>
          <cell r="B1087" t="str">
            <v>MONTHLY ARREARS</v>
          </cell>
          <cell r="C1087" t="str">
            <v>2111</v>
          </cell>
          <cell r="D1087" t="str">
            <v>COMMERCIAL</v>
          </cell>
          <cell r="E1087" t="b">
            <v>0</v>
          </cell>
          <cell r="F1087" t="b">
            <v>0</v>
          </cell>
          <cell r="G1087" t="str">
            <v>BUCKLEY</v>
          </cell>
          <cell r="H1087">
            <v>3036</v>
          </cell>
          <cell r="I1087" t="str">
            <v>R2YD1W</v>
          </cell>
          <cell r="J1087" t="str">
            <v>2YD CONT 1xWEEKLY</v>
          </cell>
          <cell r="K1087">
            <v>217.24</v>
          </cell>
          <cell r="L1087">
            <v>217.24</v>
          </cell>
        </row>
        <row r="1088">
          <cell r="A1088" t="str">
            <v>CARBONADOCOMMERCIALR2YD1W</v>
          </cell>
          <cell r="B1088" t="str">
            <v>MONTHLY ARREARS</v>
          </cell>
          <cell r="C1088" t="str">
            <v>2111</v>
          </cell>
          <cell r="D1088" t="str">
            <v>COMMERCIAL</v>
          </cell>
          <cell r="E1088" t="b">
            <v>0</v>
          </cell>
          <cell r="F1088" t="b">
            <v>0</v>
          </cell>
          <cell r="G1088" t="str">
            <v>CARBONADO</v>
          </cell>
          <cell r="H1088">
            <v>3036</v>
          </cell>
          <cell r="I1088" t="str">
            <v>R2YD1W</v>
          </cell>
          <cell r="J1088" t="str">
            <v>2YD CONT 1xWEEKLY</v>
          </cell>
          <cell r="K1088">
            <v>189.05</v>
          </cell>
          <cell r="L1088">
            <v>189.05</v>
          </cell>
        </row>
        <row r="1089">
          <cell r="A1089" t="str">
            <v>M-EDGEWOODCOMMERCIALR2YD1W</v>
          </cell>
          <cell r="B1089" t="str">
            <v>MONTHLY ARREARS</v>
          </cell>
          <cell r="C1089" t="str">
            <v>2111</v>
          </cell>
          <cell r="D1089" t="str">
            <v>COMMERCIAL</v>
          </cell>
          <cell r="E1089" t="b">
            <v>0</v>
          </cell>
          <cell r="F1089" t="b">
            <v>0</v>
          </cell>
          <cell r="G1089" t="str">
            <v>M-EDGEWOOD</v>
          </cell>
          <cell r="H1089">
            <v>3036</v>
          </cell>
          <cell r="I1089" t="str">
            <v>R2YD1W</v>
          </cell>
          <cell r="J1089" t="str">
            <v>2YD CONT 1xWEEKLY</v>
          </cell>
          <cell r="K1089">
            <v>179.7</v>
          </cell>
          <cell r="L1089">
            <v>179.7</v>
          </cell>
        </row>
        <row r="1090">
          <cell r="A1090" t="str">
            <v>M-FIFECOMMERCIALR2YD1W</v>
          </cell>
          <cell r="B1090" t="str">
            <v>MONTHLY ARREARS</v>
          </cell>
          <cell r="C1090" t="str">
            <v>2111</v>
          </cell>
          <cell r="D1090" t="str">
            <v>COMMERCIAL</v>
          </cell>
          <cell r="E1090" t="b">
            <v>0</v>
          </cell>
          <cell r="F1090" t="b">
            <v>0</v>
          </cell>
          <cell r="G1090" t="str">
            <v>M-FIFE</v>
          </cell>
          <cell r="H1090">
            <v>3036</v>
          </cell>
          <cell r="I1090" t="str">
            <v>R2YD1W</v>
          </cell>
          <cell r="J1090" t="str">
            <v>2YD CONT 1xWEEKLY</v>
          </cell>
          <cell r="K1090">
            <v>179.7</v>
          </cell>
          <cell r="L1090">
            <v>179.7</v>
          </cell>
        </row>
        <row r="1091">
          <cell r="A1091" t="str">
            <v>MILTONCOMMERCIALR2YD1W</v>
          </cell>
          <cell r="B1091" t="str">
            <v>MONTHLY ARREARS</v>
          </cell>
          <cell r="C1091" t="str">
            <v>2111</v>
          </cell>
          <cell r="D1091" t="str">
            <v>COMMERCIAL</v>
          </cell>
          <cell r="E1091" t="b">
            <v>0</v>
          </cell>
          <cell r="F1091" t="b">
            <v>0</v>
          </cell>
          <cell r="G1091" t="str">
            <v>MILTON</v>
          </cell>
          <cell r="H1091">
            <v>3036</v>
          </cell>
          <cell r="I1091" t="str">
            <v>R2YD1W</v>
          </cell>
          <cell r="J1091" t="str">
            <v>2YD CONT 1xWEEKLY</v>
          </cell>
          <cell r="K1091">
            <v>410.32</v>
          </cell>
          <cell r="L1091">
            <v>410.32</v>
          </cell>
        </row>
        <row r="1092">
          <cell r="A1092" t="str">
            <v>MURREYSCOMMERCIALR2YD1W</v>
          </cell>
          <cell r="B1092" t="str">
            <v>MONTHLY ARREARS</v>
          </cell>
          <cell r="C1092" t="str">
            <v>2111</v>
          </cell>
          <cell r="D1092" t="str">
            <v>COMMERCIAL</v>
          </cell>
          <cell r="E1092" t="b">
            <v>0</v>
          </cell>
          <cell r="F1092" t="b">
            <v>0</v>
          </cell>
          <cell r="G1092" t="str">
            <v>MURREYS</v>
          </cell>
          <cell r="H1092">
            <v>3036</v>
          </cell>
          <cell r="I1092" t="str">
            <v>R2YD1W</v>
          </cell>
          <cell r="J1092" t="str">
            <v>2YD CONT 1xWEEKLY</v>
          </cell>
          <cell r="K1092">
            <v>179.7</v>
          </cell>
          <cell r="L1092">
            <v>179.7</v>
          </cell>
        </row>
        <row r="1093">
          <cell r="A1093" t="str">
            <v>ORTINGCOMMERCIALR2YD1W</v>
          </cell>
          <cell r="B1093" t="str">
            <v>MONTHLY ARREARS</v>
          </cell>
          <cell r="C1093" t="str">
            <v>2111</v>
          </cell>
          <cell r="D1093" t="str">
            <v>COMMERCIAL</v>
          </cell>
          <cell r="E1093" t="b">
            <v>0</v>
          </cell>
          <cell r="F1093" t="b">
            <v>0</v>
          </cell>
          <cell r="G1093" t="str">
            <v>ORTING</v>
          </cell>
          <cell r="H1093">
            <v>3036</v>
          </cell>
          <cell r="I1093" t="str">
            <v>R2YD1W</v>
          </cell>
          <cell r="J1093" t="str">
            <v>2YD CONT 1xWEEKLY</v>
          </cell>
          <cell r="K1093">
            <v>394.66</v>
          </cell>
          <cell r="L1093">
            <v>394.66</v>
          </cell>
        </row>
        <row r="1094">
          <cell r="A1094" t="str">
            <v>PUYALLUPCOMMERCIALR2YD1W</v>
          </cell>
          <cell r="B1094" t="str">
            <v>MONTHLY ARREARS</v>
          </cell>
          <cell r="C1094" t="str">
            <v>2111</v>
          </cell>
          <cell r="D1094" t="str">
            <v>COMMERCIAL</v>
          </cell>
          <cell r="E1094" t="b">
            <v>0</v>
          </cell>
          <cell r="F1094" t="b">
            <v>0</v>
          </cell>
          <cell r="G1094" t="str">
            <v>PUYALLUP</v>
          </cell>
          <cell r="H1094">
            <v>3036</v>
          </cell>
          <cell r="I1094" t="str">
            <v>R2YD1W</v>
          </cell>
          <cell r="J1094" t="str">
            <v>2YD CONT 1xWEEKLY</v>
          </cell>
          <cell r="K1094">
            <v>459.66</v>
          </cell>
          <cell r="L1094">
            <v>459.66</v>
          </cell>
        </row>
        <row r="1095">
          <cell r="A1095" t="str">
            <v>RUSTONCOMMERCIALR2YD1W</v>
          </cell>
          <cell r="B1095" t="str">
            <v>MONTHLY ARREARS</v>
          </cell>
          <cell r="C1095" t="str">
            <v>2111</v>
          </cell>
          <cell r="D1095" t="str">
            <v>COMMERCIAL</v>
          </cell>
          <cell r="E1095" t="b">
            <v>0</v>
          </cell>
          <cell r="F1095" t="b">
            <v>0</v>
          </cell>
          <cell r="G1095" t="str">
            <v>RUSTON</v>
          </cell>
          <cell r="H1095">
            <v>3036</v>
          </cell>
          <cell r="I1095" t="str">
            <v>R2YD1W</v>
          </cell>
          <cell r="J1095" t="str">
            <v>2YD CONT 1xWEEKLY</v>
          </cell>
          <cell r="K1095">
            <v>281.73</v>
          </cell>
          <cell r="L1095">
            <v>281.73</v>
          </cell>
        </row>
        <row r="1096">
          <cell r="A1096" t="str">
            <v>SOUTH PRAIRIECOMMERCIALR2YD1W</v>
          </cell>
          <cell r="B1096" t="str">
            <v>MONTHLY ARREARS</v>
          </cell>
          <cell r="C1096" t="str">
            <v>2111</v>
          </cell>
          <cell r="D1096" t="str">
            <v>COMMERCIAL</v>
          </cell>
          <cell r="E1096" t="b">
            <v>0</v>
          </cell>
          <cell r="F1096" t="b">
            <v>0</v>
          </cell>
          <cell r="G1096" t="str">
            <v>SOUTH PRAIRIE</v>
          </cell>
          <cell r="H1096">
            <v>3036</v>
          </cell>
          <cell r="I1096" t="str">
            <v>R2YD1W</v>
          </cell>
          <cell r="J1096" t="str">
            <v>2YD CONT 1xWEEKLY</v>
          </cell>
          <cell r="K1096">
            <v>178.87</v>
          </cell>
          <cell r="L1096">
            <v>178.87</v>
          </cell>
        </row>
        <row r="1097">
          <cell r="A1097" t="str">
            <v>SUMNERCOMMERCIALR2YD1W</v>
          </cell>
          <cell r="B1097" t="str">
            <v>MONTHLY ARREARS</v>
          </cell>
          <cell r="C1097" t="str">
            <v>2111</v>
          </cell>
          <cell r="D1097" t="str">
            <v>COMMERCIAL</v>
          </cell>
          <cell r="E1097" t="b">
            <v>0</v>
          </cell>
          <cell r="F1097" t="b">
            <v>0</v>
          </cell>
          <cell r="G1097" t="str">
            <v>SUMNER</v>
          </cell>
          <cell r="H1097">
            <v>3036</v>
          </cell>
          <cell r="I1097" t="str">
            <v>R2YD1W</v>
          </cell>
          <cell r="J1097" t="str">
            <v>2YD CONT 1xWEEKLY</v>
          </cell>
          <cell r="K1097">
            <v>219.71</v>
          </cell>
          <cell r="L1097">
            <v>219.71</v>
          </cell>
        </row>
        <row r="1098">
          <cell r="A1098" t="str">
            <v>VASHONCOMMERCIALR2YD1W</v>
          </cell>
          <cell r="B1098" t="str">
            <v>MONTHLY ARREARS</v>
          </cell>
          <cell r="C1098" t="str">
            <v>2111</v>
          </cell>
          <cell r="D1098" t="str">
            <v>COMMERCIAL</v>
          </cell>
          <cell r="E1098" t="b">
            <v>0</v>
          </cell>
          <cell r="F1098" t="b">
            <v>0</v>
          </cell>
          <cell r="G1098" t="str">
            <v>VASHON</v>
          </cell>
          <cell r="H1098">
            <v>3036</v>
          </cell>
          <cell r="I1098" t="str">
            <v>R2YD1W</v>
          </cell>
          <cell r="J1098" t="str">
            <v>2YD CONT 1xWEEKLY</v>
          </cell>
          <cell r="K1098">
            <v>155.19</v>
          </cell>
          <cell r="L1098">
            <v>155.19</v>
          </cell>
        </row>
        <row r="1099">
          <cell r="A1099" t="str">
            <v>BONNEY LAKECOMMERCIALR2YD2W</v>
          </cell>
          <cell r="B1099" t="str">
            <v>MONTHLY ARREARS</v>
          </cell>
          <cell r="C1099" t="str">
            <v>2111</v>
          </cell>
          <cell r="D1099" t="str">
            <v>COMMERCIAL</v>
          </cell>
          <cell r="E1099" t="b">
            <v>0</v>
          </cell>
          <cell r="F1099" t="b">
            <v>0</v>
          </cell>
          <cell r="G1099" t="str">
            <v>BONNEY LAKE</v>
          </cell>
          <cell r="H1099">
            <v>3037</v>
          </cell>
          <cell r="I1099" t="str">
            <v>R2YD2W</v>
          </cell>
          <cell r="J1099" t="str">
            <v>2YD CONT 2xWEEKLY</v>
          </cell>
          <cell r="K1099">
            <v>833.04</v>
          </cell>
          <cell r="L1099">
            <v>833.04</v>
          </cell>
        </row>
        <row r="1100">
          <cell r="A1100" t="str">
            <v>BUCKLEYCOMMERCIALR2YD2W</v>
          </cell>
          <cell r="B1100" t="str">
            <v>MONTHLY ARREARS</v>
          </cell>
          <cell r="C1100" t="str">
            <v>2111</v>
          </cell>
          <cell r="D1100" t="str">
            <v>COMMERCIAL</v>
          </cell>
          <cell r="E1100" t="b">
            <v>0</v>
          </cell>
          <cell r="F1100" t="b">
            <v>0</v>
          </cell>
          <cell r="G1100" t="str">
            <v>BUCKLEY</v>
          </cell>
          <cell r="H1100">
            <v>3037</v>
          </cell>
          <cell r="I1100" t="str">
            <v>R2YD2W</v>
          </cell>
          <cell r="J1100" t="str">
            <v>2YD CONT 2xWEEKLY</v>
          </cell>
          <cell r="K1100">
            <v>439.36</v>
          </cell>
          <cell r="L1100">
            <v>439.36</v>
          </cell>
        </row>
        <row r="1101">
          <cell r="A1101" t="str">
            <v>M-EDGEWOODCOMMERCIALR2YD2W</v>
          </cell>
          <cell r="B1101" t="str">
            <v>MONTHLY ARREARS</v>
          </cell>
          <cell r="C1101" t="str">
            <v>2111</v>
          </cell>
          <cell r="D1101" t="str">
            <v>COMMERCIAL</v>
          </cell>
          <cell r="E1101" t="b">
            <v>0</v>
          </cell>
          <cell r="F1101" t="b">
            <v>0</v>
          </cell>
          <cell r="G1101" t="str">
            <v>M-EDGEWOOD</v>
          </cell>
          <cell r="H1101">
            <v>3037</v>
          </cell>
          <cell r="I1101" t="str">
            <v>R2YD2W</v>
          </cell>
          <cell r="J1101" t="str">
            <v>2YD CONT 2xWEEKLY</v>
          </cell>
          <cell r="K1101">
            <v>359.39</v>
          </cell>
          <cell r="L1101">
            <v>359.39</v>
          </cell>
        </row>
        <row r="1102">
          <cell r="A1102" t="str">
            <v>M-FIFECOMMERCIALR2YD2W</v>
          </cell>
          <cell r="B1102" t="str">
            <v>MONTHLY ARREARS</v>
          </cell>
          <cell r="C1102" t="str">
            <v>2111</v>
          </cell>
          <cell r="D1102" t="str">
            <v>COMMERCIAL</v>
          </cell>
          <cell r="E1102" t="b">
            <v>0</v>
          </cell>
          <cell r="F1102" t="b">
            <v>0</v>
          </cell>
          <cell r="G1102" t="str">
            <v>M-FIFE</v>
          </cell>
          <cell r="H1102">
            <v>3037</v>
          </cell>
          <cell r="I1102" t="str">
            <v>R2YD2W</v>
          </cell>
          <cell r="J1102" t="str">
            <v>2YD CONT 2xWEEKLY</v>
          </cell>
          <cell r="K1102">
            <v>359.39</v>
          </cell>
          <cell r="L1102">
            <v>359.39</v>
          </cell>
        </row>
        <row r="1103">
          <cell r="A1103" t="str">
            <v>MILTONCOMMERCIALR2YD2W</v>
          </cell>
          <cell r="B1103" t="str">
            <v>MONTHLY ARREARS</v>
          </cell>
          <cell r="C1103" t="str">
            <v>2111</v>
          </cell>
          <cell r="D1103" t="str">
            <v>COMMERCIAL</v>
          </cell>
          <cell r="E1103" t="b">
            <v>0</v>
          </cell>
          <cell r="F1103" t="b">
            <v>0</v>
          </cell>
          <cell r="G1103" t="str">
            <v>MILTON</v>
          </cell>
          <cell r="H1103">
            <v>3037</v>
          </cell>
          <cell r="I1103" t="str">
            <v>R2YD2W</v>
          </cell>
          <cell r="J1103" t="str">
            <v>2YD CONT 2xWEEKLY</v>
          </cell>
          <cell r="K1103">
            <v>821.08</v>
          </cell>
          <cell r="L1103">
            <v>821.08</v>
          </cell>
        </row>
        <row r="1104">
          <cell r="A1104" t="str">
            <v>MURREYSCOMMERCIALR2YD2W</v>
          </cell>
          <cell r="B1104" t="str">
            <v>MONTHLY ARREARS</v>
          </cell>
          <cell r="C1104" t="str">
            <v>2111</v>
          </cell>
          <cell r="D1104" t="str">
            <v>COMMERCIAL</v>
          </cell>
          <cell r="E1104" t="b">
            <v>0</v>
          </cell>
          <cell r="F1104" t="b">
            <v>0</v>
          </cell>
          <cell r="G1104" t="str">
            <v>MURREYS</v>
          </cell>
          <cell r="H1104">
            <v>3037</v>
          </cell>
          <cell r="I1104" t="str">
            <v>R2YD2W</v>
          </cell>
          <cell r="J1104" t="str">
            <v>2YD CONT 2xWEEKLY</v>
          </cell>
          <cell r="K1104">
            <v>359.39</v>
          </cell>
          <cell r="L1104">
            <v>359.39</v>
          </cell>
        </row>
        <row r="1105">
          <cell r="A1105" t="str">
            <v>ORTINGCOMMERCIALR2YD2W</v>
          </cell>
          <cell r="B1105" t="str">
            <v>MONTHLY ARREARS</v>
          </cell>
          <cell r="C1105" t="str">
            <v>2111</v>
          </cell>
          <cell r="D1105" t="str">
            <v>COMMERCIAL</v>
          </cell>
          <cell r="E1105" t="b">
            <v>0</v>
          </cell>
          <cell r="F1105" t="b">
            <v>0</v>
          </cell>
          <cell r="G1105" t="str">
            <v>ORTING</v>
          </cell>
          <cell r="H1105">
            <v>3037</v>
          </cell>
          <cell r="I1105" t="str">
            <v>R2YD2W</v>
          </cell>
          <cell r="J1105" t="str">
            <v>2YD CONT 2xWEEKLY</v>
          </cell>
          <cell r="K1105">
            <v>776.74</v>
          </cell>
          <cell r="L1105">
            <v>776.74</v>
          </cell>
        </row>
        <row r="1106">
          <cell r="A1106" t="str">
            <v>PUYALLUPCOMMERCIALR2YD2W</v>
          </cell>
          <cell r="B1106" t="str">
            <v>MONTHLY ARREARS</v>
          </cell>
          <cell r="C1106" t="str">
            <v>2111</v>
          </cell>
          <cell r="D1106" t="str">
            <v>COMMERCIAL</v>
          </cell>
          <cell r="E1106" t="b">
            <v>0</v>
          </cell>
          <cell r="F1106" t="b">
            <v>0</v>
          </cell>
          <cell r="G1106" t="str">
            <v>PUYALLUP</v>
          </cell>
          <cell r="H1106">
            <v>3037</v>
          </cell>
          <cell r="I1106" t="str">
            <v>R2YD2W</v>
          </cell>
          <cell r="J1106" t="str">
            <v>2YD CONT 2xWEEKLY</v>
          </cell>
          <cell r="K1106">
            <v>903.84</v>
          </cell>
          <cell r="L1106">
            <v>903.84</v>
          </cell>
        </row>
        <row r="1107">
          <cell r="A1107" t="str">
            <v>RUSTONCOMMERCIALR2YD2W</v>
          </cell>
          <cell r="B1107" t="str">
            <v>MONTHLY ARREARS</v>
          </cell>
          <cell r="C1107" t="str">
            <v>2111</v>
          </cell>
          <cell r="D1107" t="str">
            <v>COMMERCIAL</v>
          </cell>
          <cell r="E1107" t="b">
            <v>0</v>
          </cell>
          <cell r="F1107" t="b">
            <v>0</v>
          </cell>
          <cell r="G1107" t="str">
            <v>RUSTON</v>
          </cell>
          <cell r="H1107">
            <v>3037</v>
          </cell>
          <cell r="I1107" t="str">
            <v>R2YD2W</v>
          </cell>
          <cell r="J1107" t="str">
            <v>2YD CONT 2xWEEKLY</v>
          </cell>
          <cell r="K1107">
            <v>563.48</v>
          </cell>
          <cell r="L1107">
            <v>563.48</v>
          </cell>
        </row>
        <row r="1108">
          <cell r="A1108" t="str">
            <v>SOUTH PRAIRIECOMMERCIALR2YD2W</v>
          </cell>
          <cell r="B1108" t="str">
            <v>MONTHLY ARREARS</v>
          </cell>
          <cell r="C1108" t="str">
            <v>2111</v>
          </cell>
          <cell r="D1108" t="str">
            <v>COMMERCIAL</v>
          </cell>
          <cell r="E1108" t="b">
            <v>0</v>
          </cell>
          <cell r="F1108" t="b">
            <v>0</v>
          </cell>
          <cell r="G1108" t="str">
            <v>SOUTH PRAIRIE</v>
          </cell>
          <cell r="H1108">
            <v>3037</v>
          </cell>
          <cell r="I1108" t="str">
            <v>R2YD2W</v>
          </cell>
          <cell r="J1108" t="str">
            <v>2YD CONT 2xWEEKLY</v>
          </cell>
          <cell r="K1108">
            <v>357.74</v>
          </cell>
          <cell r="L1108">
            <v>357.74</v>
          </cell>
        </row>
        <row r="1109">
          <cell r="A1109" t="str">
            <v>SUMNERCOMMERCIALR2YD2W</v>
          </cell>
          <cell r="B1109" t="str">
            <v>MONTHLY ARREARS</v>
          </cell>
          <cell r="C1109" t="str">
            <v>2111</v>
          </cell>
          <cell r="D1109" t="str">
            <v>COMMERCIAL</v>
          </cell>
          <cell r="E1109" t="b">
            <v>0</v>
          </cell>
          <cell r="F1109" t="b">
            <v>0</v>
          </cell>
          <cell r="G1109" t="str">
            <v>SUMNER</v>
          </cell>
          <cell r="H1109">
            <v>3037</v>
          </cell>
          <cell r="I1109" t="str">
            <v>R2YD2W</v>
          </cell>
          <cell r="J1109" t="str">
            <v>2YD CONT 2xWEEKLY</v>
          </cell>
          <cell r="K1109">
            <v>439.36</v>
          </cell>
          <cell r="L1109">
            <v>439.36</v>
          </cell>
        </row>
        <row r="1110">
          <cell r="A1110" t="str">
            <v>VASHONCOMMERCIALR2YD2W</v>
          </cell>
          <cell r="B1110" t="str">
            <v>MONTHLY ARREARS</v>
          </cell>
          <cell r="C1110" t="str">
            <v>2111</v>
          </cell>
          <cell r="D1110" t="str">
            <v>COMMERCIAL</v>
          </cell>
          <cell r="E1110" t="b">
            <v>0</v>
          </cell>
          <cell r="F1110" t="b">
            <v>0</v>
          </cell>
          <cell r="G1110" t="str">
            <v>VASHON</v>
          </cell>
          <cell r="H1110">
            <v>3037</v>
          </cell>
          <cell r="I1110" t="str">
            <v>R2YD2W</v>
          </cell>
          <cell r="J1110" t="str">
            <v>2YD CONT 2xWEEKLY</v>
          </cell>
          <cell r="K1110">
            <v>310.37</v>
          </cell>
          <cell r="L1110">
            <v>310.37</v>
          </cell>
        </row>
        <row r="1111">
          <cell r="A1111" t="str">
            <v>BONNEY LAKECOMMERCIALR2YD3W</v>
          </cell>
          <cell r="B1111" t="str">
            <v>MONTHLY ARREARS</v>
          </cell>
          <cell r="C1111" t="str">
            <v>2111</v>
          </cell>
          <cell r="D1111" t="str">
            <v>COMMERCIAL</v>
          </cell>
          <cell r="E1111" t="b">
            <v>0</v>
          </cell>
          <cell r="F1111" t="b">
            <v>0</v>
          </cell>
          <cell r="G1111" t="str">
            <v>BONNEY LAKE</v>
          </cell>
          <cell r="H1111">
            <v>3038</v>
          </cell>
          <cell r="I1111" t="str">
            <v>R2YD3W</v>
          </cell>
          <cell r="J1111" t="str">
            <v>2YD CONT 3xWEEKLY</v>
          </cell>
          <cell r="K1111">
            <v>1242.48</v>
          </cell>
          <cell r="L1111">
            <v>1242.48</v>
          </cell>
        </row>
        <row r="1112">
          <cell r="A1112" t="str">
            <v>BUCKLEYCOMMERCIALR2YD3W</v>
          </cell>
          <cell r="B1112" t="str">
            <v>MONTHLY ARREARS</v>
          </cell>
          <cell r="C1112" t="str">
            <v>2111</v>
          </cell>
          <cell r="D1112" t="str">
            <v>COMMERCIAL</v>
          </cell>
          <cell r="E1112" t="b">
            <v>0</v>
          </cell>
          <cell r="F1112" t="b">
            <v>0</v>
          </cell>
          <cell r="G1112" t="str">
            <v>BUCKLEY</v>
          </cell>
          <cell r="H1112">
            <v>3038</v>
          </cell>
          <cell r="I1112" t="str">
            <v>R2YD3W</v>
          </cell>
          <cell r="J1112" t="str">
            <v>2YD CONT 3xWEEKLY</v>
          </cell>
          <cell r="K1112">
            <v>659.09</v>
          </cell>
          <cell r="L1112">
            <v>659.09</v>
          </cell>
        </row>
        <row r="1113">
          <cell r="A1113" t="str">
            <v>M-EDGEWOODCOMMERCIALR2YD3W</v>
          </cell>
          <cell r="B1113" t="str">
            <v>MONTHLY ARREARS</v>
          </cell>
          <cell r="C1113" t="str">
            <v>2111</v>
          </cell>
          <cell r="D1113" t="str">
            <v>COMMERCIAL</v>
          </cell>
          <cell r="E1113" t="b">
            <v>0</v>
          </cell>
          <cell r="F1113" t="b">
            <v>0</v>
          </cell>
          <cell r="G1113" t="str">
            <v>M-EDGEWOOD</v>
          </cell>
          <cell r="H1113">
            <v>3038</v>
          </cell>
          <cell r="I1113" t="str">
            <v>R2YD3W</v>
          </cell>
          <cell r="J1113" t="str">
            <v>2YD CONT 3xWEEKLY</v>
          </cell>
          <cell r="K1113">
            <v>539.09</v>
          </cell>
          <cell r="L1113">
            <v>539.09</v>
          </cell>
        </row>
        <row r="1114">
          <cell r="A1114" t="str">
            <v>M-FIFECOMMERCIALR2YD3W</v>
          </cell>
          <cell r="B1114" t="str">
            <v>MONTHLY ARREARS</v>
          </cell>
          <cell r="C1114" t="str">
            <v>2111</v>
          </cell>
          <cell r="D1114" t="str">
            <v>COMMERCIAL</v>
          </cell>
          <cell r="E1114" t="b">
            <v>0</v>
          </cell>
          <cell r="F1114" t="b">
            <v>0</v>
          </cell>
          <cell r="G1114" t="str">
            <v>M-FIFE</v>
          </cell>
          <cell r="H1114">
            <v>3038</v>
          </cell>
          <cell r="I1114" t="str">
            <v>R2YD3W</v>
          </cell>
          <cell r="J1114" t="str">
            <v>2YD CONT 3xWEEKLY</v>
          </cell>
          <cell r="K1114">
            <v>539.09</v>
          </cell>
          <cell r="L1114">
            <v>539.09</v>
          </cell>
        </row>
        <row r="1115">
          <cell r="A1115" t="str">
            <v>MILTONCOMMERCIALR2YD3W</v>
          </cell>
          <cell r="B1115" t="str">
            <v>MONTHLY ARREARS</v>
          </cell>
          <cell r="C1115" t="str">
            <v>2111</v>
          </cell>
          <cell r="D1115" t="str">
            <v>COMMERCIAL</v>
          </cell>
          <cell r="E1115" t="b">
            <v>0</v>
          </cell>
          <cell r="F1115" t="b">
            <v>0</v>
          </cell>
          <cell r="G1115" t="str">
            <v>MILTON</v>
          </cell>
          <cell r="H1115">
            <v>3038</v>
          </cell>
          <cell r="I1115" t="str">
            <v>R2YD3W</v>
          </cell>
          <cell r="J1115" t="str">
            <v>2YD CONT 3xWEEKLY</v>
          </cell>
          <cell r="K1115">
            <v>1217.98</v>
          </cell>
          <cell r="L1115">
            <v>1217.98</v>
          </cell>
        </row>
        <row r="1116">
          <cell r="A1116" t="str">
            <v>MURREYSCOMMERCIALR2YD3W</v>
          </cell>
          <cell r="B1116" t="str">
            <v>MONTHLY ARREARS</v>
          </cell>
          <cell r="C1116" t="str">
            <v>2111</v>
          </cell>
          <cell r="D1116" t="str">
            <v>COMMERCIAL</v>
          </cell>
          <cell r="E1116" t="b">
            <v>0</v>
          </cell>
          <cell r="F1116" t="b">
            <v>0</v>
          </cell>
          <cell r="G1116" t="str">
            <v>MURREYS</v>
          </cell>
          <cell r="H1116">
            <v>3038</v>
          </cell>
          <cell r="I1116" t="str">
            <v>R2YD3W</v>
          </cell>
          <cell r="J1116" t="str">
            <v>2YD CONT 3xWEEKLY</v>
          </cell>
          <cell r="K1116">
            <v>539.09</v>
          </cell>
          <cell r="L1116">
            <v>539.09</v>
          </cell>
        </row>
        <row r="1117">
          <cell r="A1117" t="str">
            <v>ORTINGCOMMERCIALR2YD3W</v>
          </cell>
          <cell r="B1117" t="str">
            <v>MONTHLY ARREARS</v>
          </cell>
          <cell r="C1117" t="str">
            <v>2111</v>
          </cell>
          <cell r="D1117" t="str">
            <v>COMMERCIAL</v>
          </cell>
          <cell r="E1117" t="b">
            <v>0</v>
          </cell>
          <cell r="F1117" t="b">
            <v>0</v>
          </cell>
          <cell r="G1117" t="str">
            <v>ORTING</v>
          </cell>
          <cell r="H1117">
            <v>3038</v>
          </cell>
          <cell r="I1117" t="str">
            <v>R2YD3W</v>
          </cell>
          <cell r="J1117" t="str">
            <v>2YD CONT 3xWEEKLY</v>
          </cell>
          <cell r="K1117">
            <v>1171.3800000000001</v>
          </cell>
          <cell r="L1117">
            <v>1171.3800000000001</v>
          </cell>
        </row>
        <row r="1118">
          <cell r="A1118" t="str">
            <v>PUYALLUPCOMMERCIALR2YD3W</v>
          </cell>
          <cell r="B1118" t="str">
            <v>MONTHLY ARREARS</v>
          </cell>
          <cell r="C1118" t="str">
            <v>2111</v>
          </cell>
          <cell r="D1118" t="str">
            <v>COMMERCIAL</v>
          </cell>
          <cell r="E1118" t="b">
            <v>0</v>
          </cell>
          <cell r="F1118" t="b">
            <v>0</v>
          </cell>
          <cell r="G1118" t="str">
            <v>PUYALLUP</v>
          </cell>
          <cell r="H1118">
            <v>3038</v>
          </cell>
          <cell r="I1118" t="str">
            <v>R2YD3W</v>
          </cell>
          <cell r="J1118" t="str">
            <v>2YD CONT 3xWEEKLY</v>
          </cell>
          <cell r="K1118">
            <v>1348.08</v>
          </cell>
          <cell r="L1118">
            <v>1348.08</v>
          </cell>
        </row>
        <row r="1119">
          <cell r="A1119" t="str">
            <v>RUSTONCOMMERCIALR2YD3W</v>
          </cell>
          <cell r="B1119" t="str">
            <v>MONTHLY ARREARS</v>
          </cell>
          <cell r="C1119" t="str">
            <v>2111</v>
          </cell>
          <cell r="D1119" t="str">
            <v>COMMERCIAL</v>
          </cell>
          <cell r="E1119" t="b">
            <v>0</v>
          </cell>
          <cell r="F1119" t="b">
            <v>0</v>
          </cell>
          <cell r="G1119" t="str">
            <v>RUSTON</v>
          </cell>
          <cell r="H1119">
            <v>3038</v>
          </cell>
          <cell r="I1119" t="str">
            <v>R2YD3W</v>
          </cell>
          <cell r="J1119" t="str">
            <v>2YD CONT 3xWEEKLY</v>
          </cell>
          <cell r="K1119">
            <v>845.21</v>
          </cell>
          <cell r="L1119">
            <v>845.21</v>
          </cell>
        </row>
        <row r="1120">
          <cell r="A1120" t="str">
            <v>SOUTH PRAIRIECOMMERCIALR2YD3W</v>
          </cell>
          <cell r="B1120" t="str">
            <v>MONTHLY ARREARS</v>
          </cell>
          <cell r="C1120" t="str">
            <v>2111</v>
          </cell>
          <cell r="D1120" t="str">
            <v>COMMERCIAL</v>
          </cell>
          <cell r="E1120" t="b">
            <v>0</v>
          </cell>
          <cell r="F1120" t="b">
            <v>0</v>
          </cell>
          <cell r="G1120" t="str">
            <v>SOUTH PRAIRIE</v>
          </cell>
          <cell r="H1120">
            <v>3038</v>
          </cell>
          <cell r="I1120" t="str">
            <v>R2YD3W</v>
          </cell>
          <cell r="J1120" t="str">
            <v>2YD CONT 3xWEEKLY</v>
          </cell>
          <cell r="K1120">
            <v>536.61</v>
          </cell>
          <cell r="L1120">
            <v>536.61</v>
          </cell>
        </row>
        <row r="1121">
          <cell r="A1121" t="str">
            <v>SUMNERCOMMERCIALR2YD3W</v>
          </cell>
          <cell r="B1121" t="str">
            <v>MONTHLY ARREARS</v>
          </cell>
          <cell r="C1121" t="str">
            <v>2111</v>
          </cell>
          <cell r="D1121" t="str">
            <v>COMMERCIAL</v>
          </cell>
          <cell r="E1121" t="b">
            <v>0</v>
          </cell>
          <cell r="F1121" t="b">
            <v>0</v>
          </cell>
          <cell r="G1121" t="str">
            <v>SUMNER</v>
          </cell>
          <cell r="H1121">
            <v>3038</v>
          </cell>
          <cell r="I1121" t="str">
            <v>R2YD3W</v>
          </cell>
          <cell r="J1121" t="str">
            <v>2YD CONT 3xWEEKLY</v>
          </cell>
          <cell r="K1121">
            <v>659.09</v>
          </cell>
          <cell r="L1121">
            <v>659.09</v>
          </cell>
        </row>
        <row r="1122">
          <cell r="A1122" t="str">
            <v>VASHONCOMMERCIALR2YD3W</v>
          </cell>
          <cell r="B1122" t="str">
            <v>MONTHLY ARREARS</v>
          </cell>
          <cell r="C1122" t="str">
            <v>2111</v>
          </cell>
          <cell r="D1122" t="str">
            <v>COMMERCIAL</v>
          </cell>
          <cell r="E1122" t="b">
            <v>0</v>
          </cell>
          <cell r="F1122" t="b">
            <v>0</v>
          </cell>
          <cell r="G1122" t="str">
            <v>VASHON</v>
          </cell>
          <cell r="H1122">
            <v>3038</v>
          </cell>
          <cell r="I1122" t="str">
            <v>R2YD3W</v>
          </cell>
          <cell r="J1122" t="str">
            <v>2YD CONT 3xWEEKLY</v>
          </cell>
          <cell r="K1122">
            <v>465.56</v>
          </cell>
          <cell r="L1122">
            <v>465.56</v>
          </cell>
        </row>
        <row r="1123">
          <cell r="A1123" t="str">
            <v>BONNEY LAKECOMMERCIALR2YD4W</v>
          </cell>
          <cell r="B1123" t="str">
            <v>MONTHLY ARREARS</v>
          </cell>
          <cell r="C1123" t="str">
            <v>2111</v>
          </cell>
          <cell r="D1123" t="str">
            <v>COMMERCIAL</v>
          </cell>
          <cell r="E1123" t="b">
            <v>0</v>
          </cell>
          <cell r="F1123" t="b">
            <v>0</v>
          </cell>
          <cell r="G1123" t="str">
            <v>BONNEY LAKE</v>
          </cell>
          <cell r="H1123">
            <v>3039</v>
          </cell>
          <cell r="I1123" t="str">
            <v>R2YD4W</v>
          </cell>
          <cell r="J1123" t="str">
            <v>2YD CONT 4xWEEKLY</v>
          </cell>
          <cell r="K1123">
            <v>1656.64</v>
          </cell>
          <cell r="L1123">
            <v>1656.64</v>
          </cell>
        </row>
        <row r="1124">
          <cell r="A1124" t="str">
            <v>M-EDGEWOODCOMMERCIALR2YD4W</v>
          </cell>
          <cell r="B1124" t="str">
            <v>MONTHLY ARREARS</v>
          </cell>
          <cell r="C1124" t="str">
            <v>2111</v>
          </cell>
          <cell r="D1124" t="str">
            <v>COMMERCIAL</v>
          </cell>
          <cell r="E1124" t="b">
            <v>0</v>
          </cell>
          <cell r="F1124" t="b">
            <v>0</v>
          </cell>
          <cell r="G1124" t="str">
            <v>M-EDGEWOOD</v>
          </cell>
          <cell r="H1124">
            <v>3039</v>
          </cell>
          <cell r="I1124" t="str">
            <v>R2YD4W</v>
          </cell>
          <cell r="J1124" t="str">
            <v>2YD CONT 4xWEEKLY</v>
          </cell>
          <cell r="K1124">
            <v>718.78</v>
          </cell>
          <cell r="L1124">
            <v>718.78</v>
          </cell>
        </row>
        <row r="1125">
          <cell r="A1125" t="str">
            <v>M-FIFECOMMERCIALR2YD4W</v>
          </cell>
          <cell r="B1125" t="str">
            <v>MONTHLY ARREARS</v>
          </cell>
          <cell r="C1125" t="str">
            <v>2111</v>
          </cell>
          <cell r="D1125" t="str">
            <v>COMMERCIAL</v>
          </cell>
          <cell r="E1125" t="b">
            <v>0</v>
          </cell>
          <cell r="F1125" t="b">
            <v>0</v>
          </cell>
          <cell r="G1125" t="str">
            <v>M-FIFE</v>
          </cell>
          <cell r="H1125">
            <v>3039</v>
          </cell>
          <cell r="I1125" t="str">
            <v>R2YD4W</v>
          </cell>
          <cell r="J1125" t="str">
            <v>2YD CONT 4xWEEKLY</v>
          </cell>
          <cell r="K1125">
            <v>718.78</v>
          </cell>
          <cell r="L1125">
            <v>718.78</v>
          </cell>
        </row>
        <row r="1126">
          <cell r="A1126" t="str">
            <v>MURREYSCOMMERCIALR2YD4W</v>
          </cell>
          <cell r="B1126" t="str">
            <v>MONTHLY ARREARS</v>
          </cell>
          <cell r="C1126" t="str">
            <v>2111</v>
          </cell>
          <cell r="D1126" t="str">
            <v>COMMERCIAL</v>
          </cell>
          <cell r="E1126" t="b">
            <v>0</v>
          </cell>
          <cell r="F1126" t="b">
            <v>0</v>
          </cell>
          <cell r="G1126" t="str">
            <v>MURREYS</v>
          </cell>
          <cell r="H1126">
            <v>3039</v>
          </cell>
          <cell r="I1126" t="str">
            <v>R2YD4W</v>
          </cell>
          <cell r="J1126" t="str">
            <v>2YD CONT 4xWEEKLY</v>
          </cell>
          <cell r="K1126">
            <v>718.78</v>
          </cell>
          <cell r="L1126">
            <v>718.78</v>
          </cell>
        </row>
        <row r="1127">
          <cell r="A1127" t="str">
            <v>PUYALLUPCOMMERCIALR2YD4W</v>
          </cell>
          <cell r="B1127" t="str">
            <v>MONTHLY ARREARS</v>
          </cell>
          <cell r="C1127" t="str">
            <v>2111</v>
          </cell>
          <cell r="D1127" t="str">
            <v>COMMERCIAL</v>
          </cell>
          <cell r="E1127" t="b">
            <v>0</v>
          </cell>
          <cell r="F1127" t="b">
            <v>0</v>
          </cell>
          <cell r="G1127" t="str">
            <v>PUYALLUP</v>
          </cell>
          <cell r="H1127">
            <v>3039</v>
          </cell>
          <cell r="I1127" t="str">
            <v>R2YD4W</v>
          </cell>
          <cell r="J1127" t="str">
            <v>2YD CONT 4xWEEKLY</v>
          </cell>
          <cell r="K1127">
            <v>1792.36</v>
          </cell>
          <cell r="L1127">
            <v>1792.36</v>
          </cell>
        </row>
        <row r="1128">
          <cell r="A1128" t="str">
            <v>SUMNERCOMMERCIALR2YD4W</v>
          </cell>
          <cell r="B1128" t="str">
            <v>MONTHLY ARREARS</v>
          </cell>
          <cell r="C1128" t="str">
            <v>2111</v>
          </cell>
          <cell r="D1128" t="str">
            <v>COMMERCIAL</v>
          </cell>
          <cell r="E1128" t="b">
            <v>0</v>
          </cell>
          <cell r="F1128" t="b">
            <v>0</v>
          </cell>
          <cell r="G1128" t="str">
            <v>SUMNER</v>
          </cell>
          <cell r="H1128">
            <v>3039</v>
          </cell>
          <cell r="I1128" t="str">
            <v>R2YD4W</v>
          </cell>
          <cell r="J1128" t="str">
            <v>2YD CONT 4xWEEKLY</v>
          </cell>
          <cell r="K1128">
            <v>889.39</v>
          </cell>
          <cell r="L1128">
            <v>889.39</v>
          </cell>
        </row>
        <row r="1129">
          <cell r="A1129" t="str">
            <v>VASHONCOMMERCIALR2YD4W</v>
          </cell>
          <cell r="B1129" t="str">
            <v>MONTHLY ARREARS</v>
          </cell>
          <cell r="C1129" t="str">
            <v>2111</v>
          </cell>
          <cell r="D1129" t="str">
            <v>COMMERCIAL</v>
          </cell>
          <cell r="E1129" t="b">
            <v>0</v>
          </cell>
          <cell r="F1129" t="b">
            <v>0</v>
          </cell>
          <cell r="G1129" t="str">
            <v>VASHON</v>
          </cell>
          <cell r="H1129">
            <v>3039</v>
          </cell>
          <cell r="I1129" t="str">
            <v>R2YD4W</v>
          </cell>
          <cell r="J1129" t="str">
            <v>2YD CONT 4xWEEKLY</v>
          </cell>
          <cell r="K1129">
            <v>620.75</v>
          </cell>
          <cell r="L1129">
            <v>620.75</v>
          </cell>
        </row>
        <row r="1130">
          <cell r="A1130" t="str">
            <v>BONNEY LAKECOMMERCIALR2YD5W</v>
          </cell>
          <cell r="B1130" t="str">
            <v>MONTHLY ARREARS</v>
          </cell>
          <cell r="C1130" t="str">
            <v>2111</v>
          </cell>
          <cell r="D1130" t="str">
            <v>COMMERCIAL</v>
          </cell>
          <cell r="E1130" t="b">
            <v>0</v>
          </cell>
          <cell r="F1130" t="b">
            <v>0</v>
          </cell>
          <cell r="G1130" t="str">
            <v>BONNEY LAKE</v>
          </cell>
          <cell r="H1130">
            <v>3040</v>
          </cell>
          <cell r="I1130" t="str">
            <v>R2YD5W</v>
          </cell>
          <cell r="J1130" t="str">
            <v>2YD CONT 5xWEEKLY</v>
          </cell>
          <cell r="K1130">
            <v>2070.7800000000002</v>
          </cell>
          <cell r="L1130">
            <v>2070.7800000000002</v>
          </cell>
        </row>
        <row r="1131">
          <cell r="A1131" t="str">
            <v>M-EDGEWOODCOMMERCIALR2YD5W</v>
          </cell>
          <cell r="B1131" t="str">
            <v>MONTHLY ARREARS</v>
          </cell>
          <cell r="C1131" t="str">
            <v>2111</v>
          </cell>
          <cell r="D1131" t="str">
            <v>COMMERCIAL</v>
          </cell>
          <cell r="E1131" t="b">
            <v>0</v>
          </cell>
          <cell r="F1131" t="b">
            <v>0</v>
          </cell>
          <cell r="G1131" t="str">
            <v>M-EDGEWOOD</v>
          </cell>
          <cell r="H1131">
            <v>3040</v>
          </cell>
          <cell r="I1131" t="str">
            <v>R2YD5W</v>
          </cell>
          <cell r="J1131" t="str">
            <v>2YD CONT 5xWEEKLY</v>
          </cell>
          <cell r="K1131">
            <v>898.48</v>
          </cell>
          <cell r="L1131">
            <v>898.48</v>
          </cell>
        </row>
        <row r="1132">
          <cell r="A1132" t="str">
            <v>M-FIFECOMMERCIALR2YD5W</v>
          </cell>
          <cell r="B1132" t="str">
            <v>MONTHLY ARREARS</v>
          </cell>
          <cell r="C1132" t="str">
            <v>2111</v>
          </cell>
          <cell r="D1132" t="str">
            <v>COMMERCIAL</v>
          </cell>
          <cell r="E1132" t="b">
            <v>0</v>
          </cell>
          <cell r="F1132" t="b">
            <v>0</v>
          </cell>
          <cell r="G1132" t="str">
            <v>M-FIFE</v>
          </cell>
          <cell r="H1132">
            <v>3040</v>
          </cell>
          <cell r="I1132" t="str">
            <v>R2YD5W</v>
          </cell>
          <cell r="J1132" t="str">
            <v>2YD CONT 5xWEEKLY</v>
          </cell>
          <cell r="K1132">
            <v>898.48</v>
          </cell>
          <cell r="L1132">
            <v>898.48</v>
          </cell>
        </row>
        <row r="1133">
          <cell r="A1133" t="str">
            <v>MURREYSCOMMERCIALR2YD5W</v>
          </cell>
          <cell r="B1133" t="str">
            <v>MONTHLY ARREARS</v>
          </cell>
          <cell r="C1133" t="str">
            <v>2111</v>
          </cell>
          <cell r="D1133" t="str">
            <v>COMMERCIAL</v>
          </cell>
          <cell r="E1133" t="b">
            <v>0</v>
          </cell>
          <cell r="F1133" t="b">
            <v>0</v>
          </cell>
          <cell r="G1133" t="str">
            <v>MURREYS</v>
          </cell>
          <cell r="H1133">
            <v>3040</v>
          </cell>
          <cell r="I1133" t="str">
            <v>R2YD5W</v>
          </cell>
          <cell r="J1133" t="str">
            <v>2YD CONT 5xWEEKLY</v>
          </cell>
          <cell r="K1133">
            <v>898.48</v>
          </cell>
          <cell r="L1133">
            <v>898.48</v>
          </cell>
        </row>
        <row r="1134">
          <cell r="A1134" t="str">
            <v>PUYALLUPCOMMERCIALR2YD5W</v>
          </cell>
          <cell r="B1134" t="str">
            <v>MONTHLY ARREARS</v>
          </cell>
          <cell r="C1134" t="str">
            <v>2111</v>
          </cell>
          <cell r="D1134" t="str">
            <v>COMMERCIAL</v>
          </cell>
          <cell r="E1134" t="b">
            <v>0</v>
          </cell>
          <cell r="F1134" t="b">
            <v>0</v>
          </cell>
          <cell r="G1134" t="str">
            <v>PUYALLUP</v>
          </cell>
          <cell r="H1134">
            <v>3040</v>
          </cell>
          <cell r="I1134" t="str">
            <v>R2YD5W</v>
          </cell>
          <cell r="J1134" t="str">
            <v>2YD CONT 5xWEEKLY</v>
          </cell>
          <cell r="K1134">
            <v>2236.6999999999998</v>
          </cell>
          <cell r="L1134">
            <v>2236.6999999999998</v>
          </cell>
        </row>
        <row r="1135">
          <cell r="A1135" t="str">
            <v>VASHONCOMMERCIALR2YD5W</v>
          </cell>
          <cell r="B1135" t="str">
            <v>MONTHLY ARREARS</v>
          </cell>
          <cell r="C1135" t="str">
            <v>2111</v>
          </cell>
          <cell r="D1135" t="str">
            <v>COMMERCIAL</v>
          </cell>
          <cell r="E1135" t="b">
            <v>0</v>
          </cell>
          <cell r="F1135" t="b">
            <v>0</v>
          </cell>
          <cell r="G1135" t="str">
            <v>VASHON</v>
          </cell>
          <cell r="H1135">
            <v>3040</v>
          </cell>
          <cell r="I1135" t="str">
            <v>R2YD5W</v>
          </cell>
          <cell r="J1135" t="str">
            <v>2YD CONT 5xWEEKLY</v>
          </cell>
          <cell r="K1135">
            <v>775.94</v>
          </cell>
          <cell r="L1135">
            <v>775.94</v>
          </cell>
        </row>
        <row r="1136">
          <cell r="A1136" t="str">
            <v>VASHONCOMMERCIALR2YDEOW</v>
          </cell>
          <cell r="B1136" t="str">
            <v>MONTHLY ARREARS</v>
          </cell>
          <cell r="C1136" t="str">
            <v>2111</v>
          </cell>
          <cell r="D1136" t="str">
            <v>COMMERCIAL</v>
          </cell>
          <cell r="E1136" t="b">
            <v>0</v>
          </cell>
          <cell r="F1136" t="b">
            <v>0</v>
          </cell>
          <cell r="G1136" t="str">
            <v>VASHON</v>
          </cell>
          <cell r="H1136">
            <v>3123</v>
          </cell>
          <cell r="I1136" t="str">
            <v>R2YDEOW</v>
          </cell>
          <cell r="J1136" t="str">
            <v>2YD CONT EOW</v>
          </cell>
          <cell r="K1136">
            <v>77.77</v>
          </cell>
          <cell r="L1136">
            <v>77.77</v>
          </cell>
        </row>
        <row r="1137">
          <cell r="A1137" t="str">
            <v>BONNEY LAKECOMMERCIALR2YDEX</v>
          </cell>
          <cell r="B1137" t="str">
            <v>ONCALL</v>
          </cell>
          <cell r="C1137" t="str">
            <v>2111</v>
          </cell>
          <cell r="D1137" t="str">
            <v>COMMERCIAL</v>
          </cell>
          <cell r="E1137" t="b">
            <v>1</v>
          </cell>
          <cell r="F1137" t="b">
            <v>0</v>
          </cell>
          <cell r="G1137" t="str">
            <v>BONNEY LAKE</v>
          </cell>
          <cell r="H1137">
            <v>3044</v>
          </cell>
          <cell r="I1137" t="str">
            <v>R2YDEX</v>
          </cell>
          <cell r="J1137" t="str">
            <v>2YD CONTAINER EXTRA</v>
          </cell>
          <cell r="K1137">
            <v>52.41</v>
          </cell>
          <cell r="L1137">
            <v>52.41</v>
          </cell>
        </row>
        <row r="1138">
          <cell r="A1138" t="str">
            <v>BUCKLEYCOMMERCIALR2YDEX</v>
          </cell>
          <cell r="B1138" t="str">
            <v>ONCALL</v>
          </cell>
          <cell r="C1138" t="str">
            <v>2111</v>
          </cell>
          <cell r="D1138" t="str">
            <v>COMMERCIAL</v>
          </cell>
          <cell r="E1138" t="b">
            <v>1</v>
          </cell>
          <cell r="F1138" t="b">
            <v>0</v>
          </cell>
          <cell r="G1138" t="str">
            <v>BUCKLEY</v>
          </cell>
          <cell r="H1138">
            <v>3044</v>
          </cell>
          <cell r="I1138" t="str">
            <v>R2YDEX</v>
          </cell>
          <cell r="J1138" t="str">
            <v>2YD CONTAINER EXTRA</v>
          </cell>
          <cell r="K1138">
            <v>56.14</v>
          </cell>
          <cell r="L1138">
            <v>56.14</v>
          </cell>
        </row>
        <row r="1139">
          <cell r="A1139" t="str">
            <v>CARBONADOCOMMERCIALR2YDEX</v>
          </cell>
          <cell r="B1139" t="str">
            <v>ONCALL</v>
          </cell>
          <cell r="C1139" t="str">
            <v>2111</v>
          </cell>
          <cell r="D1139" t="str">
            <v>COMMERCIAL</v>
          </cell>
          <cell r="E1139" t="b">
            <v>1</v>
          </cell>
          <cell r="F1139" t="b">
            <v>0</v>
          </cell>
          <cell r="G1139" t="str">
            <v>CARBONADO</v>
          </cell>
          <cell r="H1139">
            <v>3044</v>
          </cell>
          <cell r="I1139" t="str">
            <v>R2YDEX</v>
          </cell>
          <cell r="J1139" t="str">
            <v>2YD CONTAINER EXTRA</v>
          </cell>
          <cell r="K1139">
            <v>45.09</v>
          </cell>
          <cell r="L1139">
            <v>45.09</v>
          </cell>
        </row>
        <row r="1140">
          <cell r="A1140" t="str">
            <v>M-EDGEWOODCOMMERCIALR2YDEX</v>
          </cell>
          <cell r="B1140" t="str">
            <v>ONCALL</v>
          </cell>
          <cell r="C1140" t="str">
            <v>2111</v>
          </cell>
          <cell r="D1140" t="str">
            <v>COMMERCIAL</v>
          </cell>
          <cell r="E1140" t="b">
            <v>1</v>
          </cell>
          <cell r="F1140" t="b">
            <v>0</v>
          </cell>
          <cell r="G1140" t="str">
            <v>M-EDGEWOOD</v>
          </cell>
          <cell r="H1140">
            <v>3044</v>
          </cell>
          <cell r="I1140" t="str">
            <v>R2YDEX</v>
          </cell>
          <cell r="J1140" t="str">
            <v>2YD CONTAINER EXTRA</v>
          </cell>
          <cell r="K1140">
            <v>43.67</v>
          </cell>
          <cell r="L1140">
            <v>43.67</v>
          </cell>
        </row>
        <row r="1141">
          <cell r="A1141" t="str">
            <v>M-FIFECOMMERCIALR2YDEX</v>
          </cell>
          <cell r="B1141" t="str">
            <v>ONCALL</v>
          </cell>
          <cell r="C1141" t="str">
            <v>2111</v>
          </cell>
          <cell r="D1141" t="str">
            <v>COMMERCIAL</v>
          </cell>
          <cell r="E1141" t="b">
            <v>1</v>
          </cell>
          <cell r="F1141" t="b">
            <v>0</v>
          </cell>
          <cell r="G1141" t="str">
            <v>M-FIFE</v>
          </cell>
          <cell r="H1141">
            <v>3044</v>
          </cell>
          <cell r="I1141" t="str">
            <v>R2YDEX</v>
          </cell>
          <cell r="J1141" t="str">
            <v>2YD CONTAINER EXTRA</v>
          </cell>
          <cell r="K1141">
            <v>43.67</v>
          </cell>
          <cell r="L1141">
            <v>43.67</v>
          </cell>
        </row>
        <row r="1142">
          <cell r="A1142" t="str">
            <v>MILTONCOMMERCIALR2YDEX</v>
          </cell>
          <cell r="B1142" t="str">
            <v>ONCALL</v>
          </cell>
          <cell r="C1142" t="str">
            <v>2111</v>
          </cell>
          <cell r="D1142" t="str">
            <v>COMMERCIAL</v>
          </cell>
          <cell r="E1142" t="b">
            <v>1</v>
          </cell>
          <cell r="F1142" t="b">
            <v>0</v>
          </cell>
          <cell r="G1142" t="str">
            <v>MILTON</v>
          </cell>
          <cell r="H1142">
            <v>3044</v>
          </cell>
          <cell r="I1142" t="str">
            <v>R2YDEX</v>
          </cell>
          <cell r="J1142" t="str">
            <v>2YD CONTAINER EXTRA</v>
          </cell>
          <cell r="K1142">
            <v>42.33</v>
          </cell>
          <cell r="L1142">
            <v>42.33</v>
          </cell>
        </row>
        <row r="1143">
          <cell r="A1143" t="str">
            <v>MURREYSCOMMERCIALR2YDEX</v>
          </cell>
          <cell r="B1143" t="str">
            <v>ONCALL</v>
          </cell>
          <cell r="C1143" t="str">
            <v>2111</v>
          </cell>
          <cell r="D1143" t="str">
            <v>COMMERCIAL</v>
          </cell>
          <cell r="E1143" t="b">
            <v>1</v>
          </cell>
          <cell r="F1143" t="b">
            <v>0</v>
          </cell>
          <cell r="G1143" t="str">
            <v>MURREYS</v>
          </cell>
          <cell r="H1143">
            <v>3044</v>
          </cell>
          <cell r="I1143" t="str">
            <v>R2YDEX</v>
          </cell>
          <cell r="J1143" t="str">
            <v>2YD CONTAINER EXTRA</v>
          </cell>
          <cell r="K1143">
            <v>43.67</v>
          </cell>
          <cell r="L1143">
            <v>43.67</v>
          </cell>
        </row>
        <row r="1144">
          <cell r="A1144" t="str">
            <v>ORTINGCOMMERCIALR2YDEX</v>
          </cell>
          <cell r="B1144" t="str">
            <v>ONCALL</v>
          </cell>
          <cell r="C1144" t="str">
            <v>2111</v>
          </cell>
          <cell r="D1144" t="str">
            <v>COMMERCIAL</v>
          </cell>
          <cell r="E1144" t="b">
            <v>1</v>
          </cell>
          <cell r="F1144" t="b">
            <v>0</v>
          </cell>
          <cell r="G1144" t="str">
            <v>ORTING</v>
          </cell>
          <cell r="H1144">
            <v>3044</v>
          </cell>
          <cell r="I1144" t="str">
            <v>R2YDEX</v>
          </cell>
          <cell r="J1144" t="str">
            <v>2YD CONTAINER EXTRA</v>
          </cell>
          <cell r="K1144">
            <v>46.07</v>
          </cell>
          <cell r="L1144">
            <v>46.07</v>
          </cell>
        </row>
        <row r="1145">
          <cell r="A1145" t="str">
            <v>PUYALLUPCOMMERCIALR2YDEX</v>
          </cell>
          <cell r="B1145" t="str">
            <v>ONCALL</v>
          </cell>
          <cell r="C1145" t="str">
            <v>2111</v>
          </cell>
          <cell r="D1145" t="str">
            <v>COMMERCIAL</v>
          </cell>
          <cell r="E1145" t="b">
            <v>1</v>
          </cell>
          <cell r="F1145" t="b">
            <v>0</v>
          </cell>
          <cell r="G1145" t="str">
            <v>PUYALLUP</v>
          </cell>
          <cell r="H1145">
            <v>3044</v>
          </cell>
          <cell r="I1145" t="str">
            <v>R2YDEX</v>
          </cell>
          <cell r="J1145" t="str">
            <v>2YD CONTAINER EXTRA</v>
          </cell>
          <cell r="K1145">
            <v>59.33</v>
          </cell>
          <cell r="L1145">
            <v>59.33</v>
          </cell>
        </row>
        <row r="1146">
          <cell r="A1146" t="str">
            <v>RUSTONCOMMERCIALR2YDEX</v>
          </cell>
          <cell r="B1146" t="str">
            <v>ONCALL</v>
          </cell>
          <cell r="C1146" t="str">
            <v>2111</v>
          </cell>
          <cell r="D1146" t="str">
            <v>COMMERCIAL</v>
          </cell>
          <cell r="E1146" t="b">
            <v>1</v>
          </cell>
          <cell r="F1146" t="b">
            <v>0</v>
          </cell>
          <cell r="G1146" t="str">
            <v>RUSTON</v>
          </cell>
          <cell r="H1146">
            <v>3044</v>
          </cell>
          <cell r="I1146" t="str">
            <v>R2YDEX</v>
          </cell>
          <cell r="J1146" t="str">
            <v>2YD CONTAINER EXTRA</v>
          </cell>
          <cell r="K1146">
            <v>55.9</v>
          </cell>
          <cell r="L1146">
            <v>55.9</v>
          </cell>
        </row>
        <row r="1147">
          <cell r="A1147" t="str">
            <v>SOUTH PRAIRIECOMMERCIALR2YDEX</v>
          </cell>
          <cell r="B1147" t="str">
            <v>ONCALL</v>
          </cell>
          <cell r="C1147" t="str">
            <v>2111</v>
          </cell>
          <cell r="D1147" t="str">
            <v>COMMERCIAL</v>
          </cell>
          <cell r="E1147" t="b">
            <v>1</v>
          </cell>
          <cell r="F1147" t="b">
            <v>0</v>
          </cell>
          <cell r="G1147" t="str">
            <v>SOUTH PRAIRIE</v>
          </cell>
          <cell r="H1147">
            <v>3044</v>
          </cell>
          <cell r="I1147" t="str">
            <v>R2YDEX</v>
          </cell>
          <cell r="J1147" t="str">
            <v>2YD CONTAINER EXTRA</v>
          </cell>
          <cell r="K1147">
            <v>43.47</v>
          </cell>
          <cell r="L1147">
            <v>43.47</v>
          </cell>
        </row>
        <row r="1148">
          <cell r="A1148" t="str">
            <v>SUMNERCOMMERCIALR2YDEX</v>
          </cell>
          <cell r="B1148" t="str">
            <v>ONCALL</v>
          </cell>
          <cell r="C1148" t="str">
            <v>2111</v>
          </cell>
          <cell r="D1148" t="str">
            <v>COMMERCIAL</v>
          </cell>
          <cell r="E1148" t="b">
            <v>1</v>
          </cell>
          <cell r="F1148" t="b">
            <v>0</v>
          </cell>
          <cell r="G1148" t="str">
            <v>SUMNER</v>
          </cell>
          <cell r="H1148">
            <v>3044</v>
          </cell>
          <cell r="I1148" t="str">
            <v>R2YDEX</v>
          </cell>
          <cell r="J1148" t="str">
            <v>2YD CONTAINER EXTRA</v>
          </cell>
          <cell r="K1148">
            <v>56.14</v>
          </cell>
          <cell r="L1148">
            <v>56.14</v>
          </cell>
        </row>
        <row r="1149">
          <cell r="A1149" t="str">
            <v>VASHONCOMMERCIALR2YDEX</v>
          </cell>
          <cell r="B1149" t="str">
            <v>ONCALL</v>
          </cell>
          <cell r="C1149" t="str">
            <v>2111</v>
          </cell>
          <cell r="D1149" t="str">
            <v>COMMERCIAL</v>
          </cell>
          <cell r="E1149" t="b">
            <v>1</v>
          </cell>
          <cell r="F1149" t="b">
            <v>0</v>
          </cell>
          <cell r="G1149" t="str">
            <v>VASHON</v>
          </cell>
          <cell r="H1149">
            <v>3044</v>
          </cell>
          <cell r="I1149" t="str">
            <v>R2YDEX</v>
          </cell>
          <cell r="J1149" t="str">
            <v>2YD CONTAINER EXTRA</v>
          </cell>
          <cell r="K1149">
            <v>35.840000000000003</v>
          </cell>
          <cell r="L1149">
            <v>35.840000000000003</v>
          </cell>
        </row>
        <row r="1150">
          <cell r="A1150" t="str">
            <v>DMRCOMMERCIAL RECYCLER2YDEXRECY</v>
          </cell>
          <cell r="B1150" t="e">
            <v>#N/A</v>
          </cell>
          <cell r="C1150" t="str">
            <v>2111</v>
          </cell>
          <cell r="D1150" t="str">
            <v>COMMERCIAL RECYCLE</v>
          </cell>
          <cell r="E1150" t="b">
            <v>1</v>
          </cell>
          <cell r="F1150" t="b">
            <v>0</v>
          </cell>
          <cell r="G1150" t="str">
            <v>DMR</v>
          </cell>
          <cell r="H1150">
            <v>3574</v>
          </cell>
          <cell r="I1150" t="str">
            <v>R2YDEXRECY</v>
          </cell>
          <cell r="J1150" t="str">
            <v>RECY 2YD CONT EXTRA PICKU</v>
          </cell>
          <cell r="K1150">
            <v>30</v>
          </cell>
          <cell r="L1150">
            <v>30</v>
          </cell>
        </row>
        <row r="1151">
          <cell r="A1151" t="str">
            <v>DMR-BCOMMERCIAL RECYCLER2YDEXRECY</v>
          </cell>
          <cell r="B1151" t="e">
            <v>#N/A</v>
          </cell>
          <cell r="C1151" t="str">
            <v>2111</v>
          </cell>
          <cell r="D1151" t="str">
            <v>COMMERCIAL RECYCLE</v>
          </cell>
          <cell r="E1151" t="b">
            <v>1</v>
          </cell>
          <cell r="F1151" t="b">
            <v>0</v>
          </cell>
          <cell r="G1151" t="str">
            <v>DMR-B</v>
          </cell>
          <cell r="H1151">
            <v>3574</v>
          </cell>
          <cell r="I1151" t="str">
            <v>R2YDEXRECY</v>
          </cell>
          <cell r="J1151" t="str">
            <v>RECY 2YD CONT EXTRA PICKU</v>
          </cell>
          <cell r="K1151">
            <v>27.3</v>
          </cell>
          <cell r="L1151">
            <v>27.3</v>
          </cell>
        </row>
        <row r="1152">
          <cell r="A1152" t="str">
            <v>DMR-BLCOMMERCIAL RECYCLER2YDEXRECY</v>
          </cell>
          <cell r="B1152" t="e">
            <v>#N/A</v>
          </cell>
          <cell r="C1152" t="str">
            <v>2111</v>
          </cell>
          <cell r="D1152" t="str">
            <v>COMMERCIAL RECYCLE</v>
          </cell>
          <cell r="E1152" t="b">
            <v>1</v>
          </cell>
          <cell r="F1152" t="b">
            <v>0</v>
          </cell>
          <cell r="G1152" t="str">
            <v>DMR-BL</v>
          </cell>
          <cell r="H1152">
            <v>3574</v>
          </cell>
          <cell r="I1152" t="str">
            <v>R2YDEXRECY</v>
          </cell>
          <cell r="J1152" t="str">
            <v>RECY 2YD CONT EXTRA PICKU</v>
          </cell>
          <cell r="K1152">
            <v>19.93</v>
          </cell>
          <cell r="L1152">
            <v>19.93</v>
          </cell>
        </row>
        <row r="1153">
          <cell r="A1153" t="str">
            <v>DMR-CPCOMMERCIAL RECYCLER2YDEXRECY</v>
          </cell>
          <cell r="B1153" t="e">
            <v>#N/A</v>
          </cell>
          <cell r="C1153" t="str">
            <v>2111</v>
          </cell>
          <cell r="D1153" t="str">
            <v>COMMERCIAL RECYCLE</v>
          </cell>
          <cell r="E1153" t="b">
            <v>1</v>
          </cell>
          <cell r="F1153" t="b">
            <v>0</v>
          </cell>
          <cell r="G1153" t="str">
            <v>DMR-CP</v>
          </cell>
          <cell r="H1153">
            <v>3574</v>
          </cell>
          <cell r="I1153" t="str">
            <v>R2YDEXRECY</v>
          </cell>
          <cell r="J1153" t="str">
            <v>RECY 2YD CONT EXTRA PICKU</v>
          </cell>
          <cell r="K1153">
            <v>19.170000000000002</v>
          </cell>
          <cell r="L1153">
            <v>19.170000000000002</v>
          </cell>
        </row>
        <row r="1154">
          <cell r="A1154" t="str">
            <v>DMR-MILCOMMERCIAL RECYCLER2YDEXRECY</v>
          </cell>
          <cell r="B1154" t="e">
            <v>#N/A</v>
          </cell>
          <cell r="C1154" t="str">
            <v>2111</v>
          </cell>
          <cell r="D1154" t="str">
            <v>COMMERCIAL RECYCLE</v>
          </cell>
          <cell r="E1154" t="b">
            <v>1</v>
          </cell>
          <cell r="F1154" t="b">
            <v>0</v>
          </cell>
          <cell r="G1154" t="str">
            <v>DMR-MIL</v>
          </cell>
          <cell r="H1154">
            <v>3574</v>
          </cell>
          <cell r="I1154" t="str">
            <v>R2YDEXRECY</v>
          </cell>
          <cell r="J1154" t="str">
            <v>RECY 2YD CONT EXTRA PICKU</v>
          </cell>
          <cell r="K1154">
            <v>19.72</v>
          </cell>
          <cell r="L1154">
            <v>19.72</v>
          </cell>
        </row>
        <row r="1155">
          <cell r="A1155" t="str">
            <v>M-EDGEWOODCOMMERCIALR2YDTPU</v>
          </cell>
          <cell r="B1155" t="str">
            <v>MONTHLY ARREARS</v>
          </cell>
          <cell r="C1155" t="str">
            <v>2111</v>
          </cell>
          <cell r="D1155" t="str">
            <v>COMMERCIAL</v>
          </cell>
          <cell r="E1155" t="b">
            <v>0</v>
          </cell>
          <cell r="F1155" t="b">
            <v>0</v>
          </cell>
          <cell r="G1155" t="str">
            <v>M-EDGEWOOD</v>
          </cell>
          <cell r="H1155">
            <v>2261</v>
          </cell>
          <cell r="I1155" t="str">
            <v>R2YDTPU</v>
          </cell>
          <cell r="J1155" t="str">
            <v>2YD TEMP CONTAINER</v>
          </cell>
          <cell r="K1155">
            <v>189.18</v>
          </cell>
          <cell r="L1155">
            <v>189.18</v>
          </cell>
        </row>
        <row r="1156">
          <cell r="A1156" t="str">
            <v>M-FIFECOMMERCIALR2YDTPU</v>
          </cell>
          <cell r="B1156" t="str">
            <v>MONTHLY ARREARS</v>
          </cell>
          <cell r="C1156" t="str">
            <v>2111</v>
          </cell>
          <cell r="D1156" t="str">
            <v>COMMERCIAL</v>
          </cell>
          <cell r="E1156" t="b">
            <v>0</v>
          </cell>
          <cell r="F1156" t="b">
            <v>0</v>
          </cell>
          <cell r="G1156" t="str">
            <v>M-FIFE</v>
          </cell>
          <cell r="H1156">
            <v>2261</v>
          </cell>
          <cell r="I1156" t="str">
            <v>R2YDTPU</v>
          </cell>
          <cell r="J1156" t="str">
            <v>2YD TEMP CONTAINER</v>
          </cell>
          <cell r="K1156">
            <v>189.18</v>
          </cell>
          <cell r="L1156">
            <v>189.18</v>
          </cell>
        </row>
        <row r="1157">
          <cell r="A1157" t="str">
            <v>MURREYSCOMMERCIALR2YDTPU</v>
          </cell>
          <cell r="B1157" t="str">
            <v>MONTHLY ARREARS</v>
          </cell>
          <cell r="C1157" t="str">
            <v>2111</v>
          </cell>
          <cell r="D1157" t="str">
            <v>COMMERCIAL</v>
          </cell>
          <cell r="E1157" t="b">
            <v>0</v>
          </cell>
          <cell r="F1157" t="b">
            <v>0</v>
          </cell>
          <cell r="G1157" t="str">
            <v>MURREYS</v>
          </cell>
          <cell r="H1157">
            <v>2261</v>
          </cell>
          <cell r="I1157" t="str">
            <v>R2YDTPU</v>
          </cell>
          <cell r="J1157" t="str">
            <v>2YD TEMP CONTAINER</v>
          </cell>
          <cell r="K1157">
            <v>189.18</v>
          </cell>
          <cell r="L1157">
            <v>189.18</v>
          </cell>
        </row>
        <row r="1158">
          <cell r="A1158" t="str">
            <v>VASHONCOMMERCIALR2YDTPU</v>
          </cell>
          <cell r="B1158" t="str">
            <v>MONTHLY ARREARS</v>
          </cell>
          <cell r="C1158" t="str">
            <v>2111</v>
          </cell>
          <cell r="D1158" t="str">
            <v>COMMERCIAL</v>
          </cell>
          <cell r="E1158" t="b">
            <v>0</v>
          </cell>
          <cell r="F1158" t="b">
            <v>0</v>
          </cell>
          <cell r="G1158" t="str">
            <v>VASHON</v>
          </cell>
          <cell r="H1158">
            <v>2261</v>
          </cell>
          <cell r="I1158" t="str">
            <v>R2YDTPU</v>
          </cell>
          <cell r="J1158" t="str">
            <v>2YD TEMP CONTAINER</v>
          </cell>
          <cell r="K1158">
            <v>151.80000000000001</v>
          </cell>
          <cell r="L1158">
            <v>151.80000000000001</v>
          </cell>
        </row>
        <row r="1159">
          <cell r="A1159" t="str">
            <v>M-EDGEWOODRESIDENTIALRECYCLECR</v>
          </cell>
          <cell r="B1159" t="str">
            <v>BI-MONTHLY SPLIT ODD</v>
          </cell>
          <cell r="C1159" t="str">
            <v>2111</v>
          </cell>
          <cell r="D1159" t="str">
            <v>RESIDENTIAL</v>
          </cell>
          <cell r="E1159" t="b">
            <v>0</v>
          </cell>
          <cell r="F1159" t="b">
            <v>0</v>
          </cell>
          <cell r="G1159" t="str">
            <v>M-EDGEWOOD</v>
          </cell>
          <cell r="H1159">
            <v>3244</v>
          </cell>
          <cell r="I1159" t="str">
            <v>RECYCLECR</v>
          </cell>
          <cell r="J1159" t="str">
            <v>VALUE OF RECYCLABLES</v>
          </cell>
          <cell r="K1159">
            <v>4.0999999999999996</v>
          </cell>
          <cell r="L1159">
            <v>2.0499999999999998</v>
          </cell>
        </row>
        <row r="1160">
          <cell r="A1160" t="str">
            <v>M-FIFERESIDENTIALRECYCLECR</v>
          </cell>
          <cell r="B1160" t="str">
            <v>BI-MONTHLY SPLIT ODD</v>
          </cell>
          <cell r="C1160" t="str">
            <v>2111</v>
          </cell>
          <cell r="D1160" t="str">
            <v>RESIDENTIAL</v>
          </cell>
          <cell r="E1160" t="b">
            <v>0</v>
          </cell>
          <cell r="F1160" t="b">
            <v>0</v>
          </cell>
          <cell r="G1160" t="str">
            <v>M-FIFE</v>
          </cell>
          <cell r="H1160">
            <v>3244</v>
          </cell>
          <cell r="I1160" t="str">
            <v>RECYCLECR</v>
          </cell>
          <cell r="J1160" t="str">
            <v>VALUE OF RECYCLABLES</v>
          </cell>
          <cell r="K1160">
            <v>4.0999999999999996</v>
          </cell>
          <cell r="L1160">
            <v>2.0499999999999998</v>
          </cell>
        </row>
        <row r="1161">
          <cell r="A1161" t="str">
            <v>MURREYSRESIDENTIALRECYCLECR</v>
          </cell>
          <cell r="B1161" t="str">
            <v>BI-MONTHLY SPLIT ODD</v>
          </cell>
          <cell r="C1161" t="str">
            <v>2111</v>
          </cell>
          <cell r="D1161" t="str">
            <v>RESIDENTIAL</v>
          </cell>
          <cell r="E1161" t="b">
            <v>0</v>
          </cell>
          <cell r="F1161" t="b">
            <v>0</v>
          </cell>
          <cell r="G1161" t="str">
            <v>MURREYS</v>
          </cell>
          <cell r="H1161">
            <v>3244</v>
          </cell>
          <cell r="I1161" t="str">
            <v>RECYCLECR</v>
          </cell>
          <cell r="J1161" t="str">
            <v>VALUE OF RECYCLABLES</v>
          </cell>
          <cell r="K1161">
            <v>4.0999999999999996</v>
          </cell>
          <cell r="L1161">
            <v>2.0499999999999998</v>
          </cell>
        </row>
        <row r="1162">
          <cell r="A1162" t="str">
            <v>DMRROLL OFFRECYCOMPHR</v>
          </cell>
          <cell r="B1162" t="str">
            <v>ONCALL</v>
          </cell>
          <cell r="C1162" t="str">
            <v>2111</v>
          </cell>
          <cell r="D1162" t="str">
            <v>ROLL OFF</v>
          </cell>
          <cell r="E1162" t="b">
            <v>1</v>
          </cell>
          <cell r="F1162" t="b">
            <v>0</v>
          </cell>
          <cell r="G1162" t="str">
            <v>DMR</v>
          </cell>
          <cell r="H1162">
            <v>3448</v>
          </cell>
          <cell r="I1162" t="str">
            <v>RECYCOMPHR</v>
          </cell>
          <cell r="J1162" t="str">
            <v>RECY COMPACTOR HRLY HAUL</v>
          </cell>
          <cell r="K1162">
            <v>175</v>
          </cell>
          <cell r="L1162">
            <v>175</v>
          </cell>
        </row>
        <row r="1163">
          <cell r="A1163" t="str">
            <v>BONNEY LAKERESIDENTIALRECYDEL</v>
          </cell>
          <cell r="B1163" t="str">
            <v>ONCALL</v>
          </cell>
          <cell r="C1163" t="str">
            <v>2111</v>
          </cell>
          <cell r="D1163" t="str">
            <v>RESIDENTIAL</v>
          </cell>
          <cell r="E1163" t="b">
            <v>1</v>
          </cell>
          <cell r="F1163" t="b">
            <v>0</v>
          </cell>
          <cell r="G1163" t="str">
            <v>BONNEY LAKE</v>
          </cell>
          <cell r="H1163">
            <v>3336</v>
          </cell>
          <cell r="I1163" t="str">
            <v>RECYDEL</v>
          </cell>
          <cell r="J1163" t="str">
            <v>RECYCLE TOTER REDELIVERY</v>
          </cell>
          <cell r="K1163">
            <v>21.89</v>
          </cell>
          <cell r="L1163">
            <v>21.89</v>
          </cell>
        </row>
        <row r="1164">
          <cell r="A1164" t="str">
            <v>BUCKLEYRESIDENTIALRECYDEL</v>
          </cell>
          <cell r="B1164" t="str">
            <v>ONCALL</v>
          </cell>
          <cell r="C1164" t="str">
            <v>2111</v>
          </cell>
          <cell r="D1164" t="str">
            <v>RESIDENTIAL</v>
          </cell>
          <cell r="E1164" t="b">
            <v>1</v>
          </cell>
          <cell r="F1164" t="b">
            <v>0</v>
          </cell>
          <cell r="G1164" t="str">
            <v>BUCKLEY</v>
          </cell>
          <cell r="H1164">
            <v>3336</v>
          </cell>
          <cell r="I1164" t="str">
            <v>RECYDEL</v>
          </cell>
          <cell r="J1164" t="str">
            <v>RECYCLE TOTER REDELIVERY</v>
          </cell>
          <cell r="K1164">
            <v>25</v>
          </cell>
          <cell r="L1164">
            <v>25</v>
          </cell>
        </row>
        <row r="1165">
          <cell r="A1165" t="str">
            <v>CARBONADORESIDENTIALRECYDEL</v>
          </cell>
          <cell r="B1165" t="str">
            <v>ONCALL</v>
          </cell>
          <cell r="C1165" t="str">
            <v>2111</v>
          </cell>
          <cell r="D1165" t="str">
            <v>RESIDENTIAL</v>
          </cell>
          <cell r="E1165" t="b">
            <v>1</v>
          </cell>
          <cell r="F1165" t="b">
            <v>0</v>
          </cell>
          <cell r="G1165" t="str">
            <v>CARBONADO</v>
          </cell>
          <cell r="H1165">
            <v>3336</v>
          </cell>
          <cell r="I1165" t="str">
            <v>RECYDEL</v>
          </cell>
          <cell r="J1165" t="str">
            <v>RECYCLE TOTER REDELIVERY</v>
          </cell>
          <cell r="K1165">
            <v>9.07</v>
          </cell>
          <cell r="L1165">
            <v>9.07</v>
          </cell>
        </row>
        <row r="1166">
          <cell r="A1166" t="str">
            <v>DMRRESIDENTIALRECYDEL</v>
          </cell>
          <cell r="B1166" t="str">
            <v>ONCALL</v>
          </cell>
          <cell r="C1166" t="str">
            <v>2111</v>
          </cell>
          <cell r="D1166" t="str">
            <v>RESIDENTIAL</v>
          </cell>
          <cell r="E1166" t="b">
            <v>1</v>
          </cell>
          <cell r="F1166" t="b">
            <v>0</v>
          </cell>
          <cell r="G1166" t="str">
            <v>DMR</v>
          </cell>
          <cell r="H1166">
            <v>3336</v>
          </cell>
          <cell r="I1166" t="str">
            <v>RECYDEL</v>
          </cell>
          <cell r="J1166" t="str">
            <v>RECYCLE TOTER REDELIVERY</v>
          </cell>
          <cell r="K1166">
            <v>31.57</v>
          </cell>
          <cell r="L1166">
            <v>31.57</v>
          </cell>
        </row>
        <row r="1167">
          <cell r="A1167" t="str">
            <v>DMR-BRESIDENTIALRECYDEL</v>
          </cell>
          <cell r="B1167" t="str">
            <v>ONCALL</v>
          </cell>
          <cell r="C1167" t="str">
            <v>2111</v>
          </cell>
          <cell r="D1167" t="str">
            <v>RESIDENTIAL</v>
          </cell>
          <cell r="E1167" t="b">
            <v>1</v>
          </cell>
          <cell r="F1167" t="b">
            <v>0</v>
          </cell>
          <cell r="G1167" t="str">
            <v>DMR-B</v>
          </cell>
          <cell r="H1167">
            <v>3336</v>
          </cell>
          <cell r="I1167" t="str">
            <v>RECYDEL</v>
          </cell>
          <cell r="J1167" t="str">
            <v>RECYCLE TOTER REDELIVERY</v>
          </cell>
          <cell r="K1167">
            <v>33.15</v>
          </cell>
          <cell r="L1167">
            <v>33.15</v>
          </cell>
        </row>
        <row r="1168">
          <cell r="A1168" t="str">
            <v>M-EDGEWOODRESIDENTIALRECYDEL</v>
          </cell>
          <cell r="B1168" t="str">
            <v>ONCALL</v>
          </cell>
          <cell r="C1168" t="str">
            <v>2111</v>
          </cell>
          <cell r="D1168" t="str">
            <v>RESIDENTIAL</v>
          </cell>
          <cell r="E1168" t="b">
            <v>1</v>
          </cell>
          <cell r="F1168" t="b">
            <v>0</v>
          </cell>
          <cell r="G1168" t="str">
            <v>M-EDGEWOOD</v>
          </cell>
          <cell r="H1168">
            <v>3336</v>
          </cell>
          <cell r="I1168" t="str">
            <v>RECYDEL</v>
          </cell>
          <cell r="J1168" t="str">
            <v>RECYCLE TOTER REDELIVERY</v>
          </cell>
          <cell r="K1168">
            <v>22.64</v>
          </cell>
          <cell r="L1168">
            <v>22.64</v>
          </cell>
        </row>
        <row r="1169">
          <cell r="A1169" t="str">
            <v>M-FIFERESIDENTIALRECYDEL</v>
          </cell>
          <cell r="B1169" t="str">
            <v>ONCALL</v>
          </cell>
          <cell r="C1169" t="str">
            <v>2111</v>
          </cell>
          <cell r="D1169" t="str">
            <v>RESIDENTIAL</v>
          </cell>
          <cell r="E1169" t="b">
            <v>1</v>
          </cell>
          <cell r="F1169" t="b">
            <v>0</v>
          </cell>
          <cell r="G1169" t="str">
            <v>M-FIFE</v>
          </cell>
          <cell r="H1169">
            <v>3336</v>
          </cell>
          <cell r="I1169" t="str">
            <v>RECYDEL</v>
          </cell>
          <cell r="J1169" t="str">
            <v>RECYCLE TOTER REDELIVERY</v>
          </cell>
          <cell r="K1169">
            <v>22.64</v>
          </cell>
          <cell r="L1169">
            <v>22.64</v>
          </cell>
        </row>
        <row r="1170">
          <cell r="A1170" t="str">
            <v>MILTONRESIDENTIALRECYDEL</v>
          </cell>
          <cell r="B1170" t="str">
            <v>ONCALL</v>
          </cell>
          <cell r="C1170" t="str">
            <v>2111</v>
          </cell>
          <cell r="D1170" t="str">
            <v>RESIDENTIAL</v>
          </cell>
          <cell r="E1170" t="b">
            <v>1</v>
          </cell>
          <cell r="F1170" t="b">
            <v>0</v>
          </cell>
          <cell r="G1170" t="str">
            <v>MILTON</v>
          </cell>
          <cell r="H1170">
            <v>3336</v>
          </cell>
          <cell r="I1170" t="str">
            <v>RECYDEL</v>
          </cell>
          <cell r="J1170" t="str">
            <v>RECYCLE TOTER REDELIVERY</v>
          </cell>
          <cell r="K1170">
            <v>27.72</v>
          </cell>
          <cell r="L1170">
            <v>27.72</v>
          </cell>
        </row>
        <row r="1171">
          <cell r="A1171" t="str">
            <v>MURREYSRESIDENTIALRECYDEL</v>
          </cell>
          <cell r="B1171" t="str">
            <v>ONCALL</v>
          </cell>
          <cell r="C1171" t="str">
            <v>2111</v>
          </cell>
          <cell r="D1171" t="str">
            <v>RESIDENTIAL</v>
          </cell>
          <cell r="E1171" t="b">
            <v>1</v>
          </cell>
          <cell r="F1171" t="b">
            <v>0</v>
          </cell>
          <cell r="G1171" t="str">
            <v>MURREYS</v>
          </cell>
          <cell r="H1171">
            <v>3336</v>
          </cell>
          <cell r="I1171" t="str">
            <v>RECYDEL</v>
          </cell>
          <cell r="J1171" t="str">
            <v>RECYCLE TOTER REDELIVERY</v>
          </cell>
          <cell r="K1171">
            <v>22.64</v>
          </cell>
          <cell r="L1171">
            <v>22.64</v>
          </cell>
        </row>
        <row r="1172">
          <cell r="A1172" t="str">
            <v>ORTINGRESIDENTIALRECYDEL</v>
          </cell>
          <cell r="B1172" t="str">
            <v>ONCALL</v>
          </cell>
          <cell r="C1172" t="str">
            <v>2111</v>
          </cell>
          <cell r="D1172" t="str">
            <v>RESIDENTIAL</v>
          </cell>
          <cell r="E1172" t="b">
            <v>1</v>
          </cell>
          <cell r="F1172" t="b">
            <v>0</v>
          </cell>
          <cell r="G1172" t="str">
            <v>ORTING</v>
          </cell>
          <cell r="H1172">
            <v>3336</v>
          </cell>
          <cell r="I1172" t="str">
            <v>RECYDEL</v>
          </cell>
          <cell r="J1172" t="str">
            <v>RECYCLE TOTER REDELIVERY</v>
          </cell>
          <cell r="K1172">
            <v>17.059999999999999</v>
          </cell>
          <cell r="L1172">
            <v>17.059999999999999</v>
          </cell>
        </row>
        <row r="1173">
          <cell r="A1173" t="str">
            <v>PUYALLUPRESIDENTIALRECYDEL</v>
          </cell>
          <cell r="B1173" t="str">
            <v>ONCALL</v>
          </cell>
          <cell r="C1173" t="str">
            <v>2111</v>
          </cell>
          <cell r="D1173" t="str">
            <v>RESIDENTIAL</v>
          </cell>
          <cell r="E1173" t="b">
            <v>1</v>
          </cell>
          <cell r="F1173" t="b">
            <v>0</v>
          </cell>
          <cell r="G1173" t="str">
            <v>PUYALLUP</v>
          </cell>
          <cell r="H1173">
            <v>3336</v>
          </cell>
          <cell r="I1173" t="str">
            <v>RECYDEL</v>
          </cell>
          <cell r="J1173" t="str">
            <v>RECYCLE TOTER REDELIVERY</v>
          </cell>
          <cell r="K1173">
            <v>15.73</v>
          </cell>
          <cell r="L1173">
            <v>15.73</v>
          </cell>
        </row>
        <row r="1174">
          <cell r="A1174" t="str">
            <v>RUSTONRESIDENTIALRECYDEL</v>
          </cell>
          <cell r="B1174" t="str">
            <v>ONCALL</v>
          </cell>
          <cell r="C1174" t="str">
            <v>2111</v>
          </cell>
          <cell r="D1174" t="str">
            <v>RESIDENTIAL</v>
          </cell>
          <cell r="E1174" t="b">
            <v>1</v>
          </cell>
          <cell r="F1174" t="b">
            <v>0</v>
          </cell>
          <cell r="G1174" t="str">
            <v>RUSTON</v>
          </cell>
          <cell r="H1174">
            <v>3336</v>
          </cell>
          <cell r="I1174" t="str">
            <v>RECYDEL</v>
          </cell>
          <cell r="J1174" t="str">
            <v>RECYCLE TOTER REDELIVERY</v>
          </cell>
          <cell r="K1174">
            <v>25</v>
          </cell>
          <cell r="L1174">
            <v>25</v>
          </cell>
        </row>
        <row r="1175">
          <cell r="A1175" t="str">
            <v>SOUTH PRAIRIERESIDENTIALRECYDEL</v>
          </cell>
          <cell r="B1175" t="str">
            <v>ONCALL</v>
          </cell>
          <cell r="C1175" t="str">
            <v>2111</v>
          </cell>
          <cell r="D1175" t="str">
            <v>RESIDENTIAL</v>
          </cell>
          <cell r="E1175" t="b">
            <v>1</v>
          </cell>
          <cell r="F1175" t="b">
            <v>0</v>
          </cell>
          <cell r="G1175" t="str">
            <v>SOUTH PRAIRIE</v>
          </cell>
          <cell r="H1175">
            <v>3336</v>
          </cell>
          <cell r="I1175" t="str">
            <v>RECYDEL</v>
          </cell>
          <cell r="J1175" t="str">
            <v>RECYCLE TOTER REDELIVERY</v>
          </cell>
          <cell r="K1175">
            <v>22.53</v>
          </cell>
          <cell r="L1175">
            <v>22.53</v>
          </cell>
        </row>
        <row r="1176">
          <cell r="A1176" t="str">
            <v>SUMNERRESIDENTIALRECYDEL</v>
          </cell>
          <cell r="B1176" t="str">
            <v>ONCALL</v>
          </cell>
          <cell r="C1176" t="str">
            <v>2111</v>
          </cell>
          <cell r="D1176" t="str">
            <v>RESIDENTIAL</v>
          </cell>
          <cell r="E1176" t="b">
            <v>1</v>
          </cell>
          <cell r="F1176" t="b">
            <v>0</v>
          </cell>
          <cell r="G1176" t="str">
            <v>SUMNER</v>
          </cell>
          <cell r="H1176">
            <v>3336</v>
          </cell>
          <cell r="I1176" t="str">
            <v>RECYDEL</v>
          </cell>
          <cell r="J1176" t="str">
            <v>RECYCLE TOTER REDELIVERY</v>
          </cell>
          <cell r="K1176">
            <v>25</v>
          </cell>
          <cell r="L1176">
            <v>25</v>
          </cell>
        </row>
        <row r="1177">
          <cell r="A1177" t="str">
            <v>VASHONRESIDENTIALRECYDEL</v>
          </cell>
          <cell r="B1177" t="str">
            <v>ONCALL</v>
          </cell>
          <cell r="C1177" t="str">
            <v>2111</v>
          </cell>
          <cell r="D1177" t="str">
            <v>RESIDENTIAL</v>
          </cell>
          <cell r="E1177" t="b">
            <v>1</v>
          </cell>
          <cell r="F1177" t="b">
            <v>0</v>
          </cell>
          <cell r="G1177" t="str">
            <v>VASHON</v>
          </cell>
          <cell r="H1177">
            <v>3336</v>
          </cell>
          <cell r="I1177" t="str">
            <v>RECYDEL</v>
          </cell>
          <cell r="J1177" t="str">
            <v>RECYCLE TOTER REDELIVERY</v>
          </cell>
          <cell r="K1177">
            <v>15.85</v>
          </cell>
          <cell r="L1177">
            <v>15.85</v>
          </cell>
        </row>
        <row r="1178">
          <cell r="A1178" t="str">
            <v>DMRCOMMERCIAL RECYCLERECYDELFEE-DMR</v>
          </cell>
          <cell r="B1178" t="e">
            <v>#N/A</v>
          </cell>
          <cell r="C1178" t="str">
            <v>2111</v>
          </cell>
          <cell r="D1178" t="str">
            <v>COMMERCIAL RECYCLE</v>
          </cell>
          <cell r="E1178" t="b">
            <v>1</v>
          </cell>
          <cell r="F1178" t="b">
            <v>0</v>
          </cell>
          <cell r="G1178" t="str">
            <v>DMR</v>
          </cell>
          <cell r="H1178">
            <v>3578</v>
          </cell>
          <cell r="I1178" t="str">
            <v>RECYDELFEE-DMR</v>
          </cell>
          <cell r="J1178" t="str">
            <v>RECY REDEL CHARGE</v>
          </cell>
          <cell r="K1178">
            <v>39</v>
          </cell>
          <cell r="L1178">
            <v>39</v>
          </cell>
        </row>
        <row r="1179">
          <cell r="A1179" t="str">
            <v>DMR-BCOMMERCIAL RECYCLERECYDELFEE-DMR</v>
          </cell>
          <cell r="B1179" t="e">
            <v>#N/A</v>
          </cell>
          <cell r="C1179" t="str">
            <v>2111</v>
          </cell>
          <cell r="D1179" t="str">
            <v>COMMERCIAL RECYCLE</v>
          </cell>
          <cell r="E1179" t="b">
            <v>1</v>
          </cell>
          <cell r="F1179" t="b">
            <v>0</v>
          </cell>
          <cell r="G1179" t="str">
            <v>DMR-B</v>
          </cell>
          <cell r="H1179">
            <v>3578</v>
          </cell>
          <cell r="I1179" t="str">
            <v>RECYDELFEE-DMR</v>
          </cell>
          <cell r="J1179" t="str">
            <v>RECY REDEL CHARGE</v>
          </cell>
          <cell r="K1179">
            <v>33.15</v>
          </cell>
          <cell r="L1179">
            <v>33.15</v>
          </cell>
        </row>
        <row r="1180">
          <cell r="A1180" t="str">
            <v>DMR-BLCOMMERCIAL RECYCLERECYDELFEE-DMR</v>
          </cell>
          <cell r="B1180" t="e">
            <v>#N/A</v>
          </cell>
          <cell r="C1180" t="str">
            <v>2111</v>
          </cell>
          <cell r="D1180" t="str">
            <v>COMMERCIAL RECYCLE</v>
          </cell>
          <cell r="E1180" t="b">
            <v>1</v>
          </cell>
          <cell r="F1180" t="b">
            <v>0</v>
          </cell>
          <cell r="G1180" t="str">
            <v>DMR-BL</v>
          </cell>
          <cell r="H1180">
            <v>3578</v>
          </cell>
          <cell r="I1180" t="str">
            <v>RECYDELFEE-DMR</v>
          </cell>
          <cell r="J1180" t="str">
            <v>RECY REDEL CHARGE</v>
          </cell>
          <cell r="K1180">
            <v>21.89</v>
          </cell>
          <cell r="L1180">
            <v>21.89</v>
          </cell>
        </row>
        <row r="1181">
          <cell r="A1181" t="str">
            <v>DMR-CPCOMMERCIAL RECYCLERECYDELFEE-DMR</v>
          </cell>
          <cell r="B1181" t="e">
            <v>#N/A</v>
          </cell>
          <cell r="C1181" t="str">
            <v>2111</v>
          </cell>
          <cell r="D1181" t="str">
            <v>COMMERCIAL RECYCLE</v>
          </cell>
          <cell r="E1181" t="b">
            <v>1</v>
          </cell>
          <cell r="F1181" t="b">
            <v>0</v>
          </cell>
          <cell r="G1181" t="str">
            <v>DMR-CP</v>
          </cell>
          <cell r="H1181">
            <v>3578</v>
          </cell>
          <cell r="I1181" t="str">
            <v>RECYDELFEE-DMR</v>
          </cell>
          <cell r="J1181" t="str">
            <v>RECY REDEL CHARGE</v>
          </cell>
          <cell r="K1181">
            <v>15.73</v>
          </cell>
          <cell r="L1181">
            <v>15.73</v>
          </cell>
        </row>
        <row r="1182">
          <cell r="A1182" t="str">
            <v>DMR-MILCOMMERCIAL RECYCLERECYDELFEE-DMR</v>
          </cell>
          <cell r="B1182" t="e">
            <v>#N/A</v>
          </cell>
          <cell r="C1182" t="str">
            <v>2111</v>
          </cell>
          <cell r="D1182" t="str">
            <v>COMMERCIAL RECYCLE</v>
          </cell>
          <cell r="E1182" t="b">
            <v>1</v>
          </cell>
          <cell r="F1182" t="b">
            <v>0</v>
          </cell>
          <cell r="G1182" t="str">
            <v>DMR-MIL</v>
          </cell>
          <cell r="H1182">
            <v>3578</v>
          </cell>
          <cell r="I1182" t="str">
            <v>RECYDELFEE-DMR</v>
          </cell>
          <cell r="J1182" t="str">
            <v>RECY REDEL CHARGE</v>
          </cell>
          <cell r="K1182">
            <v>27.72</v>
          </cell>
          <cell r="L1182">
            <v>27.72</v>
          </cell>
        </row>
        <row r="1183">
          <cell r="A1183" t="str">
            <v>DMRROLL OFFRECYHAUL10</v>
          </cell>
          <cell r="B1183" t="str">
            <v>ONCALL</v>
          </cell>
          <cell r="C1183" t="str">
            <v>2111</v>
          </cell>
          <cell r="D1183" t="str">
            <v>ROLL OFF</v>
          </cell>
          <cell r="E1183" t="b">
            <v>1</v>
          </cell>
          <cell r="F1183" t="b">
            <v>0</v>
          </cell>
          <cell r="G1183" t="str">
            <v>DMR</v>
          </cell>
          <cell r="H1183">
            <v>3517</v>
          </cell>
          <cell r="I1183" t="str">
            <v>RECYHAUL10</v>
          </cell>
          <cell r="J1183" t="str">
            <v>RECYCLE 10 YD HAUL</v>
          </cell>
          <cell r="K1183">
            <v>175</v>
          </cell>
          <cell r="L1183">
            <v>175</v>
          </cell>
        </row>
        <row r="1184">
          <cell r="A1184" t="str">
            <v>DMRROLL OFFRECYHAUL12</v>
          </cell>
          <cell r="B1184" t="str">
            <v>ONCALL</v>
          </cell>
          <cell r="C1184" t="str">
            <v>2111</v>
          </cell>
          <cell r="D1184" t="str">
            <v>ROLL OFF</v>
          </cell>
          <cell r="E1184" t="b">
            <v>1</v>
          </cell>
          <cell r="F1184" t="b">
            <v>0</v>
          </cell>
          <cell r="G1184" t="str">
            <v>DMR</v>
          </cell>
          <cell r="H1184">
            <v>3518</v>
          </cell>
          <cell r="I1184" t="str">
            <v>RECYHAUL12</v>
          </cell>
          <cell r="J1184" t="str">
            <v>RECYCLE 12 YD HAUL</v>
          </cell>
          <cell r="K1184">
            <v>175</v>
          </cell>
          <cell r="L1184">
            <v>175</v>
          </cell>
        </row>
        <row r="1185">
          <cell r="A1185" t="str">
            <v>DMRROLL OFFRECYHAUL15</v>
          </cell>
          <cell r="B1185" t="str">
            <v>ONCALL</v>
          </cell>
          <cell r="C1185" t="str">
            <v>2111</v>
          </cell>
          <cell r="D1185" t="str">
            <v>ROLL OFF</v>
          </cell>
          <cell r="E1185" t="b">
            <v>1</v>
          </cell>
          <cell r="F1185" t="b">
            <v>0</v>
          </cell>
          <cell r="G1185" t="str">
            <v>DMR</v>
          </cell>
          <cell r="H1185">
            <v>3519</v>
          </cell>
          <cell r="I1185" t="str">
            <v>RECYHAUL15</v>
          </cell>
          <cell r="J1185" t="str">
            <v>RECYCLE 15 YD HAUL</v>
          </cell>
          <cell r="K1185">
            <v>175</v>
          </cell>
          <cell r="L1185">
            <v>175</v>
          </cell>
        </row>
        <row r="1186">
          <cell r="A1186" t="str">
            <v>DMRROLL OFFRECYHAUL20</v>
          </cell>
          <cell r="B1186" t="str">
            <v>ONCALL</v>
          </cell>
          <cell r="C1186" t="str">
            <v>2111</v>
          </cell>
          <cell r="D1186" t="str">
            <v>ROLL OFF</v>
          </cell>
          <cell r="E1186" t="b">
            <v>1</v>
          </cell>
          <cell r="F1186" t="b">
            <v>0</v>
          </cell>
          <cell r="G1186" t="str">
            <v>DMR</v>
          </cell>
          <cell r="H1186">
            <v>2750</v>
          </cell>
          <cell r="I1186" t="str">
            <v>RECYHAUL20</v>
          </cell>
          <cell r="J1186" t="str">
            <v>RECYCLE 20YD HAUL</v>
          </cell>
          <cell r="K1186">
            <v>175</v>
          </cell>
          <cell r="L1186">
            <v>175</v>
          </cell>
        </row>
        <row r="1187">
          <cell r="A1187" t="str">
            <v>DMRROLL OFFRECYHAUL25</v>
          </cell>
          <cell r="B1187" t="str">
            <v>ONCALL</v>
          </cell>
          <cell r="C1187" t="str">
            <v>2111</v>
          </cell>
          <cell r="D1187" t="str">
            <v>ROLL OFF</v>
          </cell>
          <cell r="E1187" t="b">
            <v>1</v>
          </cell>
          <cell r="F1187" t="b">
            <v>0</v>
          </cell>
          <cell r="G1187" t="str">
            <v>DMR</v>
          </cell>
          <cell r="H1187">
            <v>3055</v>
          </cell>
          <cell r="I1187" t="str">
            <v>RECYHAUL25</v>
          </cell>
          <cell r="J1187" t="str">
            <v>RECYCLE 25YD HAUL</v>
          </cell>
          <cell r="K1187">
            <v>175</v>
          </cell>
          <cell r="L1187">
            <v>175</v>
          </cell>
        </row>
        <row r="1188">
          <cell r="A1188" t="str">
            <v>DMRROLL OFFRECYHAUL30</v>
          </cell>
          <cell r="B1188" t="str">
            <v>ONCALL</v>
          </cell>
          <cell r="C1188" t="str">
            <v>2111</v>
          </cell>
          <cell r="D1188" t="str">
            <v>ROLL OFF</v>
          </cell>
          <cell r="E1188" t="b">
            <v>1</v>
          </cell>
          <cell r="F1188" t="b">
            <v>0</v>
          </cell>
          <cell r="G1188" t="str">
            <v>DMR</v>
          </cell>
          <cell r="H1188">
            <v>3154</v>
          </cell>
          <cell r="I1188" t="str">
            <v>RECYHAUL30</v>
          </cell>
          <cell r="J1188" t="str">
            <v>RECYCLE 30YD HAUL</v>
          </cell>
          <cell r="K1188">
            <v>175</v>
          </cell>
          <cell r="L1188">
            <v>175</v>
          </cell>
        </row>
        <row r="1189">
          <cell r="A1189" t="str">
            <v>DMRROLL OFFRECYHAUL40</v>
          </cell>
          <cell r="B1189" t="str">
            <v>ONCALL</v>
          </cell>
          <cell r="C1189" t="str">
            <v>2111</v>
          </cell>
          <cell r="D1189" t="str">
            <v>ROLL OFF</v>
          </cell>
          <cell r="E1189" t="b">
            <v>1</v>
          </cell>
          <cell r="F1189" t="b">
            <v>0</v>
          </cell>
          <cell r="G1189" t="str">
            <v>DMR</v>
          </cell>
          <cell r="H1189">
            <v>3139</v>
          </cell>
          <cell r="I1189" t="str">
            <v>RECYHAUL40</v>
          </cell>
          <cell r="J1189" t="str">
            <v>RECYCLE 40YD HAUL</v>
          </cell>
          <cell r="K1189">
            <v>175</v>
          </cell>
          <cell r="L1189">
            <v>175</v>
          </cell>
        </row>
        <row r="1190">
          <cell r="A1190" t="str">
            <v>DMRROLL OFFRECYHAUL50</v>
          </cell>
          <cell r="B1190" t="str">
            <v>ONCALL</v>
          </cell>
          <cell r="C1190" t="str">
            <v>2111</v>
          </cell>
          <cell r="D1190" t="str">
            <v>ROLL OFF</v>
          </cell>
          <cell r="E1190" t="b">
            <v>1</v>
          </cell>
          <cell r="F1190" t="b">
            <v>0</v>
          </cell>
          <cell r="G1190" t="str">
            <v>DMR</v>
          </cell>
          <cell r="H1190">
            <v>3428</v>
          </cell>
          <cell r="I1190" t="str">
            <v>RECYHAUL50</v>
          </cell>
          <cell r="J1190" t="str">
            <v>RECYCLE 50YD HAUL</v>
          </cell>
          <cell r="K1190">
            <v>175</v>
          </cell>
          <cell r="L1190">
            <v>175</v>
          </cell>
        </row>
        <row r="1191">
          <cell r="A1191" t="str">
            <v>DMRROLL OFFRECYHAULCOMP</v>
          </cell>
          <cell r="B1191" t="str">
            <v>ONCALL</v>
          </cell>
          <cell r="C1191" t="str">
            <v>2111</v>
          </cell>
          <cell r="D1191" t="str">
            <v>ROLL OFF</v>
          </cell>
          <cell r="E1191" t="b">
            <v>1</v>
          </cell>
          <cell r="F1191" t="b">
            <v>0</v>
          </cell>
          <cell r="G1191" t="str">
            <v>DMR</v>
          </cell>
          <cell r="H1191">
            <v>3429</v>
          </cell>
          <cell r="I1191" t="str">
            <v>RECYHAULCOMP</v>
          </cell>
          <cell r="J1191" t="str">
            <v>RECYCLE COMPACTOR HAUL</v>
          </cell>
          <cell r="K1191">
            <v>175</v>
          </cell>
          <cell r="L1191">
            <v>175</v>
          </cell>
        </row>
        <row r="1192">
          <cell r="A1192" t="str">
            <v>M-EDGEWOODRESIDENTIALrecyonly</v>
          </cell>
          <cell r="B1192" t="str">
            <v>BI-MONTHLY SPLIT ODD</v>
          </cell>
          <cell r="C1192" t="str">
            <v>2111</v>
          </cell>
          <cell r="D1192" t="str">
            <v>RESIDENTIAL</v>
          </cell>
          <cell r="E1192" t="b">
            <v>0</v>
          </cell>
          <cell r="F1192" t="b">
            <v>0</v>
          </cell>
          <cell r="G1192" t="str">
            <v>M-EDGEWOOD</v>
          </cell>
          <cell r="H1192">
            <v>3134</v>
          </cell>
          <cell r="I1192" t="str">
            <v>recyonly</v>
          </cell>
          <cell r="J1192" t="str">
            <v>RECYCLE SERVICE ONLY</v>
          </cell>
          <cell r="K1192">
            <v>22.24</v>
          </cell>
          <cell r="L1192">
            <v>11.12</v>
          </cell>
        </row>
        <row r="1193">
          <cell r="A1193" t="str">
            <v>M-FIFERESIDENTIALrecyonly</v>
          </cell>
          <cell r="B1193" t="str">
            <v>BI-MONTHLY SPLIT ODD</v>
          </cell>
          <cell r="C1193" t="str">
            <v>2111</v>
          </cell>
          <cell r="D1193" t="str">
            <v>RESIDENTIAL</v>
          </cell>
          <cell r="E1193" t="b">
            <v>0</v>
          </cell>
          <cell r="F1193" t="b">
            <v>0</v>
          </cell>
          <cell r="G1193" t="str">
            <v>M-FIFE</v>
          </cell>
          <cell r="H1193">
            <v>3134</v>
          </cell>
          <cell r="I1193" t="str">
            <v>recyonly</v>
          </cell>
          <cell r="J1193" t="str">
            <v>RECYCLE SERVICE ONLY</v>
          </cell>
          <cell r="K1193">
            <v>22.24</v>
          </cell>
          <cell r="L1193">
            <v>11.12</v>
          </cell>
        </row>
        <row r="1194">
          <cell r="A1194" t="str">
            <v>MURREYSRESIDENTIALrecyonly</v>
          </cell>
          <cell r="B1194" t="str">
            <v>BI-MONTHLY SPLIT ODD</v>
          </cell>
          <cell r="C1194" t="str">
            <v>2111</v>
          </cell>
          <cell r="D1194" t="str">
            <v>RESIDENTIAL</v>
          </cell>
          <cell r="E1194" t="b">
            <v>0</v>
          </cell>
          <cell r="F1194" t="b">
            <v>0</v>
          </cell>
          <cell r="G1194" t="str">
            <v>MURREYS</v>
          </cell>
          <cell r="H1194">
            <v>3134</v>
          </cell>
          <cell r="I1194" t="str">
            <v>recyonly</v>
          </cell>
          <cell r="J1194" t="str">
            <v>RECYCLE SERVICE ONLY</v>
          </cell>
          <cell r="K1194">
            <v>22.24</v>
          </cell>
          <cell r="L1194">
            <v>11.12</v>
          </cell>
        </row>
        <row r="1195">
          <cell r="A1195" t="str">
            <v>VASHONRESIDENTIALrecyonly</v>
          </cell>
          <cell r="B1195" t="str">
            <v>BI-MONTHLY SPLIT ODD</v>
          </cell>
          <cell r="C1195" t="str">
            <v>2111</v>
          </cell>
          <cell r="D1195" t="str">
            <v>RESIDENTIAL</v>
          </cell>
          <cell r="E1195" t="b">
            <v>0</v>
          </cell>
          <cell r="F1195" t="b">
            <v>0</v>
          </cell>
          <cell r="G1195" t="str">
            <v>VASHON</v>
          </cell>
          <cell r="H1195">
            <v>3134</v>
          </cell>
          <cell r="I1195" t="str">
            <v>recyonly</v>
          </cell>
          <cell r="J1195" t="str">
            <v>RECYCLE SERVICE ONLY</v>
          </cell>
          <cell r="K1195">
            <v>32.14</v>
          </cell>
          <cell r="L1195">
            <v>16.07</v>
          </cell>
        </row>
        <row r="1196">
          <cell r="A1196" t="str">
            <v>BONNEY LAKERESIDENTIALRECYR</v>
          </cell>
          <cell r="B1196" t="str">
            <v>BI-MONTHLY SPLIT ODD</v>
          </cell>
          <cell r="C1196" t="str">
            <v>2111</v>
          </cell>
          <cell r="D1196" t="str">
            <v>RESIDENTIAL</v>
          </cell>
          <cell r="E1196" t="b">
            <v>0</v>
          </cell>
          <cell r="F1196" t="b">
            <v>0</v>
          </cell>
          <cell r="G1196" t="str">
            <v>BONNEY LAKE</v>
          </cell>
          <cell r="H1196">
            <v>3137</v>
          </cell>
          <cell r="I1196" t="str">
            <v>RECYR</v>
          </cell>
          <cell r="J1196" t="str">
            <v>RECYCLE PROGRAM</v>
          </cell>
          <cell r="K1196">
            <v>15.5</v>
          </cell>
          <cell r="L1196">
            <v>7.75</v>
          </cell>
        </row>
        <row r="1197">
          <cell r="A1197" t="str">
            <v>BUCKLEYRESIDENTIALRECYR</v>
          </cell>
          <cell r="B1197" t="str">
            <v>BI-MONTHLY SPLIT ODD</v>
          </cell>
          <cell r="C1197" t="str">
            <v>2111</v>
          </cell>
          <cell r="D1197" t="str">
            <v>RESIDENTIAL</v>
          </cell>
          <cell r="E1197" t="b">
            <v>0</v>
          </cell>
          <cell r="F1197" t="b">
            <v>0</v>
          </cell>
          <cell r="G1197" t="str">
            <v>BUCKLEY</v>
          </cell>
          <cell r="H1197">
            <v>3137</v>
          </cell>
          <cell r="I1197" t="str">
            <v>RECYR</v>
          </cell>
          <cell r="J1197" t="str">
            <v>RECYCLE PROGRAM</v>
          </cell>
          <cell r="K1197">
            <v>15</v>
          </cell>
          <cell r="L1197">
            <v>7.5</v>
          </cell>
        </row>
        <row r="1198">
          <cell r="A1198" t="str">
            <v>CARBONADORESIDENTIALRECYR</v>
          </cell>
          <cell r="B1198" t="str">
            <v>BI-MONTHLY SPLIT ODD</v>
          </cell>
          <cell r="C1198" t="str">
            <v>2111</v>
          </cell>
          <cell r="D1198" t="str">
            <v>RESIDENTIAL</v>
          </cell>
          <cell r="E1198" t="b">
            <v>0</v>
          </cell>
          <cell r="F1198" t="b">
            <v>0</v>
          </cell>
          <cell r="G1198" t="str">
            <v>CARBONADO</v>
          </cell>
          <cell r="H1198">
            <v>3137</v>
          </cell>
          <cell r="I1198" t="str">
            <v>RECYR</v>
          </cell>
          <cell r="J1198" t="str">
            <v>RECYCLE PROGRAM</v>
          </cell>
          <cell r="K1198">
            <v>10.09</v>
          </cell>
          <cell r="L1198">
            <v>5.0449999999999999</v>
          </cell>
        </row>
        <row r="1199">
          <cell r="A1199" t="str">
            <v>M-EDGEWOODRESIDENTIALRECYR</v>
          </cell>
          <cell r="B1199" t="str">
            <v>BI-MONTHLY SPLIT ODD</v>
          </cell>
          <cell r="C1199" t="str">
            <v>2111</v>
          </cell>
          <cell r="D1199" t="str">
            <v>RESIDENTIAL</v>
          </cell>
          <cell r="E1199" t="b">
            <v>0</v>
          </cell>
          <cell r="F1199" t="b">
            <v>0</v>
          </cell>
          <cell r="G1199" t="str">
            <v>M-EDGEWOOD</v>
          </cell>
          <cell r="H1199">
            <v>3137</v>
          </cell>
          <cell r="I1199" t="str">
            <v>RECYR</v>
          </cell>
          <cell r="J1199" t="str">
            <v>RECYCLE PROGRAM</v>
          </cell>
          <cell r="K1199">
            <v>14.82</v>
          </cell>
          <cell r="L1199">
            <v>7.41</v>
          </cell>
        </row>
        <row r="1200">
          <cell r="A1200" t="str">
            <v>M-FIFERESIDENTIALRECYR</v>
          </cell>
          <cell r="B1200" t="str">
            <v>BI-MONTHLY SPLIT ODD</v>
          </cell>
          <cell r="C1200" t="str">
            <v>2111</v>
          </cell>
          <cell r="D1200" t="str">
            <v>RESIDENTIAL</v>
          </cell>
          <cell r="E1200" t="b">
            <v>0</v>
          </cell>
          <cell r="F1200" t="b">
            <v>0</v>
          </cell>
          <cell r="G1200" t="str">
            <v>M-FIFE</v>
          </cell>
          <cell r="H1200">
            <v>3137</v>
          </cell>
          <cell r="I1200" t="str">
            <v>RECYR</v>
          </cell>
          <cell r="J1200" t="str">
            <v>RECYCLE PROGRAM</v>
          </cell>
          <cell r="K1200">
            <v>14.82</v>
          </cell>
          <cell r="L1200">
            <v>7.41</v>
          </cell>
        </row>
        <row r="1201">
          <cell r="A1201" t="str">
            <v>MILTONRESIDENTIALRECYR</v>
          </cell>
          <cell r="B1201" t="str">
            <v>BI-MONTHLY SPLIT ODD</v>
          </cell>
          <cell r="C1201" t="str">
            <v>2111</v>
          </cell>
          <cell r="D1201" t="str">
            <v>RESIDENTIAL</v>
          </cell>
          <cell r="E1201" t="b">
            <v>0</v>
          </cell>
          <cell r="F1201" t="b">
            <v>0</v>
          </cell>
          <cell r="G1201" t="str">
            <v>MILTON</v>
          </cell>
          <cell r="H1201">
            <v>3137</v>
          </cell>
          <cell r="I1201" t="str">
            <v>RECYR</v>
          </cell>
          <cell r="J1201" t="str">
            <v>RECYCLE PROGRAM</v>
          </cell>
          <cell r="K1201">
            <v>16.32</v>
          </cell>
          <cell r="L1201">
            <v>8.16</v>
          </cell>
        </row>
        <row r="1202">
          <cell r="A1202" t="str">
            <v>MURREYSRESIDENTIALRECYR</v>
          </cell>
          <cell r="B1202" t="str">
            <v>BI-MONTHLY SPLIT ODD</v>
          </cell>
          <cell r="C1202" t="str">
            <v>2111</v>
          </cell>
          <cell r="D1202" t="str">
            <v>RESIDENTIAL</v>
          </cell>
          <cell r="E1202" t="b">
            <v>0</v>
          </cell>
          <cell r="F1202" t="b">
            <v>0</v>
          </cell>
          <cell r="G1202" t="str">
            <v>MURREYS</v>
          </cell>
          <cell r="H1202">
            <v>3137</v>
          </cell>
          <cell r="I1202" t="str">
            <v>RECYR</v>
          </cell>
          <cell r="J1202" t="str">
            <v>RECYCLE PROGRAM</v>
          </cell>
          <cell r="K1202">
            <v>14.82</v>
          </cell>
          <cell r="L1202">
            <v>7.41</v>
          </cell>
        </row>
        <row r="1203">
          <cell r="A1203" t="str">
            <v>ORTINGRESIDENTIALRECYR</v>
          </cell>
          <cell r="B1203" t="str">
            <v>BI-MONTHLY SPLIT ODD</v>
          </cell>
          <cell r="C1203" t="str">
            <v>2111</v>
          </cell>
          <cell r="D1203" t="str">
            <v>RESIDENTIAL</v>
          </cell>
          <cell r="E1203" t="b">
            <v>0</v>
          </cell>
          <cell r="F1203" t="b">
            <v>0</v>
          </cell>
          <cell r="G1203" t="str">
            <v>ORTING</v>
          </cell>
          <cell r="H1203">
            <v>3137</v>
          </cell>
          <cell r="I1203" t="str">
            <v>RECYR</v>
          </cell>
          <cell r="J1203" t="str">
            <v>RECYCLE PROGRAM</v>
          </cell>
          <cell r="K1203">
            <v>14.56</v>
          </cell>
          <cell r="L1203">
            <v>7.28</v>
          </cell>
        </row>
        <row r="1204">
          <cell r="A1204" t="str">
            <v>PUYALLUPRESIDENTIALRECYR</v>
          </cell>
          <cell r="B1204" t="str">
            <v>BI-MONTHLY SPLIT ODD</v>
          </cell>
          <cell r="C1204" t="str">
            <v>2111</v>
          </cell>
          <cell r="D1204" t="str">
            <v>RESIDENTIAL</v>
          </cell>
          <cell r="E1204" t="b">
            <v>0</v>
          </cell>
          <cell r="F1204" t="b">
            <v>0</v>
          </cell>
          <cell r="G1204" t="str">
            <v>PUYALLUP</v>
          </cell>
          <cell r="H1204">
            <v>3137</v>
          </cell>
          <cell r="I1204" t="str">
            <v>RECYR</v>
          </cell>
          <cell r="J1204" t="str">
            <v>RECYCLE PROGRAM</v>
          </cell>
          <cell r="K1204">
            <v>14.82</v>
          </cell>
          <cell r="L1204">
            <v>7.41</v>
          </cell>
        </row>
        <row r="1205">
          <cell r="A1205" t="str">
            <v>SOUTH PRAIRIERESIDENTIALRECYR</v>
          </cell>
          <cell r="B1205" t="str">
            <v>BI-MONTHLY SPLIT ODD</v>
          </cell>
          <cell r="C1205" t="str">
            <v>2111</v>
          </cell>
          <cell r="D1205" t="str">
            <v>RESIDENTIAL</v>
          </cell>
          <cell r="E1205" t="b">
            <v>0</v>
          </cell>
          <cell r="F1205" t="b">
            <v>0</v>
          </cell>
          <cell r="G1205" t="str">
            <v>SOUTH PRAIRIE</v>
          </cell>
          <cell r="H1205">
            <v>3137</v>
          </cell>
          <cell r="I1205" t="str">
            <v>RECYR</v>
          </cell>
          <cell r="J1205" t="str">
            <v>RECYCLE PROGRAM</v>
          </cell>
          <cell r="K1205">
            <v>14.76</v>
          </cell>
          <cell r="L1205">
            <v>7.38</v>
          </cell>
        </row>
        <row r="1206">
          <cell r="A1206" t="str">
            <v>SUMNERRESIDENTIALRECYR</v>
          </cell>
          <cell r="B1206" t="str">
            <v>BI-MONTHLY SPLIT ODD</v>
          </cell>
          <cell r="C1206" t="str">
            <v>2111</v>
          </cell>
          <cell r="D1206" t="str">
            <v>RESIDENTIAL</v>
          </cell>
          <cell r="E1206" t="b">
            <v>0</v>
          </cell>
          <cell r="F1206" t="b">
            <v>0</v>
          </cell>
          <cell r="G1206" t="str">
            <v>SUMNER</v>
          </cell>
          <cell r="H1206">
            <v>3137</v>
          </cell>
          <cell r="I1206" t="str">
            <v>RECYR</v>
          </cell>
          <cell r="J1206" t="str">
            <v>RECYCLE PROGRAM</v>
          </cell>
          <cell r="K1206">
            <v>14.86</v>
          </cell>
          <cell r="L1206">
            <v>7.43</v>
          </cell>
        </row>
        <row r="1207">
          <cell r="A1207" t="str">
            <v>VASHONRESIDENTIALRECYR</v>
          </cell>
          <cell r="B1207" t="str">
            <v>BI-MONTHLY SPLIT ODD</v>
          </cell>
          <cell r="C1207" t="str">
            <v>2111</v>
          </cell>
          <cell r="D1207" t="str">
            <v>RESIDENTIAL</v>
          </cell>
          <cell r="E1207" t="b">
            <v>0</v>
          </cell>
          <cell r="F1207" t="b">
            <v>0</v>
          </cell>
          <cell r="G1207" t="str">
            <v>VASHON</v>
          </cell>
          <cell r="H1207">
            <v>3137</v>
          </cell>
          <cell r="I1207" t="str">
            <v>RECYR</v>
          </cell>
          <cell r="J1207" t="str">
            <v>RECYCLE PROGRAM</v>
          </cell>
          <cell r="K1207">
            <v>29.14</v>
          </cell>
          <cell r="L1207">
            <v>14.57</v>
          </cell>
        </row>
        <row r="1208">
          <cell r="A1208" t="str">
            <v>RUSTONRESIDENTIALRECYR65</v>
          </cell>
          <cell r="B1208" t="e">
            <v>#N/A</v>
          </cell>
          <cell r="C1208" t="str">
            <v>2111</v>
          </cell>
          <cell r="D1208" t="str">
            <v>RESIDENTIAL</v>
          </cell>
          <cell r="E1208" t="b">
            <v>0</v>
          </cell>
          <cell r="F1208" t="b">
            <v>0</v>
          </cell>
          <cell r="G1208" t="str">
            <v>RUSTON</v>
          </cell>
          <cell r="H1208">
            <v>3582</v>
          </cell>
          <cell r="I1208" t="str">
            <v>RECYR65</v>
          </cell>
          <cell r="J1208" t="str">
            <v>65 GAL WKLY RECY PROGRAM</v>
          </cell>
          <cell r="K1208">
            <v>15.08</v>
          </cell>
          <cell r="L1208">
            <v>15.08</v>
          </cell>
        </row>
        <row r="1209">
          <cell r="A1209" t="str">
            <v>DMRROLL OFFRECYRENT10</v>
          </cell>
          <cell r="B1209" t="str">
            <v>MONTHLY ARREARS</v>
          </cell>
          <cell r="C1209" t="str">
            <v>2111</v>
          </cell>
          <cell r="D1209" t="str">
            <v>ROLL OFF</v>
          </cell>
          <cell r="E1209" t="b">
            <v>0</v>
          </cell>
          <cell r="F1209" t="b">
            <v>0</v>
          </cell>
          <cell r="G1209" t="str">
            <v>DMR</v>
          </cell>
          <cell r="H1209">
            <v>3520</v>
          </cell>
          <cell r="I1209" t="str">
            <v>RECYRENT10</v>
          </cell>
          <cell r="J1209" t="str">
            <v>RECYCLE 10 YD BOX RENT</v>
          </cell>
          <cell r="K1209">
            <v>151</v>
          </cell>
          <cell r="L1209">
            <v>151</v>
          </cell>
        </row>
        <row r="1210">
          <cell r="A1210" t="str">
            <v>DMRROLL OFFRECYRENT12</v>
          </cell>
          <cell r="B1210" t="str">
            <v>MONTHLY ARREARS</v>
          </cell>
          <cell r="C1210" t="str">
            <v>2111</v>
          </cell>
          <cell r="D1210" t="str">
            <v>ROLL OFF</v>
          </cell>
          <cell r="E1210" t="b">
            <v>0</v>
          </cell>
          <cell r="F1210" t="b">
            <v>0</v>
          </cell>
          <cell r="G1210" t="str">
            <v>DMR</v>
          </cell>
          <cell r="H1210">
            <v>3521</v>
          </cell>
          <cell r="I1210" t="str">
            <v>RECYRENT12</v>
          </cell>
          <cell r="J1210" t="str">
            <v>RECYCLE 12 YD BOX RENT</v>
          </cell>
          <cell r="K1210">
            <v>151</v>
          </cell>
          <cell r="L1210">
            <v>151</v>
          </cell>
        </row>
        <row r="1211">
          <cell r="A1211" t="str">
            <v>DMRROLL OFFRECYRENT15</v>
          </cell>
          <cell r="B1211" t="str">
            <v>MONTHLY ARREARS</v>
          </cell>
          <cell r="C1211" t="str">
            <v>2111</v>
          </cell>
          <cell r="D1211" t="str">
            <v>ROLL OFF</v>
          </cell>
          <cell r="E1211" t="b">
            <v>0</v>
          </cell>
          <cell r="F1211" t="b">
            <v>0</v>
          </cell>
          <cell r="G1211" t="str">
            <v>DMR</v>
          </cell>
          <cell r="H1211">
            <v>3522</v>
          </cell>
          <cell r="I1211" t="str">
            <v>RECYRENT15</v>
          </cell>
          <cell r="J1211" t="str">
            <v>RECYCLE 15 YD BOX RENT</v>
          </cell>
          <cell r="K1211">
            <v>151</v>
          </cell>
          <cell r="L1211">
            <v>151</v>
          </cell>
        </row>
        <row r="1212">
          <cell r="A1212" t="str">
            <v>DMRROLL OFFRECYRENT20</v>
          </cell>
          <cell r="B1212" t="str">
            <v>MONTHLY ARREARS</v>
          </cell>
          <cell r="C1212" t="str">
            <v>2111</v>
          </cell>
          <cell r="D1212" t="str">
            <v>ROLL OFF</v>
          </cell>
          <cell r="E1212" t="b">
            <v>0</v>
          </cell>
          <cell r="F1212" t="b">
            <v>0</v>
          </cell>
          <cell r="G1212" t="str">
            <v>DMR</v>
          </cell>
          <cell r="H1212">
            <v>2403</v>
          </cell>
          <cell r="I1212" t="str">
            <v>RECYRENT20</v>
          </cell>
          <cell r="J1212" t="str">
            <v>RECYCLE 20YD BOX RENT</v>
          </cell>
          <cell r="K1212">
            <v>151</v>
          </cell>
          <cell r="L1212">
            <v>151</v>
          </cell>
        </row>
        <row r="1213">
          <cell r="A1213" t="str">
            <v>DMRROLL OFFRECYRENT25</v>
          </cell>
          <cell r="B1213" t="str">
            <v>MONTHLY ARREARS</v>
          </cell>
          <cell r="C1213" t="str">
            <v>2111</v>
          </cell>
          <cell r="D1213" t="str">
            <v>ROLL OFF</v>
          </cell>
          <cell r="E1213" t="b">
            <v>0</v>
          </cell>
          <cell r="F1213" t="b">
            <v>0</v>
          </cell>
          <cell r="G1213" t="str">
            <v>DMR</v>
          </cell>
          <cell r="H1213">
            <v>2503</v>
          </cell>
          <cell r="I1213" t="str">
            <v>RECYRENT25</v>
          </cell>
          <cell r="J1213" t="str">
            <v>RECYCLE 25YD BOX RENT</v>
          </cell>
          <cell r="K1213">
            <v>151</v>
          </cell>
          <cell r="L1213">
            <v>151</v>
          </cell>
        </row>
        <row r="1214">
          <cell r="A1214" t="str">
            <v>DMRROLL OFFRECYRENT30</v>
          </cell>
          <cell r="B1214" t="str">
            <v>MONTHLY ARREARS</v>
          </cell>
          <cell r="C1214" t="str">
            <v>2111</v>
          </cell>
          <cell r="D1214" t="str">
            <v>ROLL OFF</v>
          </cell>
          <cell r="E1214" t="b">
            <v>0</v>
          </cell>
          <cell r="F1214" t="b">
            <v>0</v>
          </cell>
          <cell r="G1214" t="str">
            <v>DMR</v>
          </cell>
          <cell r="H1214">
            <v>2410</v>
          </cell>
          <cell r="I1214" t="str">
            <v>RECYRENT30</v>
          </cell>
          <cell r="J1214" t="str">
            <v>RECYCLE 30YD BOX RENT</v>
          </cell>
          <cell r="K1214">
            <v>151</v>
          </cell>
          <cell r="L1214">
            <v>151</v>
          </cell>
        </row>
        <row r="1215">
          <cell r="A1215" t="str">
            <v>DMRROLL OFFRECYRENT40</v>
          </cell>
          <cell r="B1215" t="str">
            <v>MONTHLY ARREARS</v>
          </cell>
          <cell r="C1215" t="str">
            <v>2111</v>
          </cell>
          <cell r="D1215" t="str">
            <v>ROLL OFF</v>
          </cell>
          <cell r="E1215" t="b">
            <v>0</v>
          </cell>
          <cell r="F1215" t="b">
            <v>0</v>
          </cell>
          <cell r="G1215" t="str">
            <v>DMR</v>
          </cell>
          <cell r="H1215">
            <v>2411</v>
          </cell>
          <cell r="I1215" t="str">
            <v>RECYRENT40</v>
          </cell>
          <cell r="J1215" t="str">
            <v>RECYCLE 40YD BOX RENT</v>
          </cell>
          <cell r="K1215">
            <v>151</v>
          </cell>
          <cell r="L1215">
            <v>151</v>
          </cell>
        </row>
        <row r="1216">
          <cell r="A1216" t="str">
            <v>DMRROLL OFFRECYRENT50</v>
          </cell>
          <cell r="B1216" t="str">
            <v>MONTHLY ARREARS</v>
          </cell>
          <cell r="C1216" t="str">
            <v>2111</v>
          </cell>
          <cell r="D1216" t="str">
            <v>ROLL OFF</v>
          </cell>
          <cell r="E1216" t="b">
            <v>0</v>
          </cell>
          <cell r="F1216" t="b">
            <v>0</v>
          </cell>
          <cell r="G1216" t="str">
            <v>DMR</v>
          </cell>
          <cell r="H1216">
            <v>3283</v>
          </cell>
          <cell r="I1216" t="str">
            <v>RECYRENT50</v>
          </cell>
          <cell r="J1216" t="str">
            <v>RECYCLE 50YD BOX RENT</v>
          </cell>
          <cell r="K1216">
            <v>151</v>
          </cell>
          <cell r="L1216">
            <v>151</v>
          </cell>
        </row>
        <row r="1217">
          <cell r="A1217" t="str">
            <v>M-EDGEWOODRESIDENTIALRECYRNB</v>
          </cell>
          <cell r="B1217" t="str">
            <v>BI-MONTHLY SPLIT ODD</v>
          </cell>
          <cell r="C1217" t="str">
            <v>2111</v>
          </cell>
          <cell r="D1217" t="str">
            <v>RESIDENTIAL</v>
          </cell>
          <cell r="E1217" t="b">
            <v>0</v>
          </cell>
          <cell r="F1217" t="b">
            <v>0</v>
          </cell>
          <cell r="G1217" t="str">
            <v>M-EDGEWOOD</v>
          </cell>
          <cell r="H1217">
            <v>3197</v>
          </cell>
          <cell r="I1217" t="str">
            <v>RECYRNB</v>
          </cell>
          <cell r="J1217" t="str">
            <v>RECY PROGRAM-NO CART</v>
          </cell>
          <cell r="K1217">
            <v>14.82</v>
          </cell>
          <cell r="L1217">
            <v>7.41</v>
          </cell>
        </row>
        <row r="1218">
          <cell r="A1218" t="str">
            <v>M-FIFERESIDENTIALRECYRNB</v>
          </cell>
          <cell r="B1218" t="str">
            <v>BI-MONTHLY SPLIT ODD</v>
          </cell>
          <cell r="C1218" t="str">
            <v>2111</v>
          </cell>
          <cell r="D1218" t="str">
            <v>RESIDENTIAL</v>
          </cell>
          <cell r="E1218" t="b">
            <v>0</v>
          </cell>
          <cell r="F1218" t="b">
            <v>0</v>
          </cell>
          <cell r="G1218" t="str">
            <v>M-FIFE</v>
          </cell>
          <cell r="H1218">
            <v>3197</v>
          </cell>
          <cell r="I1218" t="str">
            <v>RECYRNB</v>
          </cell>
          <cell r="J1218" t="str">
            <v>RECY PROGRAM-NO CART</v>
          </cell>
          <cell r="K1218">
            <v>14.82</v>
          </cell>
          <cell r="L1218">
            <v>7.41</v>
          </cell>
        </row>
        <row r="1219">
          <cell r="A1219" t="str">
            <v>MURREYSRESIDENTIALRECYRNB</v>
          </cell>
          <cell r="B1219" t="str">
            <v>BI-MONTHLY SPLIT ODD</v>
          </cell>
          <cell r="C1219" t="str">
            <v>2111</v>
          </cell>
          <cell r="D1219" t="str">
            <v>RESIDENTIAL</v>
          </cell>
          <cell r="E1219" t="b">
            <v>0</v>
          </cell>
          <cell r="F1219" t="b">
            <v>0</v>
          </cell>
          <cell r="G1219" t="str">
            <v>MURREYS</v>
          </cell>
          <cell r="H1219">
            <v>3197</v>
          </cell>
          <cell r="I1219" t="str">
            <v>RECYRNB</v>
          </cell>
          <cell r="J1219" t="str">
            <v>RECY PROGRAM-NO CART</v>
          </cell>
          <cell r="K1219">
            <v>14.82</v>
          </cell>
          <cell r="L1219">
            <v>7.41</v>
          </cell>
        </row>
        <row r="1220">
          <cell r="A1220" t="str">
            <v>DMRROLL OFFRECYWPROC20</v>
          </cell>
          <cell r="B1220" t="str">
            <v>ONCALL</v>
          </cell>
          <cell r="C1220" t="str">
            <v>2111</v>
          </cell>
          <cell r="D1220" t="str">
            <v>ROLL OFF</v>
          </cell>
          <cell r="E1220" t="b">
            <v>1</v>
          </cell>
          <cell r="F1220" t="b">
            <v>0</v>
          </cell>
          <cell r="G1220" t="str">
            <v>DMR</v>
          </cell>
          <cell r="H1220">
            <v>3435</v>
          </cell>
          <cell r="I1220" t="str">
            <v>RECYWPROC20</v>
          </cell>
          <cell r="J1220" t="str">
            <v>RECY 20YD HAUL &amp; PROC</v>
          </cell>
          <cell r="K1220">
            <v>0</v>
          </cell>
          <cell r="L1220">
            <v>0</v>
          </cell>
        </row>
        <row r="1221">
          <cell r="A1221" t="str">
            <v>DMRROLL OFFRECYWPROC25</v>
          </cell>
          <cell r="B1221" t="str">
            <v>ONCALL</v>
          </cell>
          <cell r="C1221" t="str">
            <v>2111</v>
          </cell>
          <cell r="D1221" t="str">
            <v>ROLL OFF</v>
          </cell>
          <cell r="E1221" t="b">
            <v>1</v>
          </cell>
          <cell r="F1221" t="b">
            <v>0</v>
          </cell>
          <cell r="G1221" t="str">
            <v>DMR</v>
          </cell>
          <cell r="H1221">
            <v>3436</v>
          </cell>
          <cell r="I1221" t="str">
            <v>RECYWPROC25</v>
          </cell>
          <cell r="J1221" t="str">
            <v>RECY 25YD HAUL &amp; PROC</v>
          </cell>
          <cell r="K1221">
            <v>0</v>
          </cell>
          <cell r="L1221">
            <v>0</v>
          </cell>
        </row>
        <row r="1222">
          <cell r="A1222" t="str">
            <v>DMRROLL OFFRECYWPROC30</v>
          </cell>
          <cell r="B1222" t="str">
            <v>ONCALL</v>
          </cell>
          <cell r="C1222" t="str">
            <v>2111</v>
          </cell>
          <cell r="D1222" t="str">
            <v>ROLL OFF</v>
          </cell>
          <cell r="E1222" t="b">
            <v>1</v>
          </cell>
          <cell r="F1222" t="b">
            <v>0</v>
          </cell>
          <cell r="G1222" t="str">
            <v>DMR</v>
          </cell>
          <cell r="H1222">
            <v>3437</v>
          </cell>
          <cell r="I1222" t="str">
            <v>RECYWPROC30</v>
          </cell>
          <cell r="J1222" t="str">
            <v>RECY 30YD HAUL &amp; PROC</v>
          </cell>
          <cell r="K1222">
            <v>0</v>
          </cell>
          <cell r="L1222">
            <v>0</v>
          </cell>
        </row>
        <row r="1223">
          <cell r="A1223" t="str">
            <v>DMRROLL OFFRECYWPROC40</v>
          </cell>
          <cell r="B1223" t="str">
            <v>ONCALL</v>
          </cell>
          <cell r="C1223" t="str">
            <v>2111</v>
          </cell>
          <cell r="D1223" t="str">
            <v>ROLL OFF</v>
          </cell>
          <cell r="E1223" t="b">
            <v>1</v>
          </cell>
          <cell r="F1223" t="b">
            <v>0</v>
          </cell>
          <cell r="G1223" t="str">
            <v>DMR</v>
          </cell>
          <cell r="H1223">
            <v>3438</v>
          </cell>
          <cell r="I1223" t="str">
            <v>RECYWPROC40</v>
          </cell>
          <cell r="J1223" t="str">
            <v>RECY 40YD HAUL &amp; PROC</v>
          </cell>
          <cell r="K1223">
            <v>0</v>
          </cell>
          <cell r="L1223">
            <v>0</v>
          </cell>
        </row>
        <row r="1224">
          <cell r="A1224" t="str">
            <v>DMRROLL OFFRECYWPROC50</v>
          </cell>
          <cell r="B1224" t="str">
            <v>ONCALL</v>
          </cell>
          <cell r="C1224" t="str">
            <v>2111</v>
          </cell>
          <cell r="D1224" t="str">
            <v>ROLL OFF</v>
          </cell>
          <cell r="E1224" t="b">
            <v>1</v>
          </cell>
          <cell r="F1224" t="b">
            <v>0</v>
          </cell>
          <cell r="G1224" t="str">
            <v>DMR</v>
          </cell>
          <cell r="H1224">
            <v>3439</v>
          </cell>
          <cell r="I1224" t="str">
            <v>RECYWPROC50</v>
          </cell>
          <cell r="J1224" t="str">
            <v>RECY 50YD HAUL &amp; PROC</v>
          </cell>
          <cell r="K1224">
            <v>0</v>
          </cell>
          <cell r="L1224">
            <v>0</v>
          </cell>
        </row>
        <row r="1225">
          <cell r="A1225" t="str">
            <v>DMRROLL OFFRECYWPROCTRL</v>
          </cell>
          <cell r="B1225" t="str">
            <v>ONCALL</v>
          </cell>
          <cell r="C1225" t="str">
            <v>2111</v>
          </cell>
          <cell r="D1225" t="str">
            <v>ROLL OFF</v>
          </cell>
          <cell r="E1225" t="b">
            <v>1</v>
          </cell>
          <cell r="F1225" t="b">
            <v>0</v>
          </cell>
          <cell r="G1225" t="str">
            <v>DMR</v>
          </cell>
          <cell r="H1225">
            <v>3445</v>
          </cell>
          <cell r="I1225" t="str">
            <v>RECYWPROCTRL</v>
          </cell>
          <cell r="J1225" t="str">
            <v>CONT HAUL &amp; PROCESSING</v>
          </cell>
          <cell r="K1225">
            <v>175</v>
          </cell>
          <cell r="L1225">
            <v>175</v>
          </cell>
        </row>
        <row r="1226">
          <cell r="A1226" t="str">
            <v>DMRCOMMERCIALREDEL</v>
          </cell>
          <cell r="B1226" t="str">
            <v>ONCALL</v>
          </cell>
          <cell r="C1226" t="str">
            <v>2111</v>
          </cell>
          <cell r="D1226" t="str">
            <v>COMMERCIAL</v>
          </cell>
          <cell r="E1226" t="b">
            <v>1</v>
          </cell>
          <cell r="F1226" t="b">
            <v>0</v>
          </cell>
          <cell r="G1226" t="str">
            <v>DMR</v>
          </cell>
          <cell r="H1226">
            <v>3335</v>
          </cell>
          <cell r="I1226" t="str">
            <v>REDEL</v>
          </cell>
          <cell r="J1226" t="str">
            <v>RE-DELIVERY FEE</v>
          </cell>
          <cell r="K1226">
            <v>35</v>
          </cell>
          <cell r="L1226">
            <v>35</v>
          </cell>
        </row>
        <row r="1227">
          <cell r="A1227" t="str">
            <v>VASHONRESIDENTIALREDEL-RES</v>
          </cell>
          <cell r="B1227" t="str">
            <v>ONCALL</v>
          </cell>
          <cell r="C1227" t="str">
            <v>2111</v>
          </cell>
          <cell r="D1227" t="str">
            <v>RESIDENTIAL</v>
          </cell>
          <cell r="E1227" t="b">
            <v>1</v>
          </cell>
          <cell r="F1227" t="b">
            <v>0</v>
          </cell>
          <cell r="G1227" t="str">
            <v>VASHON</v>
          </cell>
          <cell r="H1227">
            <v>3452</v>
          </cell>
          <cell r="I1227" t="str">
            <v>REDEL-RES</v>
          </cell>
          <cell r="J1227" t="str">
            <v>REDELIVERY FEE - RESI</v>
          </cell>
          <cell r="K1227">
            <v>15.85</v>
          </cell>
          <cell r="L1227">
            <v>15.85</v>
          </cell>
        </row>
        <row r="1228">
          <cell r="A1228" t="str">
            <v>VASHONROLL OFFREDEL-RO</v>
          </cell>
          <cell r="B1228" t="str">
            <v>ONCALL</v>
          </cell>
          <cell r="C1228" t="str">
            <v>2111</v>
          </cell>
          <cell r="D1228" t="str">
            <v>ROLL OFF</v>
          </cell>
          <cell r="E1228" t="b">
            <v>1</v>
          </cell>
          <cell r="F1228" t="b">
            <v>0</v>
          </cell>
          <cell r="G1228" t="str">
            <v>VASHON</v>
          </cell>
          <cell r="H1228">
            <v>3454</v>
          </cell>
          <cell r="I1228" t="str">
            <v>REDEL-RO</v>
          </cell>
          <cell r="J1228" t="str">
            <v>REDELIVERY FEE - RO</v>
          </cell>
          <cell r="K1228">
            <v>52.32</v>
          </cell>
          <cell r="L1228">
            <v>52.32</v>
          </cell>
        </row>
        <row r="1229">
          <cell r="A1229" t="str">
            <v>VASHONCOMMERCIALREDELCONT-COMM</v>
          </cell>
          <cell r="B1229" t="str">
            <v>ONCALL</v>
          </cell>
          <cell r="C1229" t="str">
            <v>2111</v>
          </cell>
          <cell r="D1229" t="str">
            <v>COMMERCIAL</v>
          </cell>
          <cell r="E1229" t="b">
            <v>1</v>
          </cell>
          <cell r="F1229" t="b">
            <v>0</v>
          </cell>
          <cell r="G1229" t="str">
            <v>VASHON</v>
          </cell>
          <cell r="H1229">
            <v>3453</v>
          </cell>
          <cell r="I1229" t="str">
            <v>REDELCONT-COMM</v>
          </cell>
          <cell r="J1229" t="str">
            <v>REDELIVERY FEE CONT - COMM</v>
          </cell>
          <cell r="K1229">
            <v>41.75</v>
          </cell>
          <cell r="L1229">
            <v>41.75</v>
          </cell>
        </row>
        <row r="1230">
          <cell r="A1230" t="str">
            <v>BONNEY LAKERESIDENTIALRESTART FEE</v>
          </cell>
          <cell r="B1230" t="str">
            <v>ONCALL</v>
          </cell>
          <cell r="C1230" t="str">
            <v>2111</v>
          </cell>
          <cell r="D1230" t="str">
            <v>RESIDENTIAL</v>
          </cell>
          <cell r="E1230" t="b">
            <v>0</v>
          </cell>
          <cell r="F1230" t="b">
            <v>0</v>
          </cell>
          <cell r="G1230" t="str">
            <v>BONNEY LAKE</v>
          </cell>
          <cell r="H1230">
            <v>3337</v>
          </cell>
          <cell r="I1230" t="str">
            <v>RESTART FEE</v>
          </cell>
          <cell r="J1230" t="str">
            <v>RESTART FEE</v>
          </cell>
          <cell r="K1230">
            <v>25</v>
          </cell>
          <cell r="L1230">
            <v>25</v>
          </cell>
        </row>
        <row r="1231">
          <cell r="A1231" t="str">
            <v>BUCKLEYRESIDENTIALRESTART FEE</v>
          </cell>
          <cell r="B1231" t="str">
            <v>ONCALL</v>
          </cell>
          <cell r="C1231" t="str">
            <v>2111</v>
          </cell>
          <cell r="D1231" t="str">
            <v>RESIDENTIAL</v>
          </cell>
          <cell r="E1231" t="b">
            <v>0</v>
          </cell>
          <cell r="F1231" t="b">
            <v>0</v>
          </cell>
          <cell r="G1231" t="str">
            <v>BUCKLEY</v>
          </cell>
          <cell r="H1231">
            <v>3337</v>
          </cell>
          <cell r="I1231" t="str">
            <v>RESTART FEE</v>
          </cell>
          <cell r="J1231" t="str">
            <v>RESTART FEE</v>
          </cell>
          <cell r="K1231">
            <v>25</v>
          </cell>
          <cell r="L1231">
            <v>25</v>
          </cell>
        </row>
        <row r="1232">
          <cell r="A1232" t="str">
            <v>M-EDGEWOODRESIDENTIALRESTART FEE</v>
          </cell>
          <cell r="B1232" t="str">
            <v>ONCALL</v>
          </cell>
          <cell r="C1232" t="str">
            <v>2111</v>
          </cell>
          <cell r="D1232" t="str">
            <v>RESIDENTIAL</v>
          </cell>
          <cell r="E1232" t="b">
            <v>0</v>
          </cell>
          <cell r="F1232" t="b">
            <v>0</v>
          </cell>
          <cell r="G1232" t="str">
            <v>M-EDGEWOOD</v>
          </cell>
          <cell r="H1232">
            <v>3337</v>
          </cell>
          <cell r="I1232" t="str">
            <v>RESTART FEE</v>
          </cell>
          <cell r="J1232" t="str">
            <v>RESTART FEE</v>
          </cell>
          <cell r="K1232">
            <v>11.27</v>
          </cell>
          <cell r="L1232">
            <v>11.27</v>
          </cell>
        </row>
        <row r="1233">
          <cell r="A1233" t="str">
            <v>M-FIFERESIDENTIALRESTART FEE</v>
          </cell>
          <cell r="B1233" t="str">
            <v>ONCALL</v>
          </cell>
          <cell r="C1233" t="str">
            <v>2111</v>
          </cell>
          <cell r="D1233" t="str">
            <v>RESIDENTIAL</v>
          </cell>
          <cell r="E1233" t="b">
            <v>0</v>
          </cell>
          <cell r="F1233" t="b">
            <v>0</v>
          </cell>
          <cell r="G1233" t="str">
            <v>M-FIFE</v>
          </cell>
          <cell r="H1233">
            <v>3337</v>
          </cell>
          <cell r="I1233" t="str">
            <v>RESTART FEE</v>
          </cell>
          <cell r="J1233" t="str">
            <v>RESTART FEE</v>
          </cell>
          <cell r="K1233">
            <v>11.27</v>
          </cell>
          <cell r="L1233">
            <v>11.27</v>
          </cell>
        </row>
        <row r="1234">
          <cell r="A1234" t="str">
            <v>MILTONRESIDENTIALRESTART FEE</v>
          </cell>
          <cell r="B1234" t="str">
            <v>ONCALL</v>
          </cell>
          <cell r="C1234" t="str">
            <v>2111</v>
          </cell>
          <cell r="D1234" t="str">
            <v>RESIDENTIAL</v>
          </cell>
          <cell r="E1234" t="b">
            <v>0</v>
          </cell>
          <cell r="F1234" t="b">
            <v>0</v>
          </cell>
          <cell r="G1234" t="str">
            <v>MILTON</v>
          </cell>
          <cell r="H1234">
            <v>3337</v>
          </cell>
          <cell r="I1234" t="str">
            <v>RESTART FEE</v>
          </cell>
          <cell r="J1234" t="str">
            <v>RESTART FEE</v>
          </cell>
          <cell r="K1234">
            <v>27.71</v>
          </cell>
          <cell r="L1234">
            <v>27.71</v>
          </cell>
        </row>
        <row r="1235">
          <cell r="A1235" t="str">
            <v>MURREYSRESIDENTIALRESTART FEE</v>
          </cell>
          <cell r="B1235" t="str">
            <v>ONCALL</v>
          </cell>
          <cell r="C1235" t="str">
            <v>2111</v>
          </cell>
          <cell r="D1235" t="str">
            <v>RESIDENTIAL</v>
          </cell>
          <cell r="E1235" t="b">
            <v>0</v>
          </cell>
          <cell r="F1235" t="b">
            <v>0</v>
          </cell>
          <cell r="G1235" t="str">
            <v>MURREYS</v>
          </cell>
          <cell r="H1235">
            <v>3337</v>
          </cell>
          <cell r="I1235" t="str">
            <v>RESTART FEE</v>
          </cell>
          <cell r="J1235" t="str">
            <v>RESTART FEE</v>
          </cell>
          <cell r="K1235">
            <v>11.27</v>
          </cell>
          <cell r="L1235">
            <v>11.27</v>
          </cell>
        </row>
        <row r="1236">
          <cell r="A1236" t="str">
            <v>ORTINGRESIDENTIALRESTART FEE</v>
          </cell>
          <cell r="B1236" t="str">
            <v>ONCALL</v>
          </cell>
          <cell r="C1236" t="str">
            <v>2111</v>
          </cell>
          <cell r="D1236" t="str">
            <v>RESIDENTIAL</v>
          </cell>
          <cell r="E1236" t="b">
            <v>0</v>
          </cell>
          <cell r="F1236" t="b">
            <v>0</v>
          </cell>
          <cell r="G1236" t="str">
            <v>ORTING</v>
          </cell>
          <cell r="H1236">
            <v>3337</v>
          </cell>
          <cell r="I1236" t="str">
            <v>RESTART FEE</v>
          </cell>
          <cell r="J1236" t="str">
            <v>RESTART FEE</v>
          </cell>
          <cell r="K1236">
            <v>27.75</v>
          </cell>
          <cell r="L1236">
            <v>27.75</v>
          </cell>
        </row>
        <row r="1237">
          <cell r="A1237" t="str">
            <v>PUYALLUPRESIDENTIALRESTART FEE</v>
          </cell>
          <cell r="B1237" t="str">
            <v>ONCALL</v>
          </cell>
          <cell r="C1237" t="str">
            <v>2111</v>
          </cell>
          <cell r="D1237" t="str">
            <v>RESIDENTIAL</v>
          </cell>
          <cell r="E1237" t="b">
            <v>0</v>
          </cell>
          <cell r="F1237" t="b">
            <v>0</v>
          </cell>
          <cell r="G1237" t="str">
            <v>PUYALLUP</v>
          </cell>
          <cell r="H1237">
            <v>3337</v>
          </cell>
          <cell r="I1237" t="str">
            <v>RESTART FEE</v>
          </cell>
          <cell r="J1237" t="str">
            <v>RESTART FEE</v>
          </cell>
          <cell r="K1237">
            <v>26.6</v>
          </cell>
          <cell r="L1237">
            <v>26.6</v>
          </cell>
        </row>
        <row r="1238">
          <cell r="A1238" t="str">
            <v>RUSTONRESIDENTIALRESTART FEE</v>
          </cell>
          <cell r="B1238" t="str">
            <v>ONCALL</v>
          </cell>
          <cell r="C1238" t="str">
            <v>2111</v>
          </cell>
          <cell r="D1238" t="str">
            <v>RESIDENTIAL</v>
          </cell>
          <cell r="E1238" t="b">
            <v>0</v>
          </cell>
          <cell r="F1238" t="b">
            <v>0</v>
          </cell>
          <cell r="G1238" t="str">
            <v>RUSTON</v>
          </cell>
          <cell r="H1238">
            <v>3337</v>
          </cell>
          <cell r="I1238" t="str">
            <v>RESTART FEE</v>
          </cell>
          <cell r="J1238" t="str">
            <v>RESTART FEE</v>
          </cell>
          <cell r="K1238">
            <v>25</v>
          </cell>
          <cell r="L1238">
            <v>25</v>
          </cell>
        </row>
        <row r="1239">
          <cell r="A1239" t="str">
            <v>SOUTH PRAIRIERESIDENTIALRESTART FEE</v>
          </cell>
          <cell r="B1239" t="str">
            <v>ONCALL</v>
          </cell>
          <cell r="C1239" t="str">
            <v>2111</v>
          </cell>
          <cell r="D1239" t="str">
            <v>RESIDENTIAL</v>
          </cell>
          <cell r="E1239" t="b">
            <v>0</v>
          </cell>
          <cell r="F1239" t="b">
            <v>0</v>
          </cell>
          <cell r="G1239" t="str">
            <v>SOUTH PRAIRIE</v>
          </cell>
          <cell r="H1239">
            <v>3337</v>
          </cell>
          <cell r="I1239" t="str">
            <v>RESTART FEE</v>
          </cell>
          <cell r="J1239" t="str">
            <v>RESTART FEE</v>
          </cell>
          <cell r="K1239">
            <v>11.22</v>
          </cell>
          <cell r="L1239">
            <v>11.22</v>
          </cell>
        </row>
        <row r="1240">
          <cell r="A1240" t="str">
            <v>SUMNERRESIDENTIALRESTART FEE</v>
          </cell>
          <cell r="B1240" t="str">
            <v>ONCALL</v>
          </cell>
          <cell r="C1240" t="str">
            <v>2111</v>
          </cell>
          <cell r="D1240" t="str">
            <v>RESIDENTIAL</v>
          </cell>
          <cell r="E1240" t="b">
            <v>0</v>
          </cell>
          <cell r="F1240" t="b">
            <v>0</v>
          </cell>
          <cell r="G1240" t="str">
            <v>SUMNER</v>
          </cell>
          <cell r="H1240">
            <v>3337</v>
          </cell>
          <cell r="I1240" t="str">
            <v>RESTART FEE</v>
          </cell>
          <cell r="J1240" t="str">
            <v>RESTART FEE</v>
          </cell>
          <cell r="K1240">
            <v>25.48</v>
          </cell>
          <cell r="L1240">
            <v>25.48</v>
          </cell>
        </row>
        <row r="1241">
          <cell r="A1241" t="str">
            <v>VASHONRESIDENTIALRESTART FEE</v>
          </cell>
          <cell r="B1241" t="str">
            <v>ONCALL</v>
          </cell>
          <cell r="C1241" t="str">
            <v>2111</v>
          </cell>
          <cell r="D1241" t="str">
            <v>RESIDENTIAL</v>
          </cell>
          <cell r="E1241" t="b">
            <v>0</v>
          </cell>
          <cell r="F1241" t="b">
            <v>0</v>
          </cell>
          <cell r="G1241" t="str">
            <v>VASHON</v>
          </cell>
          <cell r="H1241">
            <v>3337</v>
          </cell>
          <cell r="I1241" t="str">
            <v>RESTART FEE</v>
          </cell>
          <cell r="J1241" t="str">
            <v>RESTART FEE</v>
          </cell>
          <cell r="K1241">
            <v>15.85</v>
          </cell>
          <cell r="L1241">
            <v>15.85</v>
          </cell>
        </row>
        <row r="1242">
          <cell r="A1242" t="str">
            <v>BONNEY LAKECOMMERCIALRESTART FEE-COM</v>
          </cell>
          <cell r="B1242" t="str">
            <v>ONCALL</v>
          </cell>
          <cell r="C1242" t="str">
            <v>2111</v>
          </cell>
          <cell r="D1242" t="str">
            <v>COMMERCIAL</v>
          </cell>
          <cell r="E1242" t="b">
            <v>0</v>
          </cell>
          <cell r="F1242" t="b">
            <v>0</v>
          </cell>
          <cell r="G1242" t="str">
            <v>BONNEY LAKE</v>
          </cell>
          <cell r="H1242">
            <v>3562</v>
          </cell>
          <cell r="I1242" t="str">
            <v>RESTART FEE-COM</v>
          </cell>
          <cell r="J1242" t="str">
            <v>RESTART FEE</v>
          </cell>
          <cell r="K1242">
            <v>25</v>
          </cell>
          <cell r="L1242">
            <v>25</v>
          </cell>
        </row>
        <row r="1243">
          <cell r="A1243" t="str">
            <v>BUCKLEYCOMMERCIALRESTART FEE-COM</v>
          </cell>
          <cell r="B1243" t="str">
            <v>ONCALL</v>
          </cell>
          <cell r="C1243" t="str">
            <v>2111</v>
          </cell>
          <cell r="D1243" t="str">
            <v>COMMERCIAL</v>
          </cell>
          <cell r="E1243" t="b">
            <v>0</v>
          </cell>
          <cell r="F1243" t="b">
            <v>0</v>
          </cell>
          <cell r="G1243" t="str">
            <v>BUCKLEY</v>
          </cell>
          <cell r="H1243">
            <v>3562</v>
          </cell>
          <cell r="I1243" t="str">
            <v>RESTART FEE-COM</v>
          </cell>
          <cell r="J1243" t="str">
            <v>RESTART FEE</v>
          </cell>
          <cell r="K1243">
            <v>25</v>
          </cell>
          <cell r="L1243">
            <v>25</v>
          </cell>
        </row>
        <row r="1244">
          <cell r="A1244" t="str">
            <v>M-EDGEWOODCOMMERCIALRESTART FEE-COM</v>
          </cell>
          <cell r="B1244" t="str">
            <v>ONCALL</v>
          </cell>
          <cell r="C1244" t="str">
            <v>2111</v>
          </cell>
          <cell r="D1244" t="str">
            <v>COMMERCIAL</v>
          </cell>
          <cell r="E1244" t="b">
            <v>0</v>
          </cell>
          <cell r="F1244" t="b">
            <v>0</v>
          </cell>
          <cell r="G1244" t="str">
            <v>M-EDGEWOOD</v>
          </cell>
          <cell r="H1244">
            <v>3562</v>
          </cell>
          <cell r="I1244" t="str">
            <v>RESTART FEE-COM</v>
          </cell>
          <cell r="J1244" t="str">
            <v>RESTART FEE</v>
          </cell>
          <cell r="K1244">
            <v>11.27</v>
          </cell>
          <cell r="L1244">
            <v>11.27</v>
          </cell>
        </row>
        <row r="1245">
          <cell r="A1245" t="str">
            <v>M-FIFECOMMERCIALRESTART FEE-COM</v>
          </cell>
          <cell r="B1245" t="str">
            <v>ONCALL</v>
          </cell>
          <cell r="C1245" t="str">
            <v>2111</v>
          </cell>
          <cell r="D1245" t="str">
            <v>COMMERCIAL</v>
          </cell>
          <cell r="E1245" t="b">
            <v>0</v>
          </cell>
          <cell r="F1245" t="b">
            <v>0</v>
          </cell>
          <cell r="G1245" t="str">
            <v>M-FIFE</v>
          </cell>
          <cell r="H1245">
            <v>3562</v>
          </cell>
          <cell r="I1245" t="str">
            <v>RESTART FEE-COM</v>
          </cell>
          <cell r="J1245" t="str">
            <v>RESTART FEE</v>
          </cell>
          <cell r="K1245">
            <v>11.27</v>
          </cell>
          <cell r="L1245">
            <v>11.27</v>
          </cell>
        </row>
        <row r="1246">
          <cell r="A1246" t="str">
            <v>MILTONCOMMERCIALRESTART FEE-COM</v>
          </cell>
          <cell r="B1246" t="str">
            <v>ONCALL</v>
          </cell>
          <cell r="C1246" t="str">
            <v>2111</v>
          </cell>
          <cell r="D1246" t="str">
            <v>COMMERCIAL</v>
          </cell>
          <cell r="E1246" t="b">
            <v>0</v>
          </cell>
          <cell r="F1246" t="b">
            <v>0</v>
          </cell>
          <cell r="G1246" t="str">
            <v>MILTON</v>
          </cell>
          <cell r="H1246">
            <v>3562</v>
          </cell>
          <cell r="I1246" t="str">
            <v>RESTART FEE-COM</v>
          </cell>
          <cell r="J1246" t="str">
            <v>RESTART FEE</v>
          </cell>
          <cell r="K1246">
            <v>27.71</v>
          </cell>
          <cell r="L1246">
            <v>27.71</v>
          </cell>
        </row>
        <row r="1247">
          <cell r="A1247" t="str">
            <v>MURREYSCOMMERCIALRESTART FEE-COM</v>
          </cell>
          <cell r="B1247" t="str">
            <v>ONCALL</v>
          </cell>
          <cell r="C1247" t="str">
            <v>2111</v>
          </cell>
          <cell r="D1247" t="str">
            <v>COMMERCIAL</v>
          </cell>
          <cell r="E1247" t="b">
            <v>0</v>
          </cell>
          <cell r="F1247" t="b">
            <v>0</v>
          </cell>
          <cell r="G1247" t="str">
            <v>MURREYS</v>
          </cell>
          <cell r="H1247">
            <v>3562</v>
          </cell>
          <cell r="I1247" t="str">
            <v>RESTART FEE-COM</v>
          </cell>
          <cell r="J1247" t="str">
            <v>RESTART FEE</v>
          </cell>
          <cell r="K1247">
            <v>11.27</v>
          </cell>
          <cell r="L1247">
            <v>11.27</v>
          </cell>
        </row>
        <row r="1248">
          <cell r="A1248" t="str">
            <v>ORTINGCOMMERCIALRESTART FEE-COM</v>
          </cell>
          <cell r="B1248" t="str">
            <v>ONCALL</v>
          </cell>
          <cell r="C1248" t="str">
            <v>2111</v>
          </cell>
          <cell r="D1248" t="str">
            <v>COMMERCIAL</v>
          </cell>
          <cell r="E1248" t="b">
            <v>0</v>
          </cell>
          <cell r="F1248" t="b">
            <v>0</v>
          </cell>
          <cell r="G1248" t="str">
            <v>ORTING</v>
          </cell>
          <cell r="H1248">
            <v>3562</v>
          </cell>
          <cell r="I1248" t="str">
            <v>RESTART FEE-COM</v>
          </cell>
          <cell r="J1248" t="str">
            <v>RESTART FEE</v>
          </cell>
          <cell r="K1248">
            <v>27.75</v>
          </cell>
          <cell r="L1248">
            <v>27.75</v>
          </cell>
        </row>
        <row r="1249">
          <cell r="A1249" t="str">
            <v>PUYALLUPCOMMERCIALRESTART FEE-COM</v>
          </cell>
          <cell r="B1249" t="str">
            <v>ONCALL</v>
          </cell>
          <cell r="C1249" t="str">
            <v>2111</v>
          </cell>
          <cell r="D1249" t="str">
            <v>COMMERCIAL</v>
          </cell>
          <cell r="E1249" t="b">
            <v>0</v>
          </cell>
          <cell r="F1249" t="b">
            <v>0</v>
          </cell>
          <cell r="G1249" t="str">
            <v>PUYALLUP</v>
          </cell>
          <cell r="H1249">
            <v>3562</v>
          </cell>
          <cell r="I1249" t="str">
            <v>RESTART FEE-COM</v>
          </cell>
          <cell r="J1249" t="str">
            <v>RESTART FEE</v>
          </cell>
          <cell r="K1249">
            <v>26.6</v>
          </cell>
          <cell r="L1249">
            <v>26.6</v>
          </cell>
        </row>
        <row r="1250">
          <cell r="A1250" t="str">
            <v>RUSTONCOMMERCIALRESTART FEE-COM</v>
          </cell>
          <cell r="B1250" t="str">
            <v>ONCALL</v>
          </cell>
          <cell r="C1250" t="str">
            <v>2111</v>
          </cell>
          <cell r="D1250" t="str">
            <v>COMMERCIAL</v>
          </cell>
          <cell r="E1250" t="b">
            <v>0</v>
          </cell>
          <cell r="F1250" t="b">
            <v>0</v>
          </cell>
          <cell r="G1250" t="str">
            <v>RUSTON</v>
          </cell>
          <cell r="H1250">
            <v>3562</v>
          </cell>
          <cell r="I1250" t="str">
            <v>RESTART FEE-COM</v>
          </cell>
          <cell r="J1250" t="str">
            <v>RESTART FEE</v>
          </cell>
          <cell r="K1250">
            <v>25</v>
          </cell>
          <cell r="L1250">
            <v>25</v>
          </cell>
        </row>
        <row r="1251">
          <cell r="A1251" t="str">
            <v>SOUTH PRAIRIECOMMERCIALRESTART FEE-COM</v>
          </cell>
          <cell r="B1251" t="str">
            <v>ONCALL</v>
          </cell>
          <cell r="C1251" t="str">
            <v>2111</v>
          </cell>
          <cell r="D1251" t="str">
            <v>COMMERCIAL</v>
          </cell>
          <cell r="E1251" t="b">
            <v>0</v>
          </cell>
          <cell r="F1251" t="b">
            <v>0</v>
          </cell>
          <cell r="G1251" t="str">
            <v>SOUTH PRAIRIE</v>
          </cell>
          <cell r="H1251">
            <v>3562</v>
          </cell>
          <cell r="I1251" t="str">
            <v>RESTART FEE-COM</v>
          </cell>
          <cell r="J1251" t="str">
            <v>RESTART FEE</v>
          </cell>
          <cell r="K1251">
            <v>11.22</v>
          </cell>
          <cell r="L1251">
            <v>11.22</v>
          </cell>
        </row>
        <row r="1252">
          <cell r="A1252" t="str">
            <v>SUMNERCOMMERCIALRESTART FEE-COM</v>
          </cell>
          <cell r="B1252" t="str">
            <v>ONCALL</v>
          </cell>
          <cell r="C1252" t="str">
            <v>2111</v>
          </cell>
          <cell r="D1252" t="str">
            <v>COMMERCIAL</v>
          </cell>
          <cell r="E1252" t="b">
            <v>0</v>
          </cell>
          <cell r="F1252" t="b">
            <v>0</v>
          </cell>
          <cell r="G1252" t="str">
            <v>SUMNER</v>
          </cell>
          <cell r="H1252">
            <v>3562</v>
          </cell>
          <cell r="I1252" t="str">
            <v>RESTART FEE-COM</v>
          </cell>
          <cell r="J1252" t="str">
            <v>RESTART FEE</v>
          </cell>
          <cell r="K1252">
            <v>25.48</v>
          </cell>
          <cell r="L1252">
            <v>25.48</v>
          </cell>
        </row>
        <row r="1253">
          <cell r="A1253" t="str">
            <v>VASHONCOMMERCIALRESTART FEE-COM</v>
          </cell>
          <cell r="B1253" t="str">
            <v>ONCALL</v>
          </cell>
          <cell r="C1253" t="str">
            <v>2111</v>
          </cell>
          <cell r="D1253" t="str">
            <v>COMMERCIAL</v>
          </cell>
          <cell r="E1253" t="b">
            <v>0</v>
          </cell>
          <cell r="F1253" t="b">
            <v>0</v>
          </cell>
          <cell r="G1253" t="str">
            <v>VASHON</v>
          </cell>
          <cell r="H1253">
            <v>3562</v>
          </cell>
          <cell r="I1253" t="str">
            <v>RESTART FEE-COM</v>
          </cell>
          <cell r="J1253" t="str">
            <v>RESTART FEE</v>
          </cell>
          <cell r="K1253">
            <v>15.85</v>
          </cell>
          <cell r="L1253">
            <v>15.85</v>
          </cell>
        </row>
        <row r="1254">
          <cell r="A1254" t="str">
            <v>M-EDGEWOODROLL OFFRESTART FEE-RO</v>
          </cell>
          <cell r="B1254" t="str">
            <v>ONCALL</v>
          </cell>
          <cell r="C1254" t="str">
            <v>2111</v>
          </cell>
          <cell r="D1254" t="str">
            <v>ROLL OFF</v>
          </cell>
          <cell r="E1254" t="b">
            <v>0</v>
          </cell>
          <cell r="F1254" t="b">
            <v>0</v>
          </cell>
          <cell r="G1254" t="str">
            <v>M-EDGEWOOD</v>
          </cell>
          <cell r="H1254">
            <v>3563</v>
          </cell>
          <cell r="I1254" t="str">
            <v>RESTART FEE-RO</v>
          </cell>
          <cell r="J1254" t="str">
            <v>RESTART FEE</v>
          </cell>
          <cell r="K1254">
            <v>11.27</v>
          </cell>
          <cell r="L1254">
            <v>11.27</v>
          </cell>
        </row>
        <row r="1255">
          <cell r="A1255" t="str">
            <v>M-FIFEROLL OFFRESTART FEE-RO</v>
          </cell>
          <cell r="B1255" t="str">
            <v>ONCALL</v>
          </cell>
          <cell r="C1255" t="str">
            <v>2111</v>
          </cell>
          <cell r="D1255" t="str">
            <v>ROLL OFF</v>
          </cell>
          <cell r="E1255" t="b">
            <v>0</v>
          </cell>
          <cell r="F1255" t="b">
            <v>0</v>
          </cell>
          <cell r="G1255" t="str">
            <v>M-FIFE</v>
          </cell>
          <cell r="H1255">
            <v>3563</v>
          </cell>
          <cell r="I1255" t="str">
            <v>RESTART FEE-RO</v>
          </cell>
          <cell r="J1255" t="str">
            <v>RESTART FEE</v>
          </cell>
          <cell r="K1255">
            <v>11.27</v>
          </cell>
          <cell r="L1255">
            <v>11.27</v>
          </cell>
        </row>
        <row r="1256">
          <cell r="A1256" t="str">
            <v>MURREYSROLL OFFRESTART FEE-RO</v>
          </cell>
          <cell r="B1256" t="str">
            <v>ONCALL</v>
          </cell>
          <cell r="C1256" t="str">
            <v>2111</v>
          </cell>
          <cell r="D1256" t="str">
            <v>ROLL OFF</v>
          </cell>
          <cell r="E1256" t="b">
            <v>0</v>
          </cell>
          <cell r="F1256" t="b">
            <v>0</v>
          </cell>
          <cell r="G1256" t="str">
            <v>MURREYS</v>
          </cell>
          <cell r="H1256">
            <v>3563</v>
          </cell>
          <cell r="I1256" t="str">
            <v>RESTART FEE-RO</v>
          </cell>
          <cell r="J1256" t="str">
            <v>RESTART FEE</v>
          </cell>
          <cell r="K1256">
            <v>11.27</v>
          </cell>
          <cell r="L1256">
            <v>11.27</v>
          </cell>
        </row>
        <row r="1257">
          <cell r="A1257" t="str">
            <v>PUYALLUPROLL OFFRESTART FEE-RO</v>
          </cell>
          <cell r="B1257" t="str">
            <v>ONCALL</v>
          </cell>
          <cell r="C1257" t="str">
            <v>2111</v>
          </cell>
          <cell r="D1257" t="str">
            <v>ROLL OFF</v>
          </cell>
          <cell r="E1257" t="b">
            <v>0</v>
          </cell>
          <cell r="F1257" t="b">
            <v>0</v>
          </cell>
          <cell r="G1257" t="str">
            <v>PUYALLUP</v>
          </cell>
          <cell r="H1257">
            <v>3563</v>
          </cell>
          <cell r="I1257" t="str">
            <v>RESTART FEE-RO</v>
          </cell>
          <cell r="J1257" t="str">
            <v>RESTART FEE</v>
          </cell>
          <cell r="K1257">
            <v>26.6</v>
          </cell>
          <cell r="L1257">
            <v>26.6</v>
          </cell>
        </row>
        <row r="1258">
          <cell r="A1258" t="str">
            <v>RUSTONROLL OFFRESTART FEE-RO</v>
          </cell>
          <cell r="B1258" t="str">
            <v>ONCALL</v>
          </cell>
          <cell r="C1258" t="str">
            <v>2111</v>
          </cell>
          <cell r="D1258" t="str">
            <v>ROLL OFF</v>
          </cell>
          <cell r="E1258" t="b">
            <v>0</v>
          </cell>
          <cell r="F1258" t="b">
            <v>0</v>
          </cell>
          <cell r="G1258" t="str">
            <v>RUSTON</v>
          </cell>
          <cell r="H1258">
            <v>3563</v>
          </cell>
          <cell r="I1258" t="str">
            <v>RESTART FEE-RO</v>
          </cell>
          <cell r="J1258" t="str">
            <v>RESTART FEE</v>
          </cell>
          <cell r="K1258">
            <v>25</v>
          </cell>
          <cell r="L1258">
            <v>25</v>
          </cell>
        </row>
        <row r="1259">
          <cell r="A1259" t="str">
            <v>VASHONROLL OFFRESTART FEE-RO</v>
          </cell>
          <cell r="B1259" t="str">
            <v>ONCALL</v>
          </cell>
          <cell r="C1259" t="str">
            <v>2111</v>
          </cell>
          <cell r="D1259" t="str">
            <v>ROLL OFF</v>
          </cell>
          <cell r="E1259" t="b">
            <v>0</v>
          </cell>
          <cell r="F1259" t="b">
            <v>0</v>
          </cell>
          <cell r="G1259" t="str">
            <v>VASHON</v>
          </cell>
          <cell r="H1259">
            <v>3563</v>
          </cell>
          <cell r="I1259" t="str">
            <v>RESTART FEE-RO</v>
          </cell>
          <cell r="J1259" t="str">
            <v>RESTART FEE</v>
          </cell>
          <cell r="K1259">
            <v>15.85</v>
          </cell>
          <cell r="L1259">
            <v>15.85</v>
          </cell>
        </row>
        <row r="1260">
          <cell r="A1260" t="str">
            <v>DMRCOMMERCIAL RECYCLERESTARTFEE-COMRECY</v>
          </cell>
          <cell r="B1260" t="e">
            <v>#N/A</v>
          </cell>
          <cell r="C1260" t="str">
            <v>2111</v>
          </cell>
          <cell r="D1260" t="str">
            <v>COMMERCIAL RECYCLE</v>
          </cell>
          <cell r="E1260" t="b">
            <v>0</v>
          </cell>
          <cell r="F1260" t="b">
            <v>0</v>
          </cell>
          <cell r="G1260" t="str">
            <v>DMR</v>
          </cell>
          <cell r="H1260">
            <v>3576</v>
          </cell>
          <cell r="I1260" t="str">
            <v>RESTARTFEE-COMRECY</v>
          </cell>
          <cell r="J1260" t="str">
            <v>RESTART FEE - COM RECY</v>
          </cell>
          <cell r="K1260">
            <v>41</v>
          </cell>
          <cell r="L1260">
            <v>41</v>
          </cell>
        </row>
        <row r="1261">
          <cell r="A1261" t="str">
            <v>DMR-BCOMMERCIAL RECYCLERESTARTFEE-COMRECY</v>
          </cell>
          <cell r="B1261" t="e">
            <v>#N/A</v>
          </cell>
          <cell r="C1261" t="str">
            <v>2111</v>
          </cell>
          <cell r="D1261" t="str">
            <v>COMMERCIAL RECYCLE</v>
          </cell>
          <cell r="E1261" t="b">
            <v>0</v>
          </cell>
          <cell r="F1261" t="b">
            <v>0</v>
          </cell>
          <cell r="G1261" t="str">
            <v>DMR-B</v>
          </cell>
          <cell r="H1261">
            <v>3576</v>
          </cell>
          <cell r="I1261" t="str">
            <v>RESTARTFEE-COMRECY</v>
          </cell>
          <cell r="J1261" t="str">
            <v>RESTART FEE - COM RECY</v>
          </cell>
          <cell r="K1261">
            <v>34.65</v>
          </cell>
          <cell r="L1261">
            <v>34.65</v>
          </cell>
        </row>
        <row r="1262">
          <cell r="A1262" t="str">
            <v>DMR-BLCOMMERCIAL RECYCLERESTARTFEE-COMRECY</v>
          </cell>
          <cell r="B1262" t="e">
            <v>#N/A</v>
          </cell>
          <cell r="C1262" t="str">
            <v>2111</v>
          </cell>
          <cell r="D1262" t="str">
            <v>COMMERCIAL RECYCLE</v>
          </cell>
          <cell r="E1262" t="b">
            <v>0</v>
          </cell>
          <cell r="F1262" t="b">
            <v>0</v>
          </cell>
          <cell r="G1262" t="str">
            <v>DMR-BL</v>
          </cell>
          <cell r="H1262">
            <v>3576</v>
          </cell>
          <cell r="I1262" t="str">
            <v>RESTARTFEE-COMRECY</v>
          </cell>
          <cell r="J1262" t="str">
            <v>RESTART FEE - COM RECY</v>
          </cell>
          <cell r="K1262">
            <v>25</v>
          </cell>
          <cell r="L1262">
            <v>25</v>
          </cell>
        </row>
        <row r="1263">
          <cell r="A1263" t="str">
            <v>DMR-CPCOMMERCIAL RECYCLERESTARTFEE-COMRECY</v>
          </cell>
          <cell r="B1263" t="e">
            <v>#N/A</v>
          </cell>
          <cell r="C1263" t="str">
            <v>2111</v>
          </cell>
          <cell r="D1263" t="str">
            <v>COMMERCIAL RECYCLE</v>
          </cell>
          <cell r="E1263" t="b">
            <v>0</v>
          </cell>
          <cell r="F1263" t="b">
            <v>0</v>
          </cell>
          <cell r="G1263" t="str">
            <v>DMR-CP</v>
          </cell>
          <cell r="H1263">
            <v>3576</v>
          </cell>
          <cell r="I1263" t="str">
            <v>RESTARTFEE-COMRECY</v>
          </cell>
          <cell r="J1263" t="str">
            <v>RESTART FEE - COM RECY</v>
          </cell>
          <cell r="K1263">
            <v>26.6</v>
          </cell>
          <cell r="L1263">
            <v>26.6</v>
          </cell>
        </row>
        <row r="1264">
          <cell r="A1264" t="str">
            <v>DMR-MILCOMMERCIAL RECYCLERESTARTFEE-COMRECY</v>
          </cell>
          <cell r="B1264" t="e">
            <v>#N/A</v>
          </cell>
          <cell r="C1264" t="str">
            <v>2111</v>
          </cell>
          <cell r="D1264" t="str">
            <v>COMMERCIAL RECYCLE</v>
          </cell>
          <cell r="E1264" t="b">
            <v>0</v>
          </cell>
          <cell r="F1264" t="b">
            <v>0</v>
          </cell>
          <cell r="G1264" t="str">
            <v>DMR-MIL</v>
          </cell>
          <cell r="H1264">
            <v>3576</v>
          </cell>
          <cell r="I1264" t="str">
            <v>RESTARTFEE-COMRECY</v>
          </cell>
          <cell r="J1264" t="str">
            <v>RESTART FEE - COM RECY</v>
          </cell>
          <cell r="K1264">
            <v>27.71</v>
          </cell>
          <cell r="L1264">
            <v>27.71</v>
          </cell>
        </row>
        <row r="1265">
          <cell r="A1265" t="str">
            <v>BONNEY LAKERESIDENTIALREXTRA</v>
          </cell>
          <cell r="B1265" t="str">
            <v>ONCALL</v>
          </cell>
          <cell r="C1265" t="str">
            <v>2111</v>
          </cell>
          <cell r="D1265" t="str">
            <v>RESIDENTIAL</v>
          </cell>
          <cell r="E1265" t="b">
            <v>1</v>
          </cell>
          <cell r="F1265" t="b">
            <v>0</v>
          </cell>
          <cell r="G1265" t="str">
            <v>BONNEY LAKE</v>
          </cell>
          <cell r="H1265">
            <v>3013</v>
          </cell>
          <cell r="I1265" t="str">
            <v>REXTRA</v>
          </cell>
          <cell r="J1265" t="str">
            <v>EXTRA UNITS</v>
          </cell>
          <cell r="K1265">
            <v>6.53</v>
          </cell>
          <cell r="L1265">
            <v>6.53</v>
          </cell>
        </row>
        <row r="1266">
          <cell r="A1266" t="str">
            <v>BUCKLEYRESIDENTIALREXTRA</v>
          </cell>
          <cell r="B1266" t="str">
            <v>ONCALL</v>
          </cell>
          <cell r="C1266" t="str">
            <v>2111</v>
          </cell>
          <cell r="D1266" t="str">
            <v>RESIDENTIAL</v>
          </cell>
          <cell r="E1266" t="b">
            <v>1</v>
          </cell>
          <cell r="F1266" t="b">
            <v>0</v>
          </cell>
          <cell r="G1266" t="str">
            <v>BUCKLEY</v>
          </cell>
          <cell r="H1266">
            <v>3013</v>
          </cell>
          <cell r="I1266" t="str">
            <v>REXTRA</v>
          </cell>
          <cell r="J1266" t="str">
            <v>EXTRA UNITS</v>
          </cell>
          <cell r="K1266">
            <v>5.86</v>
          </cell>
          <cell r="L1266">
            <v>5.86</v>
          </cell>
        </row>
        <row r="1267">
          <cell r="A1267" t="str">
            <v>CARBONADORESIDENTIALREXTRA</v>
          </cell>
          <cell r="B1267" t="str">
            <v>ONCALL</v>
          </cell>
          <cell r="C1267" t="str">
            <v>2111</v>
          </cell>
          <cell r="D1267" t="str">
            <v>RESIDENTIAL</v>
          </cell>
          <cell r="E1267" t="b">
            <v>1</v>
          </cell>
          <cell r="F1267" t="b">
            <v>0</v>
          </cell>
          <cell r="G1267" t="str">
            <v>CARBONADO</v>
          </cell>
          <cell r="H1267">
            <v>3013</v>
          </cell>
          <cell r="I1267" t="str">
            <v>REXTRA</v>
          </cell>
          <cell r="J1267" t="str">
            <v>EXTRA UNITS</v>
          </cell>
          <cell r="K1267">
            <v>5.28</v>
          </cell>
          <cell r="L1267">
            <v>5.28</v>
          </cell>
        </row>
        <row r="1268">
          <cell r="A1268" t="str">
            <v>M-EDGEWOODRESIDENTIALREXTRA</v>
          </cell>
          <cell r="B1268" t="str">
            <v>ONCALL</v>
          </cell>
          <cell r="C1268" t="str">
            <v>2111</v>
          </cell>
          <cell r="D1268" t="str">
            <v>RESIDENTIAL</v>
          </cell>
          <cell r="E1268" t="b">
            <v>1</v>
          </cell>
          <cell r="F1268" t="b">
            <v>0</v>
          </cell>
          <cell r="G1268" t="str">
            <v>M-EDGEWOOD</v>
          </cell>
          <cell r="H1268">
            <v>3013</v>
          </cell>
          <cell r="I1268" t="str">
            <v>REXTRA</v>
          </cell>
          <cell r="J1268" t="str">
            <v>EXTRA UNITS</v>
          </cell>
          <cell r="K1268">
            <v>4.88</v>
          </cell>
          <cell r="L1268">
            <v>4.88</v>
          </cell>
        </row>
        <row r="1269">
          <cell r="A1269" t="str">
            <v>M-FIFERESIDENTIALREXTRA</v>
          </cell>
          <cell r="B1269" t="str">
            <v>ONCALL</v>
          </cell>
          <cell r="C1269" t="str">
            <v>2111</v>
          </cell>
          <cell r="D1269" t="str">
            <v>RESIDENTIAL</v>
          </cell>
          <cell r="E1269" t="b">
            <v>1</v>
          </cell>
          <cell r="F1269" t="b">
            <v>0</v>
          </cell>
          <cell r="G1269" t="str">
            <v>M-FIFE</v>
          </cell>
          <cell r="H1269">
            <v>3013</v>
          </cell>
          <cell r="I1269" t="str">
            <v>REXTRA</v>
          </cell>
          <cell r="J1269" t="str">
            <v>EXTRA UNITS</v>
          </cell>
          <cell r="K1269">
            <v>4.88</v>
          </cell>
          <cell r="L1269">
            <v>4.88</v>
          </cell>
        </row>
        <row r="1270">
          <cell r="A1270" t="str">
            <v>MILTONRESIDENTIALREXTRA</v>
          </cell>
          <cell r="B1270" t="str">
            <v>ONCALL</v>
          </cell>
          <cell r="C1270" t="str">
            <v>2111</v>
          </cell>
          <cell r="D1270" t="str">
            <v>RESIDENTIAL</v>
          </cell>
          <cell r="E1270" t="b">
            <v>1</v>
          </cell>
          <cell r="F1270" t="b">
            <v>0</v>
          </cell>
          <cell r="G1270" t="str">
            <v>MILTON</v>
          </cell>
          <cell r="H1270">
            <v>3013</v>
          </cell>
          <cell r="I1270" t="str">
            <v>REXTRA</v>
          </cell>
          <cell r="J1270" t="str">
            <v>EXTRA UNITS</v>
          </cell>
          <cell r="K1270">
            <v>7.49</v>
          </cell>
          <cell r="L1270">
            <v>7.49</v>
          </cell>
        </row>
        <row r="1271">
          <cell r="A1271" t="str">
            <v>MURREYSRESIDENTIALREXTRA</v>
          </cell>
          <cell r="B1271" t="str">
            <v>ONCALL</v>
          </cell>
          <cell r="C1271" t="str">
            <v>2111</v>
          </cell>
          <cell r="D1271" t="str">
            <v>RESIDENTIAL</v>
          </cell>
          <cell r="E1271" t="b">
            <v>1</v>
          </cell>
          <cell r="F1271" t="b">
            <v>0</v>
          </cell>
          <cell r="G1271" t="str">
            <v>MURREYS</v>
          </cell>
          <cell r="H1271">
            <v>3013</v>
          </cell>
          <cell r="I1271" t="str">
            <v>REXTRA</v>
          </cell>
          <cell r="J1271" t="str">
            <v>EXTRA UNITS</v>
          </cell>
          <cell r="K1271">
            <v>4.88</v>
          </cell>
          <cell r="L1271">
            <v>4.88</v>
          </cell>
        </row>
        <row r="1272">
          <cell r="A1272" t="str">
            <v>ORTINGRESIDENTIALREXTRA</v>
          </cell>
          <cell r="B1272" t="str">
            <v>ONCALL</v>
          </cell>
          <cell r="C1272" t="str">
            <v>2111</v>
          </cell>
          <cell r="D1272" t="str">
            <v>RESIDENTIAL</v>
          </cell>
          <cell r="E1272" t="b">
            <v>1</v>
          </cell>
          <cell r="F1272" t="b">
            <v>0</v>
          </cell>
          <cell r="G1272" t="str">
            <v>ORTING</v>
          </cell>
          <cell r="H1272">
            <v>3013</v>
          </cell>
          <cell r="I1272" t="str">
            <v>REXTRA</v>
          </cell>
          <cell r="J1272" t="str">
            <v>EXTRA UNITS</v>
          </cell>
          <cell r="K1272">
            <v>6.75</v>
          </cell>
          <cell r="L1272">
            <v>6.75</v>
          </cell>
        </row>
        <row r="1273">
          <cell r="A1273" t="str">
            <v>PUYALLUPRESIDENTIALREXTRA</v>
          </cell>
          <cell r="B1273" t="str">
            <v>ONCALL</v>
          </cell>
          <cell r="C1273" t="str">
            <v>2111</v>
          </cell>
          <cell r="D1273" t="str">
            <v>RESIDENTIAL</v>
          </cell>
          <cell r="E1273" t="b">
            <v>1</v>
          </cell>
          <cell r="F1273" t="b">
            <v>0</v>
          </cell>
          <cell r="G1273" t="str">
            <v>PUYALLUP</v>
          </cell>
          <cell r="H1273">
            <v>3013</v>
          </cell>
          <cell r="I1273" t="str">
            <v>REXTRA</v>
          </cell>
          <cell r="J1273" t="str">
            <v>EXTRA UNITS</v>
          </cell>
          <cell r="K1273">
            <v>6.47</v>
          </cell>
          <cell r="L1273">
            <v>6.47</v>
          </cell>
        </row>
        <row r="1274">
          <cell r="A1274" t="str">
            <v>RUSTONRESIDENTIALREXTRA</v>
          </cell>
          <cell r="B1274" t="str">
            <v>ONCALL</v>
          </cell>
          <cell r="C1274" t="str">
            <v>2111</v>
          </cell>
          <cell r="D1274" t="str">
            <v>RESIDENTIAL</v>
          </cell>
          <cell r="E1274" t="b">
            <v>1</v>
          </cell>
          <cell r="F1274" t="b">
            <v>0</v>
          </cell>
          <cell r="G1274" t="str">
            <v>RUSTON</v>
          </cell>
          <cell r="H1274">
            <v>3013</v>
          </cell>
          <cell r="I1274" t="str">
            <v>REXTRA</v>
          </cell>
          <cell r="J1274" t="str">
            <v>EXTRA UNITS</v>
          </cell>
          <cell r="K1274">
            <v>5.79</v>
          </cell>
          <cell r="L1274">
            <v>5.79</v>
          </cell>
        </row>
        <row r="1275">
          <cell r="A1275" t="str">
            <v>SOUTH PRAIRIERESIDENTIALREXTRA</v>
          </cell>
          <cell r="B1275" t="str">
            <v>ONCALL</v>
          </cell>
          <cell r="C1275" t="str">
            <v>2111</v>
          </cell>
          <cell r="D1275" t="str">
            <v>RESIDENTIAL</v>
          </cell>
          <cell r="E1275" t="b">
            <v>1</v>
          </cell>
          <cell r="F1275" t="b">
            <v>0</v>
          </cell>
          <cell r="G1275" t="str">
            <v>SOUTH PRAIRIE</v>
          </cell>
          <cell r="H1275">
            <v>3013</v>
          </cell>
          <cell r="I1275" t="str">
            <v>REXTRA</v>
          </cell>
          <cell r="J1275" t="str">
            <v>EXTRA UNITS</v>
          </cell>
          <cell r="K1275">
            <v>4.8600000000000003</v>
          </cell>
          <cell r="L1275">
            <v>4.8600000000000003</v>
          </cell>
        </row>
        <row r="1276">
          <cell r="A1276" t="str">
            <v>SUMNERRESIDENTIALREXTRA</v>
          </cell>
          <cell r="B1276" t="str">
            <v>ONCALL</v>
          </cell>
          <cell r="C1276" t="str">
            <v>2111</v>
          </cell>
          <cell r="D1276" t="str">
            <v>RESIDENTIAL</v>
          </cell>
          <cell r="E1276" t="b">
            <v>1</v>
          </cell>
          <cell r="F1276" t="b">
            <v>0</v>
          </cell>
          <cell r="G1276" t="str">
            <v>SUMNER</v>
          </cell>
          <cell r="H1276">
            <v>3013</v>
          </cell>
          <cell r="I1276" t="str">
            <v>REXTRA</v>
          </cell>
          <cell r="J1276" t="str">
            <v>EXTRA UNITS</v>
          </cell>
          <cell r="K1276">
            <v>5.86</v>
          </cell>
          <cell r="L1276">
            <v>5.86</v>
          </cell>
        </row>
        <row r="1277">
          <cell r="A1277" t="str">
            <v>VASHONRESIDENTIALREXTRA</v>
          </cell>
          <cell r="B1277" t="str">
            <v>ONCALL</v>
          </cell>
          <cell r="C1277" t="str">
            <v>2111</v>
          </cell>
          <cell r="D1277" t="str">
            <v>RESIDENTIAL</v>
          </cell>
          <cell r="E1277" t="b">
            <v>1</v>
          </cell>
          <cell r="F1277" t="b">
            <v>0</v>
          </cell>
          <cell r="G1277" t="str">
            <v>VASHON</v>
          </cell>
          <cell r="H1277">
            <v>3013</v>
          </cell>
          <cell r="I1277" t="str">
            <v>REXTRA</v>
          </cell>
          <cell r="J1277" t="str">
            <v>EXTRA UNITS</v>
          </cell>
          <cell r="K1277">
            <v>4.1100000000000003</v>
          </cell>
          <cell r="L1277">
            <v>4.1100000000000003</v>
          </cell>
        </row>
        <row r="1278">
          <cell r="A1278" t="str">
            <v>BONNEY LAKEROLL OFFROCLEAN</v>
          </cell>
          <cell r="B1278" t="str">
            <v>ONCALL</v>
          </cell>
          <cell r="C1278" t="str">
            <v>2111</v>
          </cell>
          <cell r="D1278" t="str">
            <v>ROLL OFF</v>
          </cell>
          <cell r="E1278" t="b">
            <v>1</v>
          </cell>
          <cell r="F1278" t="b">
            <v>0</v>
          </cell>
          <cell r="G1278" t="str">
            <v>BONNEY LAKE</v>
          </cell>
          <cell r="H1278">
            <v>3066</v>
          </cell>
          <cell r="I1278" t="str">
            <v>ROCLEAN</v>
          </cell>
          <cell r="J1278" t="str">
            <v>ROLLOFF CLEANING</v>
          </cell>
          <cell r="K1278">
            <v>5.76</v>
          </cell>
          <cell r="L1278">
            <v>5.76</v>
          </cell>
        </row>
        <row r="1279">
          <cell r="A1279" t="str">
            <v>CARBONADOROLL OFFROCLEAN</v>
          </cell>
          <cell r="B1279" t="str">
            <v>ONCALL</v>
          </cell>
          <cell r="C1279" t="str">
            <v>2111</v>
          </cell>
          <cell r="D1279" t="str">
            <v>ROLL OFF</v>
          </cell>
          <cell r="E1279" t="b">
            <v>1</v>
          </cell>
          <cell r="F1279" t="b">
            <v>0</v>
          </cell>
          <cell r="G1279" t="str">
            <v>CARBONADO</v>
          </cell>
          <cell r="H1279">
            <v>3066</v>
          </cell>
          <cell r="I1279" t="str">
            <v>ROCLEAN</v>
          </cell>
          <cell r="J1279" t="str">
            <v>ROLLOFF CLEANING</v>
          </cell>
          <cell r="K1279">
            <v>0</v>
          </cell>
          <cell r="L1279">
            <v>0</v>
          </cell>
        </row>
        <row r="1280">
          <cell r="A1280" t="str">
            <v>M-EDGEWOODROLL OFFROCLEAN</v>
          </cell>
          <cell r="B1280" t="str">
            <v>ONCALL</v>
          </cell>
          <cell r="C1280" t="str">
            <v>2111</v>
          </cell>
          <cell r="D1280" t="str">
            <v>ROLL OFF</v>
          </cell>
          <cell r="E1280" t="b">
            <v>1</v>
          </cell>
          <cell r="F1280" t="b">
            <v>0</v>
          </cell>
          <cell r="G1280" t="str">
            <v>M-EDGEWOOD</v>
          </cell>
          <cell r="H1280">
            <v>3066</v>
          </cell>
          <cell r="I1280" t="str">
            <v>ROCLEAN</v>
          </cell>
          <cell r="J1280" t="str">
            <v>ROLLOFF CLEANING</v>
          </cell>
          <cell r="K1280">
            <v>7.57</v>
          </cell>
          <cell r="L1280">
            <v>7.57</v>
          </cell>
        </row>
        <row r="1281">
          <cell r="A1281" t="str">
            <v>M-FIFEROLL OFFROCLEAN</v>
          </cell>
          <cell r="B1281" t="str">
            <v>ONCALL</v>
          </cell>
          <cell r="C1281" t="str">
            <v>2111</v>
          </cell>
          <cell r="D1281" t="str">
            <v>ROLL OFF</v>
          </cell>
          <cell r="E1281" t="b">
            <v>1</v>
          </cell>
          <cell r="F1281" t="b">
            <v>0</v>
          </cell>
          <cell r="G1281" t="str">
            <v>M-FIFE</v>
          </cell>
          <cell r="H1281">
            <v>3066</v>
          </cell>
          <cell r="I1281" t="str">
            <v>ROCLEAN</v>
          </cell>
          <cell r="J1281" t="str">
            <v>ROLLOFF CLEANING</v>
          </cell>
          <cell r="K1281">
            <v>7.57</v>
          </cell>
          <cell r="L1281">
            <v>7.57</v>
          </cell>
        </row>
        <row r="1282">
          <cell r="A1282" t="str">
            <v>MURREYSROLL OFFROCLEAN</v>
          </cell>
          <cell r="B1282" t="str">
            <v>ONCALL</v>
          </cell>
          <cell r="C1282" t="str">
            <v>2111</v>
          </cell>
          <cell r="D1282" t="str">
            <v>ROLL OFF</v>
          </cell>
          <cell r="E1282" t="b">
            <v>1</v>
          </cell>
          <cell r="F1282" t="b">
            <v>0</v>
          </cell>
          <cell r="G1282" t="str">
            <v>MURREYS</v>
          </cell>
          <cell r="H1282">
            <v>3066</v>
          </cell>
          <cell r="I1282" t="str">
            <v>ROCLEAN</v>
          </cell>
          <cell r="J1282" t="str">
            <v>ROLLOFF CLEANING</v>
          </cell>
          <cell r="K1282">
            <v>7.57</v>
          </cell>
          <cell r="L1282">
            <v>7.57</v>
          </cell>
        </row>
        <row r="1283">
          <cell r="A1283" t="str">
            <v>PUYALLUPROLL OFFROCLEAN</v>
          </cell>
          <cell r="B1283" t="str">
            <v>ONCALL</v>
          </cell>
          <cell r="C1283" t="str">
            <v>2111</v>
          </cell>
          <cell r="D1283" t="str">
            <v>ROLL OFF</v>
          </cell>
          <cell r="E1283" t="b">
            <v>1</v>
          </cell>
          <cell r="F1283" t="b">
            <v>0</v>
          </cell>
          <cell r="G1283" t="str">
            <v>PUYALLUP</v>
          </cell>
          <cell r="H1283">
            <v>3066</v>
          </cell>
          <cell r="I1283" t="str">
            <v>ROCLEAN</v>
          </cell>
          <cell r="J1283" t="str">
            <v>ROLLOFF CLEANING</v>
          </cell>
          <cell r="K1283">
            <v>5.53</v>
          </cell>
          <cell r="L1283">
            <v>5.53</v>
          </cell>
        </row>
        <row r="1284">
          <cell r="A1284" t="str">
            <v>RUSTONROLL OFFROCLEAN</v>
          </cell>
          <cell r="B1284" t="str">
            <v>ONCALL</v>
          </cell>
          <cell r="C1284" t="str">
            <v>2111</v>
          </cell>
          <cell r="D1284" t="str">
            <v>ROLL OFF</v>
          </cell>
          <cell r="E1284" t="b">
            <v>1</v>
          </cell>
          <cell r="F1284" t="b">
            <v>0</v>
          </cell>
          <cell r="G1284" t="str">
            <v>RUSTON</v>
          </cell>
          <cell r="H1284">
            <v>3066</v>
          </cell>
          <cell r="I1284" t="str">
            <v>ROCLEAN</v>
          </cell>
          <cell r="J1284" t="str">
            <v>ROLLOFF CLEANING</v>
          </cell>
          <cell r="K1284">
            <v>10.34</v>
          </cell>
          <cell r="L1284">
            <v>10.34</v>
          </cell>
        </row>
        <row r="1285">
          <cell r="A1285" t="str">
            <v>VASHONROLL OFFROCLEAN</v>
          </cell>
          <cell r="B1285" t="str">
            <v>ONCALL</v>
          </cell>
          <cell r="C1285" t="str">
            <v>2111</v>
          </cell>
          <cell r="D1285" t="str">
            <v>ROLL OFF</v>
          </cell>
          <cell r="E1285" t="b">
            <v>1</v>
          </cell>
          <cell r="F1285" t="b">
            <v>0</v>
          </cell>
          <cell r="G1285" t="str">
            <v>VASHON</v>
          </cell>
          <cell r="H1285">
            <v>3066</v>
          </cell>
          <cell r="I1285" t="str">
            <v>ROCLEAN</v>
          </cell>
          <cell r="J1285" t="str">
            <v>ROLLOFF CLEANING</v>
          </cell>
          <cell r="K1285">
            <v>3.37</v>
          </cell>
          <cell r="L1285">
            <v>3.37</v>
          </cell>
        </row>
        <row r="1286">
          <cell r="A1286" t="str">
            <v>VASHONROLL OFFROCLEANMIN</v>
          </cell>
          <cell r="B1286" t="str">
            <v>ONCALL</v>
          </cell>
          <cell r="C1286" t="str">
            <v>2111</v>
          </cell>
          <cell r="D1286" t="str">
            <v>ROLL OFF</v>
          </cell>
          <cell r="E1286" t="b">
            <v>1</v>
          </cell>
          <cell r="F1286" t="b">
            <v>0</v>
          </cell>
          <cell r="G1286" t="str">
            <v>VASHON</v>
          </cell>
          <cell r="H1286">
            <v>3466</v>
          </cell>
          <cell r="I1286" t="str">
            <v>ROCLEANMIN</v>
          </cell>
          <cell r="J1286" t="str">
            <v>WASH CONT MIN - RO</v>
          </cell>
          <cell r="K1286">
            <v>10.11</v>
          </cell>
          <cell r="L1286">
            <v>10.11</v>
          </cell>
        </row>
        <row r="1287">
          <cell r="A1287" t="str">
            <v>BONNEY LAKEROLL OFFRODEL</v>
          </cell>
          <cell r="B1287" t="str">
            <v>ONCALL</v>
          </cell>
          <cell r="C1287" t="str">
            <v>2111</v>
          </cell>
          <cell r="D1287" t="str">
            <v>ROLL OFF</v>
          </cell>
          <cell r="E1287" t="b">
            <v>1</v>
          </cell>
          <cell r="F1287" t="b">
            <v>0</v>
          </cell>
          <cell r="G1287" t="str">
            <v>BONNEY LAKE</v>
          </cell>
          <cell r="H1287">
            <v>2600</v>
          </cell>
          <cell r="I1287" t="str">
            <v>RODEL</v>
          </cell>
          <cell r="J1287" t="str">
            <v>ROLL OFF-DELIVERY</v>
          </cell>
          <cell r="K1287">
            <v>115.87</v>
          </cell>
          <cell r="L1287">
            <v>115.87</v>
          </cell>
        </row>
        <row r="1288">
          <cell r="A1288" t="str">
            <v>CARBONADOROLL OFFRODEL</v>
          </cell>
          <cell r="B1288" t="str">
            <v>ONCALL</v>
          </cell>
          <cell r="C1288" t="str">
            <v>2111</v>
          </cell>
          <cell r="D1288" t="str">
            <v>ROLL OFF</v>
          </cell>
          <cell r="E1288" t="b">
            <v>1</v>
          </cell>
          <cell r="F1288" t="b">
            <v>0</v>
          </cell>
          <cell r="G1288" t="str">
            <v>CARBONADO</v>
          </cell>
          <cell r="H1288">
            <v>2600</v>
          </cell>
          <cell r="I1288" t="str">
            <v>RODEL</v>
          </cell>
          <cell r="J1288" t="str">
            <v>ROLL OFF-DELIVERY</v>
          </cell>
          <cell r="K1288">
            <v>0</v>
          </cell>
          <cell r="L1288">
            <v>0</v>
          </cell>
        </row>
        <row r="1289">
          <cell r="A1289" t="str">
            <v>M-EDGEWOODROLL OFFRODEL</v>
          </cell>
          <cell r="B1289" t="str">
            <v>ONCALL</v>
          </cell>
          <cell r="C1289" t="str">
            <v>2111</v>
          </cell>
          <cell r="D1289" t="str">
            <v>ROLL OFF</v>
          </cell>
          <cell r="E1289" t="b">
            <v>1</v>
          </cell>
          <cell r="F1289" t="b">
            <v>0</v>
          </cell>
          <cell r="G1289" t="str">
            <v>M-EDGEWOOD</v>
          </cell>
          <cell r="H1289">
            <v>2600</v>
          </cell>
          <cell r="I1289" t="str">
            <v>RODEL</v>
          </cell>
          <cell r="J1289" t="str">
            <v>ROLL OFF-DELIVERY</v>
          </cell>
          <cell r="K1289">
            <v>97.49</v>
          </cell>
          <cell r="L1289">
            <v>97.49</v>
          </cell>
        </row>
        <row r="1290">
          <cell r="A1290" t="str">
            <v>M-FIFEROLL OFFRODEL</v>
          </cell>
          <cell r="B1290" t="str">
            <v>ONCALL</v>
          </cell>
          <cell r="C1290" t="str">
            <v>2111</v>
          </cell>
          <cell r="D1290" t="str">
            <v>ROLL OFF</v>
          </cell>
          <cell r="E1290" t="b">
            <v>1</v>
          </cell>
          <cell r="F1290" t="b">
            <v>0</v>
          </cell>
          <cell r="G1290" t="str">
            <v>M-FIFE</v>
          </cell>
          <cell r="H1290">
            <v>2600</v>
          </cell>
          <cell r="I1290" t="str">
            <v>RODEL</v>
          </cell>
          <cell r="J1290" t="str">
            <v>ROLL OFF-DELIVERY</v>
          </cell>
          <cell r="K1290">
            <v>97.49</v>
          </cell>
          <cell r="L1290">
            <v>97.49</v>
          </cell>
        </row>
        <row r="1291">
          <cell r="A1291" t="str">
            <v>MURREYSROLL OFFRODEL</v>
          </cell>
          <cell r="B1291" t="str">
            <v>ONCALL</v>
          </cell>
          <cell r="C1291" t="str">
            <v>2111</v>
          </cell>
          <cell r="D1291" t="str">
            <v>ROLL OFF</v>
          </cell>
          <cell r="E1291" t="b">
            <v>1</v>
          </cell>
          <cell r="F1291" t="b">
            <v>0</v>
          </cell>
          <cell r="G1291" t="str">
            <v>MURREYS</v>
          </cell>
          <cell r="H1291">
            <v>2600</v>
          </cell>
          <cell r="I1291" t="str">
            <v>RODEL</v>
          </cell>
          <cell r="J1291" t="str">
            <v>ROLL OFF-DELIVERY</v>
          </cell>
          <cell r="K1291">
            <v>97.49</v>
          </cell>
          <cell r="L1291">
            <v>97.49</v>
          </cell>
        </row>
        <row r="1292">
          <cell r="A1292" t="str">
            <v>PUYALLUPROLL OFFRODEL</v>
          </cell>
          <cell r="B1292" t="str">
            <v>ONCALL</v>
          </cell>
          <cell r="C1292" t="str">
            <v>2111</v>
          </cell>
          <cell r="D1292" t="str">
            <v>ROLL OFF</v>
          </cell>
          <cell r="E1292" t="b">
            <v>1</v>
          </cell>
          <cell r="F1292" t="b">
            <v>0</v>
          </cell>
          <cell r="G1292" t="str">
            <v>PUYALLUP</v>
          </cell>
          <cell r="H1292">
            <v>2600</v>
          </cell>
          <cell r="I1292" t="str">
            <v>RODEL</v>
          </cell>
          <cell r="J1292" t="str">
            <v>ROLL OFF-DELIVERY</v>
          </cell>
          <cell r="K1292">
            <v>92.91</v>
          </cell>
          <cell r="L1292">
            <v>92.91</v>
          </cell>
        </row>
        <row r="1293">
          <cell r="A1293" t="str">
            <v>RUSTONROLL OFFRODEL</v>
          </cell>
          <cell r="B1293" t="str">
            <v>ONCALL</v>
          </cell>
          <cell r="C1293" t="str">
            <v>2111</v>
          </cell>
          <cell r="D1293" t="str">
            <v>ROLL OFF</v>
          </cell>
          <cell r="E1293" t="b">
            <v>1</v>
          </cell>
          <cell r="F1293" t="b">
            <v>0</v>
          </cell>
          <cell r="G1293" t="str">
            <v>RUSTON</v>
          </cell>
          <cell r="H1293">
            <v>2600</v>
          </cell>
          <cell r="I1293" t="str">
            <v>RODEL</v>
          </cell>
          <cell r="J1293" t="str">
            <v>ROLL OFF-DELIVERY</v>
          </cell>
          <cell r="K1293">
            <v>118.95</v>
          </cell>
          <cell r="L1293">
            <v>118.95</v>
          </cell>
        </row>
        <row r="1294">
          <cell r="A1294" t="str">
            <v>VASHONROLL OFFRODEL</v>
          </cell>
          <cell r="B1294" t="str">
            <v>ONCALL</v>
          </cell>
          <cell r="C1294" t="str">
            <v>2111</v>
          </cell>
          <cell r="D1294" t="str">
            <v>ROLL OFF</v>
          </cell>
          <cell r="E1294" t="b">
            <v>1</v>
          </cell>
          <cell r="F1294" t="b">
            <v>0</v>
          </cell>
          <cell r="G1294" t="str">
            <v>VASHON</v>
          </cell>
          <cell r="H1294">
            <v>2600</v>
          </cell>
          <cell r="I1294" t="str">
            <v>RODEL</v>
          </cell>
          <cell r="J1294" t="str">
            <v>ROLL OFF-DELIVERY</v>
          </cell>
          <cell r="K1294">
            <v>81.81</v>
          </cell>
          <cell r="L1294">
            <v>81.81</v>
          </cell>
        </row>
        <row r="1295">
          <cell r="A1295" t="str">
            <v>M-EDGEWOODROLL OFFROHAUL10CO</v>
          </cell>
          <cell r="B1295" t="str">
            <v>ONCALL</v>
          </cell>
          <cell r="C1295" t="str">
            <v>2111</v>
          </cell>
          <cell r="D1295" t="str">
            <v>ROLL OFF</v>
          </cell>
          <cell r="E1295" t="b">
            <v>1</v>
          </cell>
          <cell r="F1295" t="b">
            <v>0</v>
          </cell>
          <cell r="G1295" t="str">
            <v>M-EDGEWOOD</v>
          </cell>
          <cell r="H1295">
            <v>3355</v>
          </cell>
          <cell r="I1295" t="str">
            <v>ROHAUL10CO</v>
          </cell>
          <cell r="J1295" t="str">
            <v>10YD CUST OWNED R/O HAUL</v>
          </cell>
          <cell r="K1295">
            <v>89.82</v>
          </cell>
          <cell r="L1295">
            <v>89.82</v>
          </cell>
        </row>
        <row r="1296">
          <cell r="A1296" t="str">
            <v>M-FIFEROLL OFFROHAUL10CO</v>
          </cell>
          <cell r="B1296" t="str">
            <v>ONCALL</v>
          </cell>
          <cell r="C1296" t="str">
            <v>2111</v>
          </cell>
          <cell r="D1296" t="str">
            <v>ROLL OFF</v>
          </cell>
          <cell r="E1296" t="b">
            <v>1</v>
          </cell>
          <cell r="F1296" t="b">
            <v>0</v>
          </cell>
          <cell r="G1296" t="str">
            <v>M-FIFE</v>
          </cell>
          <cell r="H1296">
            <v>3355</v>
          </cell>
          <cell r="I1296" t="str">
            <v>ROHAUL10CO</v>
          </cell>
          <cell r="J1296" t="str">
            <v>10YD CUST OWNED R/O HAUL</v>
          </cell>
          <cell r="K1296">
            <v>89.82</v>
          </cell>
          <cell r="L1296">
            <v>89.82</v>
          </cell>
        </row>
        <row r="1297">
          <cell r="A1297" t="str">
            <v>MURREYSROLL OFFROHAUL10CO</v>
          </cell>
          <cell r="B1297" t="str">
            <v>ONCALL</v>
          </cell>
          <cell r="C1297" t="str">
            <v>2111</v>
          </cell>
          <cell r="D1297" t="str">
            <v>ROLL OFF</v>
          </cell>
          <cell r="E1297" t="b">
            <v>1</v>
          </cell>
          <cell r="F1297" t="b">
            <v>0</v>
          </cell>
          <cell r="G1297" t="str">
            <v>MURREYS</v>
          </cell>
          <cell r="H1297">
            <v>3355</v>
          </cell>
          <cell r="I1297" t="str">
            <v>ROHAUL10CO</v>
          </cell>
          <cell r="J1297" t="str">
            <v>10YD CUST OWNED R/O HAUL</v>
          </cell>
          <cell r="K1297">
            <v>89.82</v>
          </cell>
          <cell r="L1297">
            <v>89.82</v>
          </cell>
        </row>
        <row r="1298">
          <cell r="A1298" t="str">
            <v>BONNEY LAKEROLL OFFROHAUL20</v>
          </cell>
          <cell r="B1298" t="str">
            <v>ONCALL</v>
          </cell>
          <cell r="C1298" t="str">
            <v>2111</v>
          </cell>
          <cell r="D1298" t="str">
            <v>ROLL OFF</v>
          </cell>
          <cell r="E1298" t="b">
            <v>1</v>
          </cell>
          <cell r="F1298" t="b">
            <v>0</v>
          </cell>
          <cell r="G1298" t="str">
            <v>BONNEY LAKE</v>
          </cell>
          <cell r="H1298">
            <v>2607</v>
          </cell>
          <cell r="I1298" t="str">
            <v>ROHAUL20</v>
          </cell>
          <cell r="J1298" t="str">
            <v>20YD ROLL OFF-HAUL</v>
          </cell>
          <cell r="K1298">
            <v>113.06</v>
          </cell>
          <cell r="L1298">
            <v>113.06</v>
          </cell>
        </row>
        <row r="1299">
          <cell r="A1299" t="str">
            <v>CARBONADOROLL OFFROHAUL20</v>
          </cell>
          <cell r="B1299" t="str">
            <v>ONCALL</v>
          </cell>
          <cell r="C1299" t="str">
            <v>2111</v>
          </cell>
          <cell r="D1299" t="str">
            <v>ROLL OFF</v>
          </cell>
          <cell r="E1299" t="b">
            <v>1</v>
          </cell>
          <cell r="F1299" t="b">
            <v>0</v>
          </cell>
          <cell r="G1299" t="str">
            <v>CARBONADO</v>
          </cell>
          <cell r="H1299">
            <v>2607</v>
          </cell>
          <cell r="I1299" t="str">
            <v>ROHAUL20</v>
          </cell>
          <cell r="J1299" t="str">
            <v>20YD ROLL OFF-HAUL</v>
          </cell>
          <cell r="K1299">
            <v>0</v>
          </cell>
          <cell r="L1299">
            <v>0</v>
          </cell>
        </row>
        <row r="1300">
          <cell r="A1300" t="str">
            <v>M-EDGEWOODROLL OFFROHAUL20</v>
          </cell>
          <cell r="B1300" t="str">
            <v>ONCALL</v>
          </cell>
          <cell r="C1300" t="str">
            <v>2111</v>
          </cell>
          <cell r="D1300" t="str">
            <v>ROLL OFF</v>
          </cell>
          <cell r="E1300" t="b">
            <v>1</v>
          </cell>
          <cell r="F1300" t="b">
            <v>0</v>
          </cell>
          <cell r="G1300" t="str">
            <v>M-EDGEWOOD</v>
          </cell>
          <cell r="H1300">
            <v>2607</v>
          </cell>
          <cell r="I1300" t="str">
            <v>ROHAUL20</v>
          </cell>
          <cell r="J1300" t="str">
            <v>20YD ROLL OFF-HAUL</v>
          </cell>
          <cell r="K1300">
            <v>95.13</v>
          </cell>
          <cell r="L1300">
            <v>95.13</v>
          </cell>
        </row>
        <row r="1301">
          <cell r="A1301" t="str">
            <v>M-FIFEROLL OFFROHAUL20</v>
          </cell>
          <cell r="B1301" t="str">
            <v>ONCALL</v>
          </cell>
          <cell r="C1301" t="str">
            <v>2111</v>
          </cell>
          <cell r="D1301" t="str">
            <v>ROLL OFF</v>
          </cell>
          <cell r="E1301" t="b">
            <v>1</v>
          </cell>
          <cell r="F1301" t="b">
            <v>0</v>
          </cell>
          <cell r="G1301" t="str">
            <v>M-FIFE</v>
          </cell>
          <cell r="H1301">
            <v>2607</v>
          </cell>
          <cell r="I1301" t="str">
            <v>ROHAUL20</v>
          </cell>
          <cell r="J1301" t="str">
            <v>20YD ROLL OFF-HAUL</v>
          </cell>
          <cell r="K1301">
            <v>95.13</v>
          </cell>
          <cell r="L1301">
            <v>95.13</v>
          </cell>
        </row>
        <row r="1302">
          <cell r="A1302" t="str">
            <v>MURREYSROLL OFFROHAUL20</v>
          </cell>
          <cell r="B1302" t="str">
            <v>ONCALL</v>
          </cell>
          <cell r="C1302" t="str">
            <v>2111</v>
          </cell>
          <cell r="D1302" t="str">
            <v>ROLL OFF</v>
          </cell>
          <cell r="E1302" t="b">
            <v>1</v>
          </cell>
          <cell r="F1302" t="b">
            <v>0</v>
          </cell>
          <cell r="G1302" t="str">
            <v>MURREYS</v>
          </cell>
          <cell r="H1302">
            <v>2607</v>
          </cell>
          <cell r="I1302" t="str">
            <v>ROHAUL20</v>
          </cell>
          <cell r="J1302" t="str">
            <v>20YD ROLL OFF-HAUL</v>
          </cell>
          <cell r="K1302">
            <v>95.13</v>
          </cell>
          <cell r="L1302">
            <v>95.13</v>
          </cell>
        </row>
        <row r="1303">
          <cell r="A1303" t="str">
            <v>PUYALLUPROLL OFFROHAUL20</v>
          </cell>
          <cell r="B1303" t="str">
            <v>ONCALL</v>
          </cell>
          <cell r="C1303" t="str">
            <v>2111</v>
          </cell>
          <cell r="D1303" t="str">
            <v>ROLL OFF</v>
          </cell>
          <cell r="E1303" t="b">
            <v>1</v>
          </cell>
          <cell r="F1303" t="b">
            <v>0</v>
          </cell>
          <cell r="G1303" t="str">
            <v>PUYALLUP</v>
          </cell>
          <cell r="H1303">
            <v>2607</v>
          </cell>
          <cell r="I1303" t="str">
            <v>ROHAUL20</v>
          </cell>
          <cell r="J1303" t="str">
            <v>20YD ROLL OFF-HAUL</v>
          </cell>
          <cell r="K1303">
            <v>86.84</v>
          </cell>
          <cell r="L1303">
            <v>86.84</v>
          </cell>
        </row>
        <row r="1304">
          <cell r="A1304" t="str">
            <v>RUSTONROLL OFFROHAUL20</v>
          </cell>
          <cell r="B1304" t="str">
            <v>ONCALL</v>
          </cell>
          <cell r="C1304" t="str">
            <v>2111</v>
          </cell>
          <cell r="D1304" t="str">
            <v>ROLL OFF</v>
          </cell>
          <cell r="E1304" t="b">
            <v>1</v>
          </cell>
          <cell r="F1304" t="b">
            <v>0</v>
          </cell>
          <cell r="G1304" t="str">
            <v>RUSTON</v>
          </cell>
          <cell r="H1304">
            <v>2607</v>
          </cell>
          <cell r="I1304" t="str">
            <v>ROHAUL20</v>
          </cell>
          <cell r="J1304" t="str">
            <v>20YD ROLL OFF-HAUL</v>
          </cell>
          <cell r="K1304">
            <v>227.56</v>
          </cell>
          <cell r="L1304">
            <v>227.56</v>
          </cell>
        </row>
        <row r="1305">
          <cell r="A1305" t="str">
            <v>VASHONROLL OFFROHAUL20</v>
          </cell>
          <cell r="B1305" t="str">
            <v>ONCALL</v>
          </cell>
          <cell r="C1305" t="str">
            <v>2111</v>
          </cell>
          <cell r="D1305" t="str">
            <v>ROLL OFF</v>
          </cell>
          <cell r="E1305" t="b">
            <v>1</v>
          </cell>
          <cell r="F1305" t="b">
            <v>0</v>
          </cell>
          <cell r="G1305" t="str">
            <v>VASHON</v>
          </cell>
          <cell r="H1305">
            <v>2607</v>
          </cell>
          <cell r="I1305" t="str">
            <v>ROHAUL20</v>
          </cell>
          <cell r="J1305" t="str">
            <v>20YD ROLL OFF-HAUL</v>
          </cell>
          <cell r="K1305">
            <v>121.2</v>
          </cell>
          <cell r="L1305">
            <v>121.2</v>
          </cell>
        </row>
        <row r="1306">
          <cell r="A1306" t="str">
            <v>CARBONADOROLL OFFROHAUL20A</v>
          </cell>
          <cell r="B1306" t="str">
            <v>ONCALL</v>
          </cell>
          <cell r="C1306" t="str">
            <v>2111</v>
          </cell>
          <cell r="D1306" t="str">
            <v>ROLL OFF</v>
          </cell>
          <cell r="E1306" t="b">
            <v>1</v>
          </cell>
          <cell r="F1306" t="b">
            <v>0</v>
          </cell>
          <cell r="G1306" t="str">
            <v>CARBONADO</v>
          </cell>
          <cell r="H1306">
            <v>3268</v>
          </cell>
          <cell r="I1306" t="str">
            <v>ROHAUL20A</v>
          </cell>
          <cell r="J1306" t="str">
            <v>ADDTL 20YD ROLL OFF HAUL</v>
          </cell>
          <cell r="K1306">
            <v>0</v>
          </cell>
          <cell r="L1306">
            <v>0</v>
          </cell>
        </row>
        <row r="1307">
          <cell r="A1307" t="str">
            <v>CARBONADOROLL OFFROHAUL20CO</v>
          </cell>
          <cell r="B1307" t="str">
            <v>ONCALL</v>
          </cell>
          <cell r="C1307" t="str">
            <v>2111</v>
          </cell>
          <cell r="D1307" t="str">
            <v>ROLL OFF</v>
          </cell>
          <cell r="E1307" t="b">
            <v>1</v>
          </cell>
          <cell r="F1307" t="b">
            <v>0</v>
          </cell>
          <cell r="G1307" t="str">
            <v>CARBONADO</v>
          </cell>
          <cell r="H1307">
            <v>3286</v>
          </cell>
          <cell r="I1307" t="str">
            <v>ROHAUL20CO</v>
          </cell>
          <cell r="J1307" t="str">
            <v>20YD CUST OWNED R/O HAUL</v>
          </cell>
          <cell r="K1307">
            <v>0</v>
          </cell>
          <cell r="L1307">
            <v>0</v>
          </cell>
        </row>
        <row r="1308">
          <cell r="A1308" t="str">
            <v>M-EDGEWOODROLL OFFROHAUL20CO</v>
          </cell>
          <cell r="B1308" t="str">
            <v>ONCALL</v>
          </cell>
          <cell r="C1308" t="str">
            <v>2111</v>
          </cell>
          <cell r="D1308" t="str">
            <v>ROLL OFF</v>
          </cell>
          <cell r="E1308" t="b">
            <v>1</v>
          </cell>
          <cell r="F1308" t="b">
            <v>0</v>
          </cell>
          <cell r="G1308" t="str">
            <v>M-EDGEWOOD</v>
          </cell>
          <cell r="H1308">
            <v>3286</v>
          </cell>
          <cell r="I1308" t="str">
            <v>ROHAUL20CO</v>
          </cell>
          <cell r="J1308" t="str">
            <v>20YD CUST OWNED R/O HAUL</v>
          </cell>
          <cell r="K1308">
            <v>95.13</v>
          </cell>
          <cell r="L1308">
            <v>95.13</v>
          </cell>
        </row>
        <row r="1309">
          <cell r="A1309" t="str">
            <v>M-FIFEROLL OFFROHAUL20CO</v>
          </cell>
          <cell r="B1309" t="str">
            <v>ONCALL</v>
          </cell>
          <cell r="C1309" t="str">
            <v>2111</v>
          </cell>
          <cell r="D1309" t="str">
            <v>ROLL OFF</v>
          </cell>
          <cell r="E1309" t="b">
            <v>1</v>
          </cell>
          <cell r="F1309" t="b">
            <v>0</v>
          </cell>
          <cell r="G1309" t="str">
            <v>M-FIFE</v>
          </cell>
          <cell r="H1309">
            <v>3286</v>
          </cell>
          <cell r="I1309" t="str">
            <v>ROHAUL20CO</v>
          </cell>
          <cell r="J1309" t="str">
            <v>20YD CUST OWNED R/O HAUL</v>
          </cell>
          <cell r="K1309">
            <v>95.13</v>
          </cell>
          <cell r="L1309">
            <v>95.13</v>
          </cell>
        </row>
        <row r="1310">
          <cell r="A1310" t="str">
            <v>MURREYSROLL OFFROHAUL20CO</v>
          </cell>
          <cell r="B1310" t="str">
            <v>ONCALL</v>
          </cell>
          <cell r="C1310" t="str">
            <v>2111</v>
          </cell>
          <cell r="D1310" t="str">
            <v>ROLL OFF</v>
          </cell>
          <cell r="E1310" t="b">
            <v>1</v>
          </cell>
          <cell r="F1310" t="b">
            <v>0</v>
          </cell>
          <cell r="G1310" t="str">
            <v>MURREYS</v>
          </cell>
          <cell r="H1310">
            <v>3286</v>
          </cell>
          <cell r="I1310" t="str">
            <v>ROHAUL20CO</v>
          </cell>
          <cell r="J1310" t="str">
            <v>20YD CUST OWNED R/O HAUL</v>
          </cell>
          <cell r="K1310">
            <v>95.13</v>
          </cell>
          <cell r="L1310">
            <v>95.13</v>
          </cell>
        </row>
        <row r="1311">
          <cell r="A1311" t="str">
            <v>PUYALLUPROLL OFFROHAUL20CO</v>
          </cell>
          <cell r="B1311" t="str">
            <v>ONCALL</v>
          </cell>
          <cell r="C1311" t="str">
            <v>2111</v>
          </cell>
          <cell r="D1311" t="str">
            <v>ROLL OFF</v>
          </cell>
          <cell r="E1311" t="b">
            <v>1</v>
          </cell>
          <cell r="F1311" t="b">
            <v>0</v>
          </cell>
          <cell r="G1311" t="str">
            <v>PUYALLUP</v>
          </cell>
          <cell r="H1311">
            <v>3286</v>
          </cell>
          <cell r="I1311" t="str">
            <v>ROHAUL20CO</v>
          </cell>
          <cell r="J1311" t="str">
            <v>20YD CUST OWNED R/O HAUL</v>
          </cell>
          <cell r="K1311">
            <v>90.05</v>
          </cell>
          <cell r="L1311">
            <v>90.05</v>
          </cell>
        </row>
        <row r="1312">
          <cell r="A1312" t="str">
            <v>RUSTONROLL OFFROHAUL20CO</v>
          </cell>
          <cell r="B1312" t="str">
            <v>ONCALL</v>
          </cell>
          <cell r="C1312" t="str">
            <v>2111</v>
          </cell>
          <cell r="D1312" t="str">
            <v>ROLL OFF</v>
          </cell>
          <cell r="E1312" t="b">
            <v>1</v>
          </cell>
          <cell r="F1312" t="b">
            <v>0</v>
          </cell>
          <cell r="G1312" t="str">
            <v>RUSTON</v>
          </cell>
          <cell r="H1312">
            <v>3286</v>
          </cell>
          <cell r="I1312" t="str">
            <v>ROHAUL20CO</v>
          </cell>
          <cell r="J1312" t="str">
            <v>20YD CUST OWNED R/O HAUL</v>
          </cell>
          <cell r="K1312">
            <v>227.56</v>
          </cell>
          <cell r="L1312">
            <v>227.56</v>
          </cell>
        </row>
        <row r="1313">
          <cell r="A1313" t="str">
            <v>BONNEY LAKEROLL OFFROHAUL20T</v>
          </cell>
          <cell r="B1313" t="str">
            <v>ONCALL</v>
          </cell>
          <cell r="C1313" t="str">
            <v>2111</v>
          </cell>
          <cell r="D1313" t="str">
            <v>ROLL OFF</v>
          </cell>
          <cell r="E1313" t="b">
            <v>1</v>
          </cell>
          <cell r="F1313" t="b">
            <v>0</v>
          </cell>
          <cell r="G1313" t="str">
            <v>BONNEY LAKE</v>
          </cell>
          <cell r="H1313">
            <v>3148</v>
          </cell>
          <cell r="I1313" t="str">
            <v>ROHAUL20T</v>
          </cell>
          <cell r="J1313" t="str">
            <v>20YD ROLL OFF TEMP HAUL</v>
          </cell>
          <cell r="K1313">
            <v>134.93</v>
          </cell>
          <cell r="L1313">
            <v>134.93</v>
          </cell>
        </row>
        <row r="1314">
          <cell r="A1314" t="str">
            <v>CARBONADOROLL OFFROHAUL20T</v>
          </cell>
          <cell r="B1314" t="str">
            <v>ONCALL</v>
          </cell>
          <cell r="C1314" t="str">
            <v>2111</v>
          </cell>
          <cell r="D1314" t="str">
            <v>ROLL OFF</v>
          </cell>
          <cell r="E1314" t="b">
            <v>1</v>
          </cell>
          <cell r="F1314" t="b">
            <v>0</v>
          </cell>
          <cell r="G1314" t="str">
            <v>CARBONADO</v>
          </cell>
          <cell r="H1314">
            <v>3148</v>
          </cell>
          <cell r="I1314" t="str">
            <v>ROHAUL20T</v>
          </cell>
          <cell r="J1314" t="str">
            <v>20YD ROLL OFF TEMP HAUL</v>
          </cell>
          <cell r="K1314">
            <v>0</v>
          </cell>
          <cell r="L1314">
            <v>0</v>
          </cell>
        </row>
        <row r="1315">
          <cell r="A1315" t="str">
            <v>M-EDGEWOODROLL OFFROHAUL20T</v>
          </cell>
          <cell r="B1315" t="str">
            <v>ONCALL</v>
          </cell>
          <cell r="C1315" t="str">
            <v>2111</v>
          </cell>
          <cell r="D1315" t="str">
            <v>ROLL OFF</v>
          </cell>
          <cell r="E1315" t="b">
            <v>1</v>
          </cell>
          <cell r="F1315" t="b">
            <v>0</v>
          </cell>
          <cell r="G1315" t="str">
            <v>M-EDGEWOOD</v>
          </cell>
          <cell r="H1315">
            <v>3148</v>
          </cell>
          <cell r="I1315" t="str">
            <v>ROHAUL20T</v>
          </cell>
          <cell r="J1315" t="str">
            <v>20YD ROLL OFF TEMP HAUL</v>
          </cell>
          <cell r="K1315">
            <v>113.53</v>
          </cell>
          <cell r="L1315">
            <v>113.53</v>
          </cell>
        </row>
        <row r="1316">
          <cell r="A1316" t="str">
            <v>M-FIFEROLL OFFROHAUL20T</v>
          </cell>
          <cell r="B1316" t="str">
            <v>ONCALL</v>
          </cell>
          <cell r="C1316" t="str">
            <v>2111</v>
          </cell>
          <cell r="D1316" t="str">
            <v>ROLL OFF</v>
          </cell>
          <cell r="E1316" t="b">
            <v>1</v>
          </cell>
          <cell r="F1316" t="b">
            <v>0</v>
          </cell>
          <cell r="G1316" t="str">
            <v>M-FIFE</v>
          </cell>
          <cell r="H1316">
            <v>3148</v>
          </cell>
          <cell r="I1316" t="str">
            <v>ROHAUL20T</v>
          </cell>
          <cell r="J1316" t="str">
            <v>20YD ROLL OFF TEMP HAUL</v>
          </cell>
          <cell r="K1316">
            <v>113.53</v>
          </cell>
          <cell r="L1316">
            <v>113.53</v>
          </cell>
        </row>
        <row r="1317">
          <cell r="A1317" t="str">
            <v>MURREYSROLL OFFROHAUL20T</v>
          </cell>
          <cell r="B1317" t="str">
            <v>ONCALL</v>
          </cell>
          <cell r="C1317" t="str">
            <v>2111</v>
          </cell>
          <cell r="D1317" t="str">
            <v>ROLL OFF</v>
          </cell>
          <cell r="E1317" t="b">
            <v>1</v>
          </cell>
          <cell r="F1317" t="b">
            <v>0</v>
          </cell>
          <cell r="G1317" t="str">
            <v>MURREYS</v>
          </cell>
          <cell r="H1317">
            <v>3148</v>
          </cell>
          <cell r="I1317" t="str">
            <v>ROHAUL20T</v>
          </cell>
          <cell r="J1317" t="str">
            <v>20YD ROLL OFF TEMP HAUL</v>
          </cell>
          <cell r="K1317">
            <v>113.53</v>
          </cell>
          <cell r="L1317">
            <v>113.53</v>
          </cell>
        </row>
        <row r="1318">
          <cell r="A1318" t="str">
            <v>PUYALLUPROLL OFFROHAUL20T</v>
          </cell>
          <cell r="B1318" t="str">
            <v>ONCALL</v>
          </cell>
          <cell r="C1318" t="str">
            <v>2111</v>
          </cell>
          <cell r="D1318" t="str">
            <v>ROLL OFF</v>
          </cell>
          <cell r="E1318" t="b">
            <v>1</v>
          </cell>
          <cell r="F1318" t="b">
            <v>0</v>
          </cell>
          <cell r="G1318" t="str">
            <v>PUYALLUP</v>
          </cell>
          <cell r="H1318">
            <v>3148</v>
          </cell>
          <cell r="I1318" t="str">
            <v>ROHAUL20T</v>
          </cell>
          <cell r="J1318" t="str">
            <v>20YD ROLL OFF TEMP HAUL</v>
          </cell>
          <cell r="K1318">
            <v>113.9</v>
          </cell>
          <cell r="L1318">
            <v>113.9</v>
          </cell>
        </row>
        <row r="1319">
          <cell r="A1319" t="str">
            <v>RUSTONROLL OFFROHAUL20T</v>
          </cell>
          <cell r="B1319" t="str">
            <v>ONCALL</v>
          </cell>
          <cell r="C1319" t="str">
            <v>2111</v>
          </cell>
          <cell r="D1319" t="str">
            <v>ROLL OFF</v>
          </cell>
          <cell r="E1319" t="b">
            <v>1</v>
          </cell>
          <cell r="F1319" t="b">
            <v>0</v>
          </cell>
          <cell r="G1319" t="str">
            <v>RUSTON</v>
          </cell>
          <cell r="H1319">
            <v>3148</v>
          </cell>
          <cell r="I1319" t="str">
            <v>ROHAUL20T</v>
          </cell>
          <cell r="J1319" t="str">
            <v>20YD ROLL OFF TEMP HAUL</v>
          </cell>
          <cell r="K1319">
            <v>279.27999999999997</v>
          </cell>
          <cell r="L1319">
            <v>279.27999999999997</v>
          </cell>
        </row>
        <row r="1320">
          <cell r="A1320" t="str">
            <v>VASHONROLL OFFROHAUL20T</v>
          </cell>
          <cell r="B1320" t="str">
            <v>ONCALL</v>
          </cell>
          <cell r="C1320" t="str">
            <v>2111</v>
          </cell>
          <cell r="D1320" t="str">
            <v>ROLL OFF</v>
          </cell>
          <cell r="E1320" t="b">
            <v>1</v>
          </cell>
          <cell r="F1320" t="b">
            <v>0</v>
          </cell>
          <cell r="G1320" t="str">
            <v>VASHON</v>
          </cell>
          <cell r="H1320">
            <v>3148</v>
          </cell>
          <cell r="I1320" t="str">
            <v>ROHAUL20T</v>
          </cell>
          <cell r="J1320" t="str">
            <v>20YD ROLL OFF TEMP HAUL</v>
          </cell>
          <cell r="K1320">
            <v>121.2</v>
          </cell>
          <cell r="L1320">
            <v>121.2</v>
          </cell>
        </row>
        <row r="1321">
          <cell r="A1321" t="str">
            <v>BONNEY LAKEROLL OFFROHAUL25</v>
          </cell>
          <cell r="B1321" t="str">
            <v>ONCALL</v>
          </cell>
          <cell r="C1321" t="str">
            <v>2111</v>
          </cell>
          <cell r="D1321" t="str">
            <v>ROLL OFF</v>
          </cell>
          <cell r="E1321" t="b">
            <v>1</v>
          </cell>
          <cell r="F1321" t="b">
            <v>0</v>
          </cell>
          <cell r="G1321" t="str">
            <v>BONNEY LAKE</v>
          </cell>
          <cell r="H1321">
            <v>3047</v>
          </cell>
          <cell r="I1321" t="str">
            <v>ROHAUL25</v>
          </cell>
          <cell r="J1321" t="str">
            <v>25YD ROLL OFF - HAUL</v>
          </cell>
          <cell r="K1321">
            <v>123.94</v>
          </cell>
          <cell r="L1321">
            <v>123.94</v>
          </cell>
        </row>
        <row r="1322">
          <cell r="A1322" t="str">
            <v>CARBONADOROLL OFFROHAUL25</v>
          </cell>
          <cell r="B1322" t="str">
            <v>ONCALL</v>
          </cell>
          <cell r="C1322" t="str">
            <v>2111</v>
          </cell>
          <cell r="D1322" t="str">
            <v>ROLL OFF</v>
          </cell>
          <cell r="E1322" t="b">
            <v>1</v>
          </cell>
          <cell r="F1322" t="b">
            <v>0</v>
          </cell>
          <cell r="G1322" t="str">
            <v>CARBONADO</v>
          </cell>
          <cell r="H1322">
            <v>3047</v>
          </cell>
          <cell r="I1322" t="str">
            <v>ROHAUL25</v>
          </cell>
          <cell r="J1322" t="str">
            <v>25YD ROLL OFF - HAUL</v>
          </cell>
          <cell r="K1322">
            <v>0</v>
          </cell>
          <cell r="L1322">
            <v>0</v>
          </cell>
        </row>
        <row r="1323">
          <cell r="A1323" t="str">
            <v>M-EDGEWOODROLL OFFROHAUL25</v>
          </cell>
          <cell r="B1323" t="str">
            <v>ONCALL</v>
          </cell>
          <cell r="C1323" t="str">
            <v>2111</v>
          </cell>
          <cell r="D1323" t="str">
            <v>ROLL OFF</v>
          </cell>
          <cell r="E1323" t="b">
            <v>1</v>
          </cell>
          <cell r="F1323" t="b">
            <v>0</v>
          </cell>
          <cell r="G1323" t="str">
            <v>M-EDGEWOOD</v>
          </cell>
          <cell r="H1323">
            <v>3047</v>
          </cell>
          <cell r="I1323" t="str">
            <v>ROHAUL25</v>
          </cell>
          <cell r="J1323" t="str">
            <v>25YD ROLL OFF - HAUL</v>
          </cell>
          <cell r="K1323">
            <v>104.29</v>
          </cell>
          <cell r="L1323">
            <v>104.29</v>
          </cell>
        </row>
        <row r="1324">
          <cell r="A1324" t="str">
            <v>M-FIFEROLL OFFROHAUL25</v>
          </cell>
          <cell r="B1324" t="str">
            <v>ONCALL</v>
          </cell>
          <cell r="C1324" t="str">
            <v>2111</v>
          </cell>
          <cell r="D1324" t="str">
            <v>ROLL OFF</v>
          </cell>
          <cell r="E1324" t="b">
            <v>1</v>
          </cell>
          <cell r="F1324" t="b">
            <v>0</v>
          </cell>
          <cell r="G1324" t="str">
            <v>M-FIFE</v>
          </cell>
          <cell r="H1324">
            <v>3047</v>
          </cell>
          <cell r="I1324" t="str">
            <v>ROHAUL25</v>
          </cell>
          <cell r="J1324" t="str">
            <v>25YD ROLL OFF - HAUL</v>
          </cell>
          <cell r="K1324">
            <v>104.29</v>
          </cell>
          <cell r="L1324">
            <v>104.29</v>
          </cell>
        </row>
        <row r="1325">
          <cell r="A1325" t="str">
            <v>MURREYSROLL OFFROHAUL25</v>
          </cell>
          <cell r="B1325" t="str">
            <v>ONCALL</v>
          </cell>
          <cell r="C1325" t="str">
            <v>2111</v>
          </cell>
          <cell r="D1325" t="str">
            <v>ROLL OFF</v>
          </cell>
          <cell r="E1325" t="b">
            <v>1</v>
          </cell>
          <cell r="F1325" t="b">
            <v>0</v>
          </cell>
          <cell r="G1325" t="str">
            <v>MURREYS</v>
          </cell>
          <cell r="H1325">
            <v>3047</v>
          </cell>
          <cell r="I1325" t="str">
            <v>ROHAUL25</v>
          </cell>
          <cell r="J1325" t="str">
            <v>25YD ROLL OFF - HAUL</v>
          </cell>
          <cell r="K1325">
            <v>104.29</v>
          </cell>
          <cell r="L1325">
            <v>104.29</v>
          </cell>
        </row>
        <row r="1326">
          <cell r="A1326" t="str">
            <v>PUYALLUPROLL OFFROHAUL25</v>
          </cell>
          <cell r="B1326" t="str">
            <v>ONCALL</v>
          </cell>
          <cell r="C1326" t="str">
            <v>2111</v>
          </cell>
          <cell r="D1326" t="str">
            <v>ROLL OFF</v>
          </cell>
          <cell r="E1326" t="b">
            <v>1</v>
          </cell>
          <cell r="F1326" t="b">
            <v>0</v>
          </cell>
          <cell r="G1326" t="str">
            <v>PUYALLUP</v>
          </cell>
          <cell r="H1326">
            <v>3047</v>
          </cell>
          <cell r="I1326" t="str">
            <v>ROHAUL25</v>
          </cell>
          <cell r="J1326" t="str">
            <v>25YD ROLL OFF - HAUL</v>
          </cell>
          <cell r="K1326">
            <v>97.94</v>
          </cell>
          <cell r="L1326">
            <v>97.94</v>
          </cell>
        </row>
        <row r="1327">
          <cell r="A1327" t="str">
            <v>RUSTONROLL OFFROHAUL25</v>
          </cell>
          <cell r="B1327" t="str">
            <v>ONCALL</v>
          </cell>
          <cell r="C1327" t="str">
            <v>2111</v>
          </cell>
          <cell r="D1327" t="str">
            <v>ROLL OFF</v>
          </cell>
          <cell r="E1327" t="b">
            <v>1</v>
          </cell>
          <cell r="F1327" t="b">
            <v>0</v>
          </cell>
          <cell r="G1327" t="str">
            <v>RUSTON</v>
          </cell>
          <cell r="H1327">
            <v>3047</v>
          </cell>
          <cell r="I1327" t="str">
            <v>ROHAUL25</v>
          </cell>
          <cell r="J1327" t="str">
            <v>25YD ROLL OFF - HAUL</v>
          </cell>
          <cell r="K1327">
            <v>227.56</v>
          </cell>
          <cell r="L1327">
            <v>227.56</v>
          </cell>
        </row>
        <row r="1328">
          <cell r="A1328" t="str">
            <v>VASHONROLL OFFROHAUL25</v>
          </cell>
          <cell r="B1328" t="str">
            <v>ONCALL</v>
          </cell>
          <cell r="C1328" t="str">
            <v>2111</v>
          </cell>
          <cell r="D1328" t="str">
            <v>ROLL OFF</v>
          </cell>
          <cell r="E1328" t="b">
            <v>1</v>
          </cell>
          <cell r="F1328" t="b">
            <v>0</v>
          </cell>
          <cell r="G1328" t="str">
            <v>VASHON</v>
          </cell>
          <cell r="H1328">
            <v>3047</v>
          </cell>
          <cell r="I1328" t="str">
            <v>ROHAUL25</v>
          </cell>
          <cell r="J1328" t="str">
            <v>25YD ROLL OFF - HAUL</v>
          </cell>
          <cell r="K1328">
            <v>121.2</v>
          </cell>
          <cell r="L1328">
            <v>121.2</v>
          </cell>
        </row>
        <row r="1329">
          <cell r="A1329" t="str">
            <v>CARBONADOROLL OFFROHAUL25A</v>
          </cell>
          <cell r="B1329" t="str">
            <v>ONCALL</v>
          </cell>
          <cell r="C1329" t="str">
            <v>2111</v>
          </cell>
          <cell r="D1329" t="str">
            <v>ROLL OFF</v>
          </cell>
          <cell r="E1329" t="b">
            <v>1</v>
          </cell>
          <cell r="F1329" t="b">
            <v>0</v>
          </cell>
          <cell r="G1329" t="str">
            <v>CARBONADO</v>
          </cell>
          <cell r="H1329">
            <v>3269</v>
          </cell>
          <cell r="I1329" t="str">
            <v>ROHAUL25A</v>
          </cell>
          <cell r="J1329" t="str">
            <v>ADDTL 25YD ROLL OFF HAUL</v>
          </cell>
          <cell r="K1329">
            <v>0</v>
          </cell>
          <cell r="L1329">
            <v>0</v>
          </cell>
        </row>
        <row r="1330">
          <cell r="A1330" t="str">
            <v>M-EDGEWOODROLL OFFROHAUL25CO</v>
          </cell>
          <cell r="B1330" t="str">
            <v>ONCALL</v>
          </cell>
          <cell r="C1330" t="str">
            <v>2111</v>
          </cell>
          <cell r="D1330" t="str">
            <v>ROLL OFF</v>
          </cell>
          <cell r="E1330" t="b">
            <v>1</v>
          </cell>
          <cell r="F1330" t="b">
            <v>0</v>
          </cell>
          <cell r="G1330" t="str">
            <v>M-EDGEWOOD</v>
          </cell>
          <cell r="H1330">
            <v>3298</v>
          </cell>
          <cell r="I1330" t="str">
            <v>ROHAUL25CO</v>
          </cell>
          <cell r="J1330" t="str">
            <v>25YD CUST OWNED R/O HAUL</v>
          </cell>
          <cell r="K1330">
            <v>104.29</v>
          </cell>
          <cell r="L1330">
            <v>104.29</v>
          </cell>
        </row>
        <row r="1331">
          <cell r="A1331" t="str">
            <v>M-FIFEROLL OFFROHAUL25CO</v>
          </cell>
          <cell r="B1331" t="str">
            <v>ONCALL</v>
          </cell>
          <cell r="C1331" t="str">
            <v>2111</v>
          </cell>
          <cell r="D1331" t="str">
            <v>ROLL OFF</v>
          </cell>
          <cell r="E1331" t="b">
            <v>1</v>
          </cell>
          <cell r="F1331" t="b">
            <v>0</v>
          </cell>
          <cell r="G1331" t="str">
            <v>M-FIFE</v>
          </cell>
          <cell r="H1331">
            <v>3298</v>
          </cell>
          <cell r="I1331" t="str">
            <v>ROHAUL25CO</v>
          </cell>
          <cell r="J1331" t="str">
            <v>25YD CUST OWNED R/O HAUL</v>
          </cell>
          <cell r="K1331">
            <v>104.29</v>
          </cell>
          <cell r="L1331">
            <v>104.29</v>
          </cell>
        </row>
        <row r="1332">
          <cell r="A1332" t="str">
            <v>MURREYSROLL OFFROHAUL25CO</v>
          </cell>
          <cell r="B1332" t="str">
            <v>ONCALL</v>
          </cell>
          <cell r="C1332" t="str">
            <v>2111</v>
          </cell>
          <cell r="D1332" t="str">
            <v>ROLL OFF</v>
          </cell>
          <cell r="E1332" t="b">
            <v>1</v>
          </cell>
          <cell r="F1332" t="b">
            <v>0</v>
          </cell>
          <cell r="G1332" t="str">
            <v>MURREYS</v>
          </cell>
          <cell r="H1332">
            <v>3298</v>
          </cell>
          <cell r="I1332" t="str">
            <v>ROHAUL25CO</v>
          </cell>
          <cell r="J1332" t="str">
            <v>25YD CUST OWNED R/O HAUL</v>
          </cell>
          <cell r="K1332">
            <v>104.29</v>
          </cell>
          <cell r="L1332">
            <v>104.29</v>
          </cell>
        </row>
        <row r="1333">
          <cell r="A1333" t="str">
            <v>BONNEY LAKEROLL OFFROHAUL25T</v>
          </cell>
          <cell r="B1333" t="str">
            <v>ONCALL</v>
          </cell>
          <cell r="C1333" t="str">
            <v>2111</v>
          </cell>
          <cell r="D1333" t="str">
            <v>ROLL OFF</v>
          </cell>
          <cell r="E1333" t="b">
            <v>1</v>
          </cell>
          <cell r="F1333" t="b">
            <v>0</v>
          </cell>
          <cell r="G1333" t="str">
            <v>BONNEY LAKE</v>
          </cell>
          <cell r="H1333">
            <v>3149</v>
          </cell>
          <cell r="I1333" t="str">
            <v>ROHAUL25T</v>
          </cell>
          <cell r="J1333" t="str">
            <v>25YD ROLL OFF TEMP HAUL</v>
          </cell>
          <cell r="K1333">
            <v>144.05000000000001</v>
          </cell>
          <cell r="L1333">
            <v>144.05000000000001</v>
          </cell>
        </row>
        <row r="1334">
          <cell r="A1334" t="str">
            <v>CARBONADOROLL OFFROHAUL25T</v>
          </cell>
          <cell r="B1334" t="str">
            <v>ONCALL</v>
          </cell>
          <cell r="C1334" t="str">
            <v>2111</v>
          </cell>
          <cell r="D1334" t="str">
            <v>ROLL OFF</v>
          </cell>
          <cell r="E1334" t="b">
            <v>1</v>
          </cell>
          <cell r="F1334" t="b">
            <v>0</v>
          </cell>
          <cell r="G1334" t="str">
            <v>CARBONADO</v>
          </cell>
          <cell r="H1334">
            <v>3149</v>
          </cell>
          <cell r="I1334" t="str">
            <v>ROHAUL25T</v>
          </cell>
          <cell r="J1334" t="str">
            <v>25YD ROLL OFF TEMP HAUL</v>
          </cell>
          <cell r="K1334">
            <v>0</v>
          </cell>
          <cell r="L1334">
            <v>0</v>
          </cell>
        </row>
        <row r="1335">
          <cell r="A1335" t="str">
            <v>M-EDGEWOODROLL OFFROHAUL25T</v>
          </cell>
          <cell r="B1335" t="str">
            <v>ONCALL</v>
          </cell>
          <cell r="C1335" t="str">
            <v>2111</v>
          </cell>
          <cell r="D1335" t="str">
            <v>ROLL OFF</v>
          </cell>
          <cell r="E1335" t="b">
            <v>1</v>
          </cell>
          <cell r="F1335" t="b">
            <v>0</v>
          </cell>
          <cell r="G1335" t="str">
            <v>M-EDGEWOOD</v>
          </cell>
          <cell r="H1335">
            <v>3149</v>
          </cell>
          <cell r="I1335" t="str">
            <v>ROHAUL25T</v>
          </cell>
          <cell r="J1335" t="str">
            <v>25YD ROLL OFF TEMP HAUL</v>
          </cell>
          <cell r="K1335">
            <v>121.21</v>
          </cell>
          <cell r="L1335">
            <v>121.21</v>
          </cell>
        </row>
        <row r="1336">
          <cell r="A1336" t="str">
            <v>M-FIFEROLL OFFROHAUL25T</v>
          </cell>
          <cell r="B1336" t="str">
            <v>ONCALL</v>
          </cell>
          <cell r="C1336" t="str">
            <v>2111</v>
          </cell>
          <cell r="D1336" t="str">
            <v>ROLL OFF</v>
          </cell>
          <cell r="E1336" t="b">
            <v>1</v>
          </cell>
          <cell r="F1336" t="b">
            <v>0</v>
          </cell>
          <cell r="G1336" t="str">
            <v>M-FIFE</v>
          </cell>
          <cell r="H1336">
            <v>3149</v>
          </cell>
          <cell r="I1336" t="str">
            <v>ROHAUL25T</v>
          </cell>
          <cell r="J1336" t="str">
            <v>25YD ROLL OFF TEMP HAUL</v>
          </cell>
          <cell r="K1336">
            <v>121.21</v>
          </cell>
          <cell r="L1336">
            <v>121.21</v>
          </cell>
        </row>
        <row r="1337">
          <cell r="A1337" t="str">
            <v>MURREYSROLL OFFROHAUL25T</v>
          </cell>
          <cell r="B1337" t="str">
            <v>ONCALL</v>
          </cell>
          <cell r="C1337" t="str">
            <v>2111</v>
          </cell>
          <cell r="D1337" t="str">
            <v>ROLL OFF</v>
          </cell>
          <cell r="E1337" t="b">
            <v>1</v>
          </cell>
          <cell r="F1337" t="b">
            <v>0</v>
          </cell>
          <cell r="G1337" t="str">
            <v>MURREYS</v>
          </cell>
          <cell r="H1337">
            <v>3149</v>
          </cell>
          <cell r="I1337" t="str">
            <v>ROHAUL25T</v>
          </cell>
          <cell r="J1337" t="str">
            <v>25YD ROLL OFF TEMP HAUL</v>
          </cell>
          <cell r="K1337">
            <v>121.21</v>
          </cell>
          <cell r="L1337">
            <v>121.21</v>
          </cell>
        </row>
        <row r="1338">
          <cell r="A1338" t="str">
            <v>PUYALLUPROLL OFFROHAUL25T</v>
          </cell>
          <cell r="B1338" t="str">
            <v>ONCALL</v>
          </cell>
          <cell r="C1338" t="str">
            <v>2111</v>
          </cell>
          <cell r="D1338" t="str">
            <v>ROLL OFF</v>
          </cell>
          <cell r="E1338" t="b">
            <v>1</v>
          </cell>
          <cell r="F1338" t="b">
            <v>0</v>
          </cell>
          <cell r="G1338" t="str">
            <v>PUYALLUP</v>
          </cell>
          <cell r="H1338">
            <v>3149</v>
          </cell>
          <cell r="I1338" t="str">
            <v>ROHAUL25T</v>
          </cell>
          <cell r="J1338" t="str">
            <v>25YD ROLL OFF TEMP HAUL</v>
          </cell>
          <cell r="K1338">
            <v>123.55</v>
          </cell>
          <cell r="L1338">
            <v>123.55</v>
          </cell>
        </row>
        <row r="1339">
          <cell r="A1339" t="str">
            <v>RUSTONROLL OFFROHAUL25T</v>
          </cell>
          <cell r="B1339" t="str">
            <v>ONCALL</v>
          </cell>
          <cell r="C1339" t="str">
            <v>2111</v>
          </cell>
          <cell r="D1339" t="str">
            <v>ROLL OFF</v>
          </cell>
          <cell r="E1339" t="b">
            <v>1</v>
          </cell>
          <cell r="F1339" t="b">
            <v>0</v>
          </cell>
          <cell r="G1339" t="str">
            <v>RUSTON</v>
          </cell>
          <cell r="H1339">
            <v>3149</v>
          </cell>
          <cell r="I1339" t="str">
            <v>ROHAUL25T</v>
          </cell>
          <cell r="J1339" t="str">
            <v>25YD ROLL OFF TEMP HAUL</v>
          </cell>
          <cell r="K1339">
            <v>279.27999999999997</v>
          </cell>
          <cell r="L1339">
            <v>279.27999999999997</v>
          </cell>
        </row>
        <row r="1340">
          <cell r="A1340" t="str">
            <v>VASHONROLL OFFROHAUL25T</v>
          </cell>
          <cell r="B1340" t="str">
            <v>ONCALL</v>
          </cell>
          <cell r="C1340" t="str">
            <v>2111</v>
          </cell>
          <cell r="D1340" t="str">
            <v>ROLL OFF</v>
          </cell>
          <cell r="E1340" t="b">
            <v>1</v>
          </cell>
          <cell r="F1340" t="b">
            <v>0</v>
          </cell>
          <cell r="G1340" t="str">
            <v>VASHON</v>
          </cell>
          <cell r="H1340">
            <v>3149</v>
          </cell>
          <cell r="I1340" t="str">
            <v>ROHAUL25T</v>
          </cell>
          <cell r="J1340" t="str">
            <v>25YD ROLL OFF TEMP HAUL</v>
          </cell>
          <cell r="K1340">
            <v>121.2</v>
          </cell>
          <cell r="L1340">
            <v>121.2</v>
          </cell>
        </row>
        <row r="1341">
          <cell r="A1341" t="str">
            <v>BONNEY LAKEROLL OFFROHAUL30</v>
          </cell>
          <cell r="B1341" t="str">
            <v>ONCALL</v>
          </cell>
          <cell r="C1341" t="str">
            <v>2111</v>
          </cell>
          <cell r="D1341" t="str">
            <v>ROLL OFF</v>
          </cell>
          <cell r="E1341" t="b">
            <v>1</v>
          </cell>
          <cell r="F1341" t="b">
            <v>0</v>
          </cell>
          <cell r="G1341" t="str">
            <v>BONNEY LAKE</v>
          </cell>
          <cell r="H1341">
            <v>2620</v>
          </cell>
          <cell r="I1341" t="str">
            <v>ROHAUL30</v>
          </cell>
          <cell r="J1341" t="str">
            <v>30YD ROLL OFF-HAUL</v>
          </cell>
          <cell r="K1341">
            <v>133.25</v>
          </cell>
          <cell r="L1341">
            <v>133.25</v>
          </cell>
        </row>
        <row r="1342">
          <cell r="A1342" t="str">
            <v>CARBONADOROLL OFFROHAUL30</v>
          </cell>
          <cell r="B1342" t="str">
            <v>ONCALL</v>
          </cell>
          <cell r="C1342" t="str">
            <v>2111</v>
          </cell>
          <cell r="D1342" t="str">
            <v>ROLL OFF</v>
          </cell>
          <cell r="E1342" t="b">
            <v>1</v>
          </cell>
          <cell r="F1342" t="b">
            <v>0</v>
          </cell>
          <cell r="G1342" t="str">
            <v>CARBONADO</v>
          </cell>
          <cell r="H1342">
            <v>2620</v>
          </cell>
          <cell r="I1342" t="str">
            <v>ROHAUL30</v>
          </cell>
          <cell r="J1342" t="str">
            <v>30YD ROLL OFF-HAUL</v>
          </cell>
          <cell r="K1342">
            <v>0</v>
          </cell>
          <cell r="L1342">
            <v>0</v>
          </cell>
        </row>
        <row r="1343">
          <cell r="A1343" t="str">
            <v>M-EDGEWOODROLL OFFROHAUL30</v>
          </cell>
          <cell r="B1343" t="str">
            <v>ONCALL</v>
          </cell>
          <cell r="C1343" t="str">
            <v>2111</v>
          </cell>
          <cell r="D1343" t="str">
            <v>ROLL OFF</v>
          </cell>
          <cell r="E1343" t="b">
            <v>1</v>
          </cell>
          <cell r="F1343" t="b">
            <v>0</v>
          </cell>
          <cell r="G1343" t="str">
            <v>M-EDGEWOOD</v>
          </cell>
          <cell r="H1343">
            <v>2620</v>
          </cell>
          <cell r="I1343" t="str">
            <v>ROHAUL30</v>
          </cell>
          <cell r="J1343" t="str">
            <v>30YD ROLL OFF-HAUL</v>
          </cell>
          <cell r="K1343">
            <v>112.11</v>
          </cell>
          <cell r="L1343">
            <v>112.11</v>
          </cell>
        </row>
        <row r="1344">
          <cell r="A1344" t="str">
            <v>M-FIFEROLL OFFROHAUL30</v>
          </cell>
          <cell r="B1344" t="str">
            <v>ONCALL</v>
          </cell>
          <cell r="C1344" t="str">
            <v>2111</v>
          </cell>
          <cell r="D1344" t="str">
            <v>ROLL OFF</v>
          </cell>
          <cell r="E1344" t="b">
            <v>1</v>
          </cell>
          <cell r="F1344" t="b">
            <v>0</v>
          </cell>
          <cell r="G1344" t="str">
            <v>M-FIFE</v>
          </cell>
          <cell r="H1344">
            <v>2620</v>
          </cell>
          <cell r="I1344" t="str">
            <v>ROHAUL30</v>
          </cell>
          <cell r="J1344" t="str">
            <v>30YD ROLL OFF-HAUL</v>
          </cell>
          <cell r="K1344">
            <v>112.11</v>
          </cell>
          <cell r="L1344">
            <v>112.11</v>
          </cell>
        </row>
        <row r="1345">
          <cell r="A1345" t="str">
            <v>MURREYSROLL OFFROHAUL30</v>
          </cell>
          <cell r="B1345" t="str">
            <v>ONCALL</v>
          </cell>
          <cell r="C1345" t="str">
            <v>2111</v>
          </cell>
          <cell r="D1345" t="str">
            <v>ROLL OFF</v>
          </cell>
          <cell r="E1345" t="b">
            <v>1</v>
          </cell>
          <cell r="F1345" t="b">
            <v>0</v>
          </cell>
          <cell r="G1345" t="str">
            <v>MURREYS</v>
          </cell>
          <cell r="H1345">
            <v>2620</v>
          </cell>
          <cell r="I1345" t="str">
            <v>ROHAUL30</v>
          </cell>
          <cell r="J1345" t="str">
            <v>30YD ROLL OFF-HAUL</v>
          </cell>
          <cell r="K1345">
            <v>112.11</v>
          </cell>
          <cell r="L1345">
            <v>112.11</v>
          </cell>
        </row>
        <row r="1346">
          <cell r="A1346" t="str">
            <v>PUYALLUPROLL OFFROHAUL30</v>
          </cell>
          <cell r="B1346" t="str">
            <v>ONCALL</v>
          </cell>
          <cell r="C1346" t="str">
            <v>2111</v>
          </cell>
          <cell r="D1346" t="str">
            <v>ROLL OFF</v>
          </cell>
          <cell r="E1346" t="b">
            <v>1</v>
          </cell>
          <cell r="F1346" t="b">
            <v>0</v>
          </cell>
          <cell r="G1346" t="str">
            <v>PUYALLUP</v>
          </cell>
          <cell r="H1346">
            <v>2620</v>
          </cell>
          <cell r="I1346" t="str">
            <v>ROHAUL30</v>
          </cell>
          <cell r="J1346" t="str">
            <v>30YD ROLL OFF-HAUL</v>
          </cell>
          <cell r="K1346">
            <v>107.4</v>
          </cell>
          <cell r="L1346">
            <v>107.4</v>
          </cell>
        </row>
        <row r="1347">
          <cell r="A1347" t="str">
            <v>RUSTONROLL OFFROHAUL30</v>
          </cell>
          <cell r="B1347" t="str">
            <v>ONCALL</v>
          </cell>
          <cell r="C1347" t="str">
            <v>2111</v>
          </cell>
          <cell r="D1347" t="str">
            <v>ROLL OFF</v>
          </cell>
          <cell r="E1347" t="b">
            <v>1</v>
          </cell>
          <cell r="F1347" t="b">
            <v>0</v>
          </cell>
          <cell r="G1347" t="str">
            <v>RUSTON</v>
          </cell>
          <cell r="H1347">
            <v>2620</v>
          </cell>
          <cell r="I1347" t="str">
            <v>ROHAUL30</v>
          </cell>
          <cell r="J1347" t="str">
            <v>30YD ROLL OFF-HAUL</v>
          </cell>
          <cell r="K1347">
            <v>227.56</v>
          </cell>
          <cell r="L1347">
            <v>227.56</v>
          </cell>
        </row>
        <row r="1348">
          <cell r="A1348" t="str">
            <v>VASHONROLL OFFROHAUL30</v>
          </cell>
          <cell r="B1348" t="str">
            <v>ONCALL</v>
          </cell>
          <cell r="C1348" t="str">
            <v>2111</v>
          </cell>
          <cell r="D1348" t="str">
            <v>ROLL OFF</v>
          </cell>
          <cell r="E1348" t="b">
            <v>1</v>
          </cell>
          <cell r="F1348" t="b">
            <v>0</v>
          </cell>
          <cell r="G1348" t="str">
            <v>VASHON</v>
          </cell>
          <cell r="H1348">
            <v>2620</v>
          </cell>
          <cell r="I1348" t="str">
            <v>ROHAUL30</v>
          </cell>
          <cell r="J1348" t="str">
            <v>30YD ROLL OFF-HAUL</v>
          </cell>
          <cell r="K1348">
            <v>121.2</v>
          </cell>
          <cell r="L1348">
            <v>121.2</v>
          </cell>
        </row>
        <row r="1349">
          <cell r="A1349" t="str">
            <v>CARBONADOROLL OFFROHAUL30A</v>
          </cell>
          <cell r="B1349" t="str">
            <v>ONCALL</v>
          </cell>
          <cell r="C1349" t="str">
            <v>2111</v>
          </cell>
          <cell r="D1349" t="str">
            <v>ROLL OFF</v>
          </cell>
          <cell r="E1349" t="b">
            <v>1</v>
          </cell>
          <cell r="F1349" t="b">
            <v>0</v>
          </cell>
          <cell r="G1349" t="str">
            <v>CARBONADO</v>
          </cell>
          <cell r="H1349">
            <v>3270</v>
          </cell>
          <cell r="I1349" t="str">
            <v>ROHAUL30A</v>
          </cell>
          <cell r="J1349" t="str">
            <v>ADDTL 30YD ROLL OFF HAUL</v>
          </cell>
          <cell r="K1349">
            <v>0</v>
          </cell>
          <cell r="L1349">
            <v>0</v>
          </cell>
        </row>
        <row r="1350">
          <cell r="A1350" t="str">
            <v>CARBONADOROLL OFFROHAUL30CO</v>
          </cell>
          <cell r="B1350" t="str">
            <v>ONCALL</v>
          </cell>
          <cell r="C1350" t="str">
            <v>2111</v>
          </cell>
          <cell r="D1350" t="str">
            <v>ROLL OFF</v>
          </cell>
          <cell r="E1350" t="b">
            <v>1</v>
          </cell>
          <cell r="F1350" t="b">
            <v>0</v>
          </cell>
          <cell r="G1350" t="str">
            <v>CARBONADO</v>
          </cell>
          <cell r="H1350">
            <v>3146</v>
          </cell>
          <cell r="I1350" t="str">
            <v>ROHAUL30CO</v>
          </cell>
          <cell r="J1350" t="str">
            <v>30YD CUST OWNED R/O HAUL</v>
          </cell>
          <cell r="K1350">
            <v>0</v>
          </cell>
          <cell r="L1350">
            <v>0</v>
          </cell>
        </row>
        <row r="1351">
          <cell r="A1351" t="str">
            <v>M-EDGEWOODROLL OFFROHAUL30CO</v>
          </cell>
          <cell r="B1351" t="str">
            <v>ONCALL</v>
          </cell>
          <cell r="C1351" t="str">
            <v>2111</v>
          </cell>
          <cell r="D1351" t="str">
            <v>ROLL OFF</v>
          </cell>
          <cell r="E1351" t="b">
            <v>1</v>
          </cell>
          <cell r="F1351" t="b">
            <v>0</v>
          </cell>
          <cell r="G1351" t="str">
            <v>M-EDGEWOOD</v>
          </cell>
          <cell r="H1351">
            <v>3146</v>
          </cell>
          <cell r="I1351" t="str">
            <v>ROHAUL30CO</v>
          </cell>
          <cell r="J1351" t="str">
            <v>30YD CUST OWNED R/O HAUL</v>
          </cell>
          <cell r="K1351">
            <v>112.11</v>
          </cell>
          <cell r="L1351">
            <v>112.11</v>
          </cell>
        </row>
        <row r="1352">
          <cell r="A1352" t="str">
            <v>M-FIFEROLL OFFROHAUL30CO</v>
          </cell>
          <cell r="B1352" t="str">
            <v>ONCALL</v>
          </cell>
          <cell r="C1352" t="str">
            <v>2111</v>
          </cell>
          <cell r="D1352" t="str">
            <v>ROLL OFF</v>
          </cell>
          <cell r="E1352" t="b">
            <v>1</v>
          </cell>
          <cell r="F1352" t="b">
            <v>0</v>
          </cell>
          <cell r="G1352" t="str">
            <v>M-FIFE</v>
          </cell>
          <cell r="H1352">
            <v>3146</v>
          </cell>
          <cell r="I1352" t="str">
            <v>ROHAUL30CO</v>
          </cell>
          <cell r="J1352" t="str">
            <v>30YD CUST OWNED R/O HAUL</v>
          </cell>
          <cell r="K1352">
            <v>112.11</v>
          </cell>
          <cell r="L1352">
            <v>112.11</v>
          </cell>
        </row>
        <row r="1353">
          <cell r="A1353" t="str">
            <v>MURREYSROLL OFFROHAUL30CO</v>
          </cell>
          <cell r="B1353" t="str">
            <v>ONCALL</v>
          </cell>
          <cell r="C1353" t="str">
            <v>2111</v>
          </cell>
          <cell r="D1353" t="str">
            <v>ROLL OFF</v>
          </cell>
          <cell r="E1353" t="b">
            <v>1</v>
          </cell>
          <cell r="F1353" t="b">
            <v>0</v>
          </cell>
          <cell r="G1353" t="str">
            <v>MURREYS</v>
          </cell>
          <cell r="H1353">
            <v>3146</v>
          </cell>
          <cell r="I1353" t="str">
            <v>ROHAUL30CO</v>
          </cell>
          <cell r="J1353" t="str">
            <v>30YD CUST OWNED R/O HAUL</v>
          </cell>
          <cell r="K1353">
            <v>112.11</v>
          </cell>
          <cell r="L1353">
            <v>112.11</v>
          </cell>
        </row>
        <row r="1354">
          <cell r="A1354" t="str">
            <v>PUYALLUPROLL OFFROHAUL30CO</v>
          </cell>
          <cell r="B1354" t="str">
            <v>ONCALL</v>
          </cell>
          <cell r="C1354" t="str">
            <v>2111</v>
          </cell>
          <cell r="D1354" t="str">
            <v>ROLL OFF</v>
          </cell>
          <cell r="E1354" t="b">
            <v>1</v>
          </cell>
          <cell r="F1354" t="b">
            <v>0</v>
          </cell>
          <cell r="G1354" t="str">
            <v>PUYALLUP</v>
          </cell>
          <cell r="H1354">
            <v>3146</v>
          </cell>
          <cell r="I1354" t="str">
            <v>ROHAUL30CO</v>
          </cell>
          <cell r="J1354" t="str">
            <v>30YD CUST OWNED R/O HAUL</v>
          </cell>
          <cell r="K1354">
            <v>107.66</v>
          </cell>
          <cell r="L1354">
            <v>107.66</v>
          </cell>
        </row>
        <row r="1355">
          <cell r="A1355" t="str">
            <v>RUSTONROLL OFFROHAUL30CO</v>
          </cell>
          <cell r="B1355" t="str">
            <v>ONCALL</v>
          </cell>
          <cell r="C1355" t="str">
            <v>2111</v>
          </cell>
          <cell r="D1355" t="str">
            <v>ROLL OFF</v>
          </cell>
          <cell r="E1355" t="b">
            <v>1</v>
          </cell>
          <cell r="F1355" t="b">
            <v>0</v>
          </cell>
          <cell r="G1355" t="str">
            <v>RUSTON</v>
          </cell>
          <cell r="H1355">
            <v>3146</v>
          </cell>
          <cell r="I1355" t="str">
            <v>ROHAUL30CO</v>
          </cell>
          <cell r="J1355" t="str">
            <v>30YD CUST OWNED R/O HAUL</v>
          </cell>
          <cell r="K1355">
            <v>227.56</v>
          </cell>
          <cell r="L1355">
            <v>227.56</v>
          </cell>
        </row>
        <row r="1356">
          <cell r="A1356" t="str">
            <v>BONNEY LAKEROLL OFFROHAUL30T</v>
          </cell>
          <cell r="B1356" t="str">
            <v>ONCALL</v>
          </cell>
          <cell r="C1356" t="str">
            <v>2111</v>
          </cell>
          <cell r="D1356" t="str">
            <v>ROLL OFF</v>
          </cell>
          <cell r="E1356" t="b">
            <v>1</v>
          </cell>
          <cell r="F1356" t="b">
            <v>0</v>
          </cell>
          <cell r="G1356" t="str">
            <v>BONNEY LAKE</v>
          </cell>
          <cell r="H1356">
            <v>3150</v>
          </cell>
          <cell r="I1356" t="str">
            <v>ROHAUL30T</v>
          </cell>
          <cell r="J1356" t="str">
            <v>30YD ROLL OFF TEMP HAUL</v>
          </cell>
          <cell r="K1356">
            <v>151.80000000000001</v>
          </cell>
          <cell r="L1356">
            <v>151.80000000000001</v>
          </cell>
        </row>
        <row r="1357">
          <cell r="A1357" t="str">
            <v>CARBONADOROLL OFFROHAUL30T</v>
          </cell>
          <cell r="B1357" t="str">
            <v>ONCALL</v>
          </cell>
          <cell r="C1357" t="str">
            <v>2111</v>
          </cell>
          <cell r="D1357" t="str">
            <v>ROLL OFF</v>
          </cell>
          <cell r="E1357" t="b">
            <v>1</v>
          </cell>
          <cell r="F1357" t="b">
            <v>0</v>
          </cell>
          <cell r="G1357" t="str">
            <v>CARBONADO</v>
          </cell>
          <cell r="H1357">
            <v>3150</v>
          </cell>
          <cell r="I1357" t="str">
            <v>ROHAUL30T</v>
          </cell>
          <cell r="J1357" t="str">
            <v>30YD ROLL OFF TEMP HAUL</v>
          </cell>
          <cell r="K1357">
            <v>0</v>
          </cell>
          <cell r="L1357">
            <v>0</v>
          </cell>
        </row>
        <row r="1358">
          <cell r="A1358" t="str">
            <v>M-EDGEWOODROLL OFFROHAUL30T</v>
          </cell>
          <cell r="B1358" t="str">
            <v>ONCALL</v>
          </cell>
          <cell r="C1358" t="str">
            <v>2111</v>
          </cell>
          <cell r="D1358" t="str">
            <v>ROLL OFF</v>
          </cell>
          <cell r="E1358" t="b">
            <v>1</v>
          </cell>
          <cell r="F1358" t="b">
            <v>0</v>
          </cell>
          <cell r="G1358" t="str">
            <v>M-EDGEWOOD</v>
          </cell>
          <cell r="H1358">
            <v>3150</v>
          </cell>
          <cell r="I1358" t="str">
            <v>ROHAUL30T</v>
          </cell>
          <cell r="J1358" t="str">
            <v>30YD ROLL OFF TEMP HAUL</v>
          </cell>
          <cell r="K1358">
            <v>127.72</v>
          </cell>
          <cell r="L1358">
            <v>127.72</v>
          </cell>
        </row>
        <row r="1359">
          <cell r="A1359" t="str">
            <v>M-FIFEROLL OFFROHAUL30T</v>
          </cell>
          <cell r="B1359" t="str">
            <v>ONCALL</v>
          </cell>
          <cell r="C1359" t="str">
            <v>2111</v>
          </cell>
          <cell r="D1359" t="str">
            <v>ROLL OFF</v>
          </cell>
          <cell r="E1359" t="b">
            <v>1</v>
          </cell>
          <cell r="F1359" t="b">
            <v>0</v>
          </cell>
          <cell r="G1359" t="str">
            <v>M-FIFE</v>
          </cell>
          <cell r="H1359">
            <v>3150</v>
          </cell>
          <cell r="I1359" t="str">
            <v>ROHAUL30T</v>
          </cell>
          <cell r="J1359" t="str">
            <v>30YD ROLL OFF TEMP HAUL</v>
          </cell>
          <cell r="K1359">
            <v>127.72</v>
          </cell>
          <cell r="L1359">
            <v>127.72</v>
          </cell>
        </row>
        <row r="1360">
          <cell r="A1360" t="str">
            <v>MURREYSROLL OFFROHAUL30T</v>
          </cell>
          <cell r="B1360" t="str">
            <v>ONCALL</v>
          </cell>
          <cell r="C1360" t="str">
            <v>2111</v>
          </cell>
          <cell r="D1360" t="str">
            <v>ROLL OFF</v>
          </cell>
          <cell r="E1360" t="b">
            <v>1</v>
          </cell>
          <cell r="F1360" t="b">
            <v>0</v>
          </cell>
          <cell r="G1360" t="str">
            <v>MURREYS</v>
          </cell>
          <cell r="H1360">
            <v>3150</v>
          </cell>
          <cell r="I1360" t="str">
            <v>ROHAUL30T</v>
          </cell>
          <cell r="J1360" t="str">
            <v>30YD ROLL OFF TEMP HAUL</v>
          </cell>
          <cell r="K1360">
            <v>127.72</v>
          </cell>
          <cell r="L1360">
            <v>127.72</v>
          </cell>
        </row>
        <row r="1361">
          <cell r="A1361" t="str">
            <v>PUYALLUPROLL OFFROHAUL30T</v>
          </cell>
          <cell r="B1361" t="str">
            <v>ONCALL</v>
          </cell>
          <cell r="C1361" t="str">
            <v>2111</v>
          </cell>
          <cell r="D1361" t="str">
            <v>ROLL OFF</v>
          </cell>
          <cell r="E1361" t="b">
            <v>1</v>
          </cell>
          <cell r="F1361" t="b">
            <v>0</v>
          </cell>
          <cell r="G1361" t="str">
            <v>PUYALLUP</v>
          </cell>
          <cell r="H1361">
            <v>3150</v>
          </cell>
          <cell r="I1361" t="str">
            <v>ROHAUL30T</v>
          </cell>
          <cell r="J1361" t="str">
            <v>30YD ROLL OFF TEMP HAUL</v>
          </cell>
          <cell r="K1361">
            <v>131.13999999999999</v>
          </cell>
          <cell r="L1361">
            <v>131.13999999999999</v>
          </cell>
        </row>
        <row r="1362">
          <cell r="A1362" t="str">
            <v>RUSTONROLL OFFROHAUL30T</v>
          </cell>
          <cell r="B1362" t="str">
            <v>ONCALL</v>
          </cell>
          <cell r="C1362" t="str">
            <v>2111</v>
          </cell>
          <cell r="D1362" t="str">
            <v>ROLL OFF</v>
          </cell>
          <cell r="E1362" t="b">
            <v>1</v>
          </cell>
          <cell r="F1362" t="b">
            <v>0</v>
          </cell>
          <cell r="G1362" t="str">
            <v>RUSTON</v>
          </cell>
          <cell r="H1362">
            <v>3150</v>
          </cell>
          <cell r="I1362" t="str">
            <v>ROHAUL30T</v>
          </cell>
          <cell r="J1362" t="str">
            <v>30YD ROLL OFF TEMP HAUL</v>
          </cell>
          <cell r="K1362">
            <v>279.27999999999997</v>
          </cell>
          <cell r="L1362">
            <v>279.27999999999997</v>
          </cell>
        </row>
        <row r="1363">
          <cell r="A1363" t="str">
            <v>VASHONROLL OFFROHAUL30T</v>
          </cell>
          <cell r="B1363" t="str">
            <v>ONCALL</v>
          </cell>
          <cell r="C1363" t="str">
            <v>2111</v>
          </cell>
          <cell r="D1363" t="str">
            <v>ROLL OFF</v>
          </cell>
          <cell r="E1363" t="b">
            <v>1</v>
          </cell>
          <cell r="F1363" t="b">
            <v>0</v>
          </cell>
          <cell r="G1363" t="str">
            <v>VASHON</v>
          </cell>
          <cell r="H1363">
            <v>3150</v>
          </cell>
          <cell r="I1363" t="str">
            <v>ROHAUL30T</v>
          </cell>
          <cell r="J1363" t="str">
            <v>30YD ROLL OFF TEMP HAUL</v>
          </cell>
          <cell r="K1363">
            <v>121.2</v>
          </cell>
          <cell r="L1363">
            <v>121.2</v>
          </cell>
        </row>
        <row r="1364">
          <cell r="A1364" t="str">
            <v>BONNEY LAKEROLL OFFROHAUL40</v>
          </cell>
          <cell r="B1364" t="str">
            <v>ONCALL</v>
          </cell>
          <cell r="C1364" t="str">
            <v>2111</v>
          </cell>
          <cell r="D1364" t="str">
            <v>ROLL OFF</v>
          </cell>
          <cell r="E1364" t="b">
            <v>1</v>
          </cell>
          <cell r="F1364" t="b">
            <v>0</v>
          </cell>
          <cell r="G1364" t="str">
            <v>BONNEY LAKE</v>
          </cell>
          <cell r="H1364">
            <v>2625</v>
          </cell>
          <cell r="I1364" t="str">
            <v>ROHAUL40</v>
          </cell>
          <cell r="J1364" t="str">
            <v>40YD ROLL OFF-HAUL</v>
          </cell>
          <cell r="K1364">
            <v>161.1</v>
          </cell>
          <cell r="L1364">
            <v>161.1</v>
          </cell>
        </row>
        <row r="1365">
          <cell r="A1365" t="str">
            <v>M-EDGEWOODROLL OFFROHAUL40</v>
          </cell>
          <cell r="B1365" t="str">
            <v>ONCALL</v>
          </cell>
          <cell r="C1365" t="str">
            <v>2111</v>
          </cell>
          <cell r="D1365" t="str">
            <v>ROLL OFF</v>
          </cell>
          <cell r="E1365" t="b">
            <v>1</v>
          </cell>
          <cell r="F1365" t="b">
            <v>0</v>
          </cell>
          <cell r="G1365" t="str">
            <v>M-EDGEWOOD</v>
          </cell>
          <cell r="H1365">
            <v>2625</v>
          </cell>
          <cell r="I1365" t="str">
            <v>ROHAUL40</v>
          </cell>
          <cell r="J1365" t="str">
            <v>40YD ROLL OFF-HAUL</v>
          </cell>
          <cell r="K1365">
            <v>135.54</v>
          </cell>
          <cell r="L1365">
            <v>135.54</v>
          </cell>
        </row>
        <row r="1366">
          <cell r="A1366" t="str">
            <v>M-FIFEROLL OFFROHAUL40</v>
          </cell>
          <cell r="B1366" t="str">
            <v>ONCALL</v>
          </cell>
          <cell r="C1366" t="str">
            <v>2111</v>
          </cell>
          <cell r="D1366" t="str">
            <v>ROLL OFF</v>
          </cell>
          <cell r="E1366" t="b">
            <v>1</v>
          </cell>
          <cell r="F1366" t="b">
            <v>0</v>
          </cell>
          <cell r="G1366" t="str">
            <v>M-FIFE</v>
          </cell>
          <cell r="H1366">
            <v>2625</v>
          </cell>
          <cell r="I1366" t="str">
            <v>ROHAUL40</v>
          </cell>
          <cell r="J1366" t="str">
            <v>40YD ROLL OFF-HAUL</v>
          </cell>
          <cell r="K1366">
            <v>135.54</v>
          </cell>
          <cell r="L1366">
            <v>135.54</v>
          </cell>
        </row>
        <row r="1367">
          <cell r="A1367" t="str">
            <v>MURREYSROLL OFFROHAUL40</v>
          </cell>
          <cell r="B1367" t="str">
            <v>ONCALL</v>
          </cell>
          <cell r="C1367" t="str">
            <v>2111</v>
          </cell>
          <cell r="D1367" t="str">
            <v>ROLL OFF</v>
          </cell>
          <cell r="E1367" t="b">
            <v>1</v>
          </cell>
          <cell r="F1367" t="b">
            <v>0</v>
          </cell>
          <cell r="G1367" t="str">
            <v>MURREYS</v>
          </cell>
          <cell r="H1367">
            <v>2625</v>
          </cell>
          <cell r="I1367" t="str">
            <v>ROHAUL40</v>
          </cell>
          <cell r="J1367" t="str">
            <v>40YD ROLL OFF-HAUL</v>
          </cell>
          <cell r="K1367">
            <v>135.54</v>
          </cell>
          <cell r="L1367">
            <v>135.54</v>
          </cell>
        </row>
        <row r="1368">
          <cell r="A1368" t="str">
            <v>PUYALLUPROLL OFFROHAUL40</v>
          </cell>
          <cell r="B1368" t="str">
            <v>ONCALL</v>
          </cell>
          <cell r="C1368" t="str">
            <v>2111</v>
          </cell>
          <cell r="D1368" t="str">
            <v>ROLL OFF</v>
          </cell>
          <cell r="E1368" t="b">
            <v>1</v>
          </cell>
          <cell r="F1368" t="b">
            <v>0</v>
          </cell>
          <cell r="G1368" t="str">
            <v>PUYALLUP</v>
          </cell>
          <cell r="H1368">
            <v>2625</v>
          </cell>
          <cell r="I1368" t="str">
            <v>ROHAUL40</v>
          </cell>
          <cell r="J1368" t="str">
            <v>40YD ROLL OFF-HAUL</v>
          </cell>
          <cell r="K1368">
            <v>114.93</v>
          </cell>
          <cell r="L1368">
            <v>114.93</v>
          </cell>
        </row>
        <row r="1369">
          <cell r="A1369" t="str">
            <v>RUSTONROLL OFFROHAUL40</v>
          </cell>
          <cell r="B1369" t="str">
            <v>ONCALL</v>
          </cell>
          <cell r="C1369" t="str">
            <v>2111</v>
          </cell>
          <cell r="D1369" t="str">
            <v>ROLL OFF</v>
          </cell>
          <cell r="E1369" t="b">
            <v>1</v>
          </cell>
          <cell r="F1369" t="b">
            <v>0</v>
          </cell>
          <cell r="G1369" t="str">
            <v>RUSTON</v>
          </cell>
          <cell r="H1369">
            <v>2625</v>
          </cell>
          <cell r="I1369" t="str">
            <v>ROHAUL40</v>
          </cell>
          <cell r="J1369" t="str">
            <v>40YD ROLL OFF-HAUL</v>
          </cell>
          <cell r="K1369">
            <v>227.56</v>
          </cell>
          <cell r="L1369">
            <v>227.56</v>
          </cell>
        </row>
        <row r="1370">
          <cell r="A1370" t="str">
            <v>M-EDGEWOODROLL OFFROHAUL40CO</v>
          </cell>
          <cell r="B1370" t="str">
            <v>ONCALL</v>
          </cell>
          <cell r="C1370" t="str">
            <v>2111</v>
          </cell>
          <cell r="D1370" t="str">
            <v>ROLL OFF</v>
          </cell>
          <cell r="E1370" t="b">
            <v>1</v>
          </cell>
          <cell r="F1370" t="b">
            <v>0</v>
          </cell>
          <cell r="G1370" t="str">
            <v>M-EDGEWOOD</v>
          </cell>
          <cell r="H1370">
            <v>3297</v>
          </cell>
          <cell r="I1370" t="str">
            <v>ROHAUL40CO</v>
          </cell>
          <cell r="J1370" t="str">
            <v>40YD CUST OWNED R/O HAUL</v>
          </cell>
          <cell r="K1370">
            <v>132.99</v>
          </cell>
          <cell r="L1370">
            <v>132.99</v>
          </cell>
        </row>
        <row r="1371">
          <cell r="A1371" t="str">
            <v>M-FIFEROLL OFFROHAUL40CO</v>
          </cell>
          <cell r="B1371" t="str">
            <v>ONCALL</v>
          </cell>
          <cell r="C1371" t="str">
            <v>2111</v>
          </cell>
          <cell r="D1371" t="str">
            <v>ROLL OFF</v>
          </cell>
          <cell r="E1371" t="b">
            <v>1</v>
          </cell>
          <cell r="F1371" t="b">
            <v>0</v>
          </cell>
          <cell r="G1371" t="str">
            <v>M-FIFE</v>
          </cell>
          <cell r="H1371">
            <v>3297</v>
          </cell>
          <cell r="I1371" t="str">
            <v>ROHAUL40CO</v>
          </cell>
          <cell r="J1371" t="str">
            <v>40YD CUST OWNED R/O HAUL</v>
          </cell>
          <cell r="K1371">
            <v>132.99</v>
          </cell>
          <cell r="L1371">
            <v>132.99</v>
          </cell>
        </row>
        <row r="1372">
          <cell r="A1372" t="str">
            <v>MURREYSROLL OFFROHAUL40CO</v>
          </cell>
          <cell r="B1372" t="str">
            <v>ONCALL</v>
          </cell>
          <cell r="C1372" t="str">
            <v>2111</v>
          </cell>
          <cell r="D1372" t="str">
            <v>ROLL OFF</v>
          </cell>
          <cell r="E1372" t="b">
            <v>1</v>
          </cell>
          <cell r="F1372" t="b">
            <v>0</v>
          </cell>
          <cell r="G1372" t="str">
            <v>MURREYS</v>
          </cell>
          <cell r="H1372">
            <v>3297</v>
          </cell>
          <cell r="I1372" t="str">
            <v>ROHAUL40CO</v>
          </cell>
          <cell r="J1372" t="str">
            <v>40YD CUST OWNED R/O HAUL</v>
          </cell>
          <cell r="K1372">
            <v>132.99</v>
          </cell>
          <cell r="L1372">
            <v>132.99</v>
          </cell>
        </row>
        <row r="1373">
          <cell r="A1373" t="str">
            <v>BONNEY LAKEROLL OFFROHAUL40T</v>
          </cell>
          <cell r="B1373" t="str">
            <v>ONCALL</v>
          </cell>
          <cell r="C1373" t="str">
            <v>2111</v>
          </cell>
          <cell r="D1373" t="str">
            <v>ROLL OFF</v>
          </cell>
          <cell r="E1373" t="b">
            <v>1</v>
          </cell>
          <cell r="F1373" t="b">
            <v>0</v>
          </cell>
          <cell r="G1373" t="str">
            <v>BONNEY LAKE</v>
          </cell>
          <cell r="H1373">
            <v>3302</v>
          </cell>
          <cell r="I1373" t="str">
            <v>ROHAUL40T</v>
          </cell>
          <cell r="J1373" t="str">
            <v>40YD ROLL OFF TEMP</v>
          </cell>
          <cell r="K1373">
            <v>175.04</v>
          </cell>
          <cell r="L1373">
            <v>175.04</v>
          </cell>
        </row>
        <row r="1374">
          <cell r="A1374" t="str">
            <v>M-EDGEWOODROLL OFFROHAUL40T</v>
          </cell>
          <cell r="B1374" t="str">
            <v>ONCALL</v>
          </cell>
          <cell r="C1374" t="str">
            <v>2111</v>
          </cell>
          <cell r="D1374" t="str">
            <v>ROLL OFF</v>
          </cell>
          <cell r="E1374" t="b">
            <v>1</v>
          </cell>
          <cell r="F1374" t="b">
            <v>0</v>
          </cell>
          <cell r="G1374" t="str">
            <v>M-EDGEWOOD</v>
          </cell>
          <cell r="H1374">
            <v>3302</v>
          </cell>
          <cell r="I1374" t="str">
            <v>ROHAUL40T</v>
          </cell>
          <cell r="J1374" t="str">
            <v>40YD ROLL OFF TEMP</v>
          </cell>
          <cell r="K1374">
            <v>147.28</v>
          </cell>
          <cell r="L1374">
            <v>147.28</v>
          </cell>
        </row>
        <row r="1375">
          <cell r="A1375" t="str">
            <v>M-FIFEROLL OFFROHAUL40T</v>
          </cell>
          <cell r="B1375" t="str">
            <v>ONCALL</v>
          </cell>
          <cell r="C1375" t="str">
            <v>2111</v>
          </cell>
          <cell r="D1375" t="str">
            <v>ROLL OFF</v>
          </cell>
          <cell r="E1375" t="b">
            <v>1</v>
          </cell>
          <cell r="F1375" t="b">
            <v>0</v>
          </cell>
          <cell r="G1375" t="str">
            <v>M-FIFE</v>
          </cell>
          <cell r="H1375">
            <v>3302</v>
          </cell>
          <cell r="I1375" t="str">
            <v>ROHAUL40T</v>
          </cell>
          <cell r="J1375" t="str">
            <v>40YD ROLL OFF TEMP</v>
          </cell>
          <cell r="K1375">
            <v>147.28</v>
          </cell>
          <cell r="L1375">
            <v>147.28</v>
          </cell>
        </row>
        <row r="1376">
          <cell r="A1376" t="str">
            <v>MURREYSROLL OFFROHAUL40T</v>
          </cell>
          <cell r="B1376" t="str">
            <v>ONCALL</v>
          </cell>
          <cell r="C1376" t="str">
            <v>2111</v>
          </cell>
          <cell r="D1376" t="str">
            <v>ROLL OFF</v>
          </cell>
          <cell r="E1376" t="b">
            <v>1</v>
          </cell>
          <cell r="F1376" t="b">
            <v>0</v>
          </cell>
          <cell r="G1376" t="str">
            <v>MURREYS</v>
          </cell>
          <cell r="H1376">
            <v>3302</v>
          </cell>
          <cell r="I1376" t="str">
            <v>ROHAUL40T</v>
          </cell>
          <cell r="J1376" t="str">
            <v>40YD ROLL OFF TEMP</v>
          </cell>
          <cell r="K1376">
            <v>147.28</v>
          </cell>
          <cell r="L1376">
            <v>147.28</v>
          </cell>
        </row>
        <row r="1377">
          <cell r="A1377" t="str">
            <v>PUYALLUPROLL OFFROHAUL40T</v>
          </cell>
          <cell r="B1377" t="str">
            <v>ONCALL</v>
          </cell>
          <cell r="C1377" t="str">
            <v>2111</v>
          </cell>
          <cell r="D1377" t="str">
            <v>ROLL OFF</v>
          </cell>
          <cell r="E1377" t="b">
            <v>1</v>
          </cell>
          <cell r="F1377" t="b">
            <v>0</v>
          </cell>
          <cell r="G1377" t="str">
            <v>PUYALLUP</v>
          </cell>
          <cell r="H1377">
            <v>3302</v>
          </cell>
          <cell r="I1377" t="str">
            <v>ROHAUL40T</v>
          </cell>
          <cell r="J1377" t="str">
            <v>40YD ROLL OFF TEMP</v>
          </cell>
          <cell r="K1377">
            <v>167.62</v>
          </cell>
          <cell r="L1377">
            <v>167.62</v>
          </cell>
        </row>
        <row r="1378">
          <cell r="A1378" t="str">
            <v>RUSTONROLL OFFROHAUL40T</v>
          </cell>
          <cell r="B1378" t="str">
            <v>ONCALL</v>
          </cell>
          <cell r="C1378" t="str">
            <v>2111</v>
          </cell>
          <cell r="D1378" t="str">
            <v>ROLL OFF</v>
          </cell>
          <cell r="E1378" t="b">
            <v>1</v>
          </cell>
          <cell r="F1378" t="b">
            <v>0</v>
          </cell>
          <cell r="G1378" t="str">
            <v>RUSTON</v>
          </cell>
          <cell r="H1378">
            <v>3302</v>
          </cell>
          <cell r="I1378" t="str">
            <v>ROHAUL40T</v>
          </cell>
          <cell r="J1378" t="str">
            <v>40YD ROLL OFF TEMP</v>
          </cell>
          <cell r="K1378">
            <v>279.27999999999997</v>
          </cell>
          <cell r="L1378">
            <v>279.27999999999997</v>
          </cell>
        </row>
        <row r="1379">
          <cell r="A1379" t="str">
            <v>BONNEY LAKEROLL OFFROHAUL50</v>
          </cell>
          <cell r="B1379" t="str">
            <v>MONTHLY ARREARS</v>
          </cell>
          <cell r="C1379" t="str">
            <v>2111</v>
          </cell>
          <cell r="D1379" t="str">
            <v>ROLL OFF</v>
          </cell>
          <cell r="E1379" t="b">
            <v>1</v>
          </cell>
          <cell r="F1379" t="b">
            <v>0</v>
          </cell>
          <cell r="G1379" t="str">
            <v>BONNEY LAKE</v>
          </cell>
          <cell r="H1379">
            <v>2402</v>
          </cell>
          <cell r="I1379" t="str">
            <v>ROHAUL50</v>
          </cell>
          <cell r="J1379" t="str">
            <v>50YD ROLL OFF-HAUL</v>
          </cell>
          <cell r="K1379">
            <v>190.6</v>
          </cell>
          <cell r="L1379">
            <v>190.6</v>
          </cell>
        </row>
        <row r="1380">
          <cell r="A1380" t="str">
            <v>M-EDGEWOODROLL OFFROHAUL50</v>
          </cell>
          <cell r="B1380" t="str">
            <v>MONTHLY ARREARS</v>
          </cell>
          <cell r="C1380" t="str">
            <v>2111</v>
          </cell>
          <cell r="D1380" t="str">
            <v>ROLL OFF</v>
          </cell>
          <cell r="E1380" t="b">
            <v>1</v>
          </cell>
          <cell r="F1380" t="b">
            <v>0</v>
          </cell>
          <cell r="G1380" t="str">
            <v>M-EDGEWOOD</v>
          </cell>
          <cell r="H1380">
            <v>2402</v>
          </cell>
          <cell r="I1380" t="str">
            <v>ROHAUL50</v>
          </cell>
          <cell r="J1380" t="str">
            <v>50YD ROLL OFF-HAUL</v>
          </cell>
          <cell r="K1380">
            <v>160.36000000000001</v>
          </cell>
          <cell r="L1380">
            <v>160.36000000000001</v>
          </cell>
        </row>
        <row r="1381">
          <cell r="A1381" t="str">
            <v>M-FIFEROLL OFFROHAUL50</v>
          </cell>
          <cell r="B1381" t="str">
            <v>MONTHLY ARREARS</v>
          </cell>
          <cell r="C1381" t="str">
            <v>2111</v>
          </cell>
          <cell r="D1381" t="str">
            <v>ROLL OFF</v>
          </cell>
          <cell r="E1381" t="b">
            <v>1</v>
          </cell>
          <cell r="F1381" t="b">
            <v>0</v>
          </cell>
          <cell r="G1381" t="str">
            <v>M-FIFE</v>
          </cell>
          <cell r="H1381">
            <v>2402</v>
          </cell>
          <cell r="I1381" t="str">
            <v>ROHAUL50</v>
          </cell>
          <cell r="J1381" t="str">
            <v>50YD ROLL OFF-HAUL</v>
          </cell>
          <cell r="K1381">
            <v>160.36000000000001</v>
          </cell>
          <cell r="L1381">
            <v>160.36000000000001</v>
          </cell>
        </row>
        <row r="1382">
          <cell r="A1382" t="str">
            <v>MURREYSROLL OFFROHAUL50</v>
          </cell>
          <cell r="B1382" t="str">
            <v>MONTHLY ARREARS</v>
          </cell>
          <cell r="C1382" t="str">
            <v>2111</v>
          </cell>
          <cell r="D1382" t="str">
            <v>ROLL OFF</v>
          </cell>
          <cell r="E1382" t="b">
            <v>1</v>
          </cell>
          <cell r="F1382" t="b">
            <v>0</v>
          </cell>
          <cell r="G1382" t="str">
            <v>MURREYS</v>
          </cell>
          <cell r="H1382">
            <v>2402</v>
          </cell>
          <cell r="I1382" t="str">
            <v>ROHAUL50</v>
          </cell>
          <cell r="J1382" t="str">
            <v>50YD ROLL OFF-HAUL</v>
          </cell>
          <cell r="K1382">
            <v>160.36000000000001</v>
          </cell>
          <cell r="L1382">
            <v>160.36000000000001</v>
          </cell>
        </row>
        <row r="1383">
          <cell r="A1383" t="str">
            <v>RUSTONROLL OFFROHAUL50</v>
          </cell>
          <cell r="B1383" t="str">
            <v>MONTHLY ARREARS</v>
          </cell>
          <cell r="C1383" t="str">
            <v>2111</v>
          </cell>
          <cell r="D1383" t="str">
            <v>ROLL OFF</v>
          </cell>
          <cell r="E1383" t="b">
            <v>1</v>
          </cell>
          <cell r="F1383" t="b">
            <v>0</v>
          </cell>
          <cell r="G1383" t="str">
            <v>RUSTON</v>
          </cell>
          <cell r="H1383">
            <v>2402</v>
          </cell>
          <cell r="I1383" t="str">
            <v>ROHAUL50</v>
          </cell>
          <cell r="J1383" t="str">
            <v>50YD ROLL OFF-HAUL</v>
          </cell>
          <cell r="K1383">
            <v>227.56</v>
          </cell>
          <cell r="L1383">
            <v>227.56</v>
          </cell>
        </row>
        <row r="1384">
          <cell r="A1384" t="str">
            <v>BONNEY LAKEROLL OFFROMILE</v>
          </cell>
          <cell r="B1384" t="str">
            <v>ONCALL</v>
          </cell>
          <cell r="C1384" t="str">
            <v>2111</v>
          </cell>
          <cell r="D1384" t="str">
            <v>ROLL OFF</v>
          </cell>
          <cell r="E1384" t="b">
            <v>1</v>
          </cell>
          <cell r="F1384" t="b">
            <v>0</v>
          </cell>
          <cell r="G1384" t="str">
            <v>BONNEY LAKE</v>
          </cell>
          <cell r="H1384">
            <v>2608</v>
          </cell>
          <cell r="I1384" t="str">
            <v>ROMILE</v>
          </cell>
          <cell r="J1384" t="str">
            <v>MILEAGE</v>
          </cell>
          <cell r="K1384">
            <v>4.5599999999999996</v>
          </cell>
          <cell r="L1384">
            <v>4.5599999999999996</v>
          </cell>
        </row>
        <row r="1385">
          <cell r="A1385" t="str">
            <v>CARBONADOROLL OFFROMILE</v>
          </cell>
          <cell r="B1385" t="str">
            <v>ONCALL</v>
          </cell>
          <cell r="C1385" t="str">
            <v>2111</v>
          </cell>
          <cell r="D1385" t="str">
            <v>ROLL OFF</v>
          </cell>
          <cell r="E1385" t="b">
            <v>1</v>
          </cell>
          <cell r="F1385" t="b">
            <v>0</v>
          </cell>
          <cell r="G1385" t="str">
            <v>CARBONADO</v>
          </cell>
          <cell r="H1385">
            <v>2608</v>
          </cell>
          <cell r="I1385" t="str">
            <v>ROMILE</v>
          </cell>
          <cell r="J1385" t="str">
            <v>MILEAGE</v>
          </cell>
          <cell r="K1385">
            <v>0</v>
          </cell>
          <cell r="L1385">
            <v>0</v>
          </cell>
        </row>
        <row r="1386">
          <cell r="A1386" t="str">
            <v>M-EDGEWOODROLL OFFROMILE</v>
          </cell>
          <cell r="B1386" t="str">
            <v>ONCALL</v>
          </cell>
          <cell r="C1386" t="str">
            <v>2111</v>
          </cell>
          <cell r="D1386" t="str">
            <v>ROLL OFF</v>
          </cell>
          <cell r="E1386" t="b">
            <v>1</v>
          </cell>
          <cell r="F1386" t="b">
            <v>0</v>
          </cell>
          <cell r="G1386" t="str">
            <v>M-EDGEWOOD</v>
          </cell>
          <cell r="H1386">
            <v>2608</v>
          </cell>
          <cell r="I1386" t="str">
            <v>ROMILE</v>
          </cell>
          <cell r="J1386" t="str">
            <v>MILEAGE</v>
          </cell>
          <cell r="K1386">
            <v>3.84</v>
          </cell>
          <cell r="L1386">
            <v>3.84</v>
          </cell>
        </row>
        <row r="1387">
          <cell r="A1387" t="str">
            <v>M-FIFEROLL OFFROMILE</v>
          </cell>
          <cell r="B1387" t="str">
            <v>ONCALL</v>
          </cell>
          <cell r="C1387" t="str">
            <v>2111</v>
          </cell>
          <cell r="D1387" t="str">
            <v>ROLL OFF</v>
          </cell>
          <cell r="E1387" t="b">
            <v>1</v>
          </cell>
          <cell r="F1387" t="b">
            <v>0</v>
          </cell>
          <cell r="G1387" t="str">
            <v>M-FIFE</v>
          </cell>
          <cell r="H1387">
            <v>2608</v>
          </cell>
          <cell r="I1387" t="str">
            <v>ROMILE</v>
          </cell>
          <cell r="J1387" t="str">
            <v>MILEAGE</v>
          </cell>
          <cell r="K1387">
            <v>3.84</v>
          </cell>
          <cell r="L1387">
            <v>3.84</v>
          </cell>
        </row>
        <row r="1388">
          <cell r="A1388" t="str">
            <v>MURREYSROLL OFFROMILE</v>
          </cell>
          <cell r="B1388" t="str">
            <v>ONCALL</v>
          </cell>
          <cell r="C1388" t="str">
            <v>2111</v>
          </cell>
          <cell r="D1388" t="str">
            <v>ROLL OFF</v>
          </cell>
          <cell r="E1388" t="b">
            <v>1</v>
          </cell>
          <cell r="F1388" t="b">
            <v>0</v>
          </cell>
          <cell r="G1388" t="str">
            <v>MURREYS</v>
          </cell>
          <cell r="H1388">
            <v>2608</v>
          </cell>
          <cell r="I1388" t="str">
            <v>ROMILE</v>
          </cell>
          <cell r="J1388" t="str">
            <v>MILEAGE</v>
          </cell>
          <cell r="K1388">
            <v>3.84</v>
          </cell>
          <cell r="L1388">
            <v>3.84</v>
          </cell>
        </row>
        <row r="1389">
          <cell r="A1389" t="str">
            <v>PUYALLUPROLL OFFROMILE</v>
          </cell>
          <cell r="B1389" t="str">
            <v>ONCALL</v>
          </cell>
          <cell r="C1389" t="str">
            <v>2111</v>
          </cell>
          <cell r="D1389" t="str">
            <v>ROLL OFF</v>
          </cell>
          <cell r="E1389" t="b">
            <v>1</v>
          </cell>
          <cell r="F1389" t="b">
            <v>0</v>
          </cell>
          <cell r="G1389" t="str">
            <v>PUYALLUP</v>
          </cell>
          <cell r="H1389">
            <v>2608</v>
          </cell>
          <cell r="I1389" t="str">
            <v>ROMILE</v>
          </cell>
          <cell r="J1389" t="str">
            <v>MILEAGE</v>
          </cell>
          <cell r="K1389">
            <v>2.75</v>
          </cell>
          <cell r="L1389">
            <v>2.75</v>
          </cell>
        </row>
        <row r="1390">
          <cell r="A1390" t="str">
            <v>RUSTONROLL OFFROMILE</v>
          </cell>
          <cell r="B1390" t="str">
            <v>ONCALL</v>
          </cell>
          <cell r="C1390" t="str">
            <v>2111</v>
          </cell>
          <cell r="D1390" t="str">
            <v>ROLL OFF</v>
          </cell>
          <cell r="E1390" t="b">
            <v>1</v>
          </cell>
          <cell r="F1390" t="b">
            <v>0</v>
          </cell>
          <cell r="G1390" t="str">
            <v>RUSTON</v>
          </cell>
          <cell r="H1390">
            <v>2608</v>
          </cell>
          <cell r="I1390" t="str">
            <v>ROMILE</v>
          </cell>
          <cell r="J1390" t="str">
            <v>MILEAGE</v>
          </cell>
          <cell r="K1390">
            <v>5.17</v>
          </cell>
          <cell r="L1390">
            <v>5.17</v>
          </cell>
        </row>
        <row r="1391">
          <cell r="A1391" t="str">
            <v>VASHONROLL OFFROMILE</v>
          </cell>
          <cell r="B1391" t="str">
            <v>ONCALL</v>
          </cell>
          <cell r="C1391" t="str">
            <v>2111</v>
          </cell>
          <cell r="D1391" t="str">
            <v>ROLL OFF</v>
          </cell>
          <cell r="E1391" t="b">
            <v>1</v>
          </cell>
          <cell r="F1391" t="b">
            <v>0</v>
          </cell>
          <cell r="G1391" t="str">
            <v>VASHON</v>
          </cell>
          <cell r="H1391">
            <v>2608</v>
          </cell>
          <cell r="I1391" t="str">
            <v>ROMILE</v>
          </cell>
          <cell r="J1391" t="str">
            <v>MILEAGE</v>
          </cell>
          <cell r="K1391">
            <v>3.04</v>
          </cell>
          <cell r="L1391">
            <v>3.04</v>
          </cell>
        </row>
        <row r="1392">
          <cell r="A1392" t="str">
            <v>BONNEY LAKEROLL OFFRORELOCATE</v>
          </cell>
          <cell r="B1392" t="str">
            <v>ONCALL</v>
          </cell>
          <cell r="C1392" t="str">
            <v>2111</v>
          </cell>
          <cell r="D1392" t="str">
            <v>ROLL OFF</v>
          </cell>
          <cell r="E1392" t="b">
            <v>1</v>
          </cell>
          <cell r="F1392" t="b">
            <v>0</v>
          </cell>
          <cell r="G1392" t="str">
            <v>BONNEY LAKE</v>
          </cell>
          <cell r="H1392">
            <v>3081</v>
          </cell>
          <cell r="I1392" t="str">
            <v>RORELOCATE</v>
          </cell>
          <cell r="J1392" t="str">
            <v>ROLLOFF RELOCATE</v>
          </cell>
          <cell r="K1392">
            <v>123.69</v>
          </cell>
          <cell r="L1392">
            <v>123.69</v>
          </cell>
        </row>
        <row r="1393">
          <cell r="A1393" t="str">
            <v>CARBONADOROLL OFFRORELOCATE</v>
          </cell>
          <cell r="B1393" t="str">
            <v>ONCALL</v>
          </cell>
          <cell r="C1393" t="str">
            <v>2111</v>
          </cell>
          <cell r="D1393" t="str">
            <v>ROLL OFF</v>
          </cell>
          <cell r="E1393" t="b">
            <v>1</v>
          </cell>
          <cell r="F1393" t="b">
            <v>0</v>
          </cell>
          <cell r="G1393" t="str">
            <v>CARBONADO</v>
          </cell>
          <cell r="H1393">
            <v>3081</v>
          </cell>
          <cell r="I1393" t="str">
            <v>RORELOCATE</v>
          </cell>
          <cell r="J1393" t="str">
            <v>ROLLOFF RELOCATE</v>
          </cell>
          <cell r="K1393">
            <v>0</v>
          </cell>
          <cell r="L1393">
            <v>0</v>
          </cell>
        </row>
        <row r="1394">
          <cell r="A1394" t="str">
            <v>M-EDGEWOODROLL OFFRORELOCATE</v>
          </cell>
          <cell r="B1394" t="str">
            <v>ONCALL</v>
          </cell>
          <cell r="C1394" t="str">
            <v>2111</v>
          </cell>
          <cell r="D1394" t="str">
            <v>ROLL OFF</v>
          </cell>
          <cell r="E1394" t="b">
            <v>1</v>
          </cell>
          <cell r="F1394" t="b">
            <v>0</v>
          </cell>
          <cell r="G1394" t="str">
            <v>M-EDGEWOOD</v>
          </cell>
          <cell r="H1394">
            <v>3081</v>
          </cell>
          <cell r="I1394" t="str">
            <v>RORELOCATE</v>
          </cell>
          <cell r="J1394" t="str">
            <v>ROLLOFF RELOCATE</v>
          </cell>
          <cell r="K1394">
            <v>97.77</v>
          </cell>
          <cell r="L1394">
            <v>97.77</v>
          </cell>
        </row>
        <row r="1395">
          <cell r="A1395" t="str">
            <v>M-FIFEROLL OFFRORELOCATE</v>
          </cell>
          <cell r="B1395" t="str">
            <v>ONCALL</v>
          </cell>
          <cell r="C1395" t="str">
            <v>2111</v>
          </cell>
          <cell r="D1395" t="str">
            <v>ROLL OFF</v>
          </cell>
          <cell r="E1395" t="b">
            <v>1</v>
          </cell>
          <cell r="F1395" t="b">
            <v>0</v>
          </cell>
          <cell r="G1395" t="str">
            <v>M-FIFE</v>
          </cell>
          <cell r="H1395">
            <v>3081</v>
          </cell>
          <cell r="I1395" t="str">
            <v>RORELOCATE</v>
          </cell>
          <cell r="J1395" t="str">
            <v>ROLLOFF RELOCATE</v>
          </cell>
          <cell r="K1395">
            <v>97.77</v>
          </cell>
          <cell r="L1395">
            <v>97.77</v>
          </cell>
        </row>
        <row r="1396">
          <cell r="A1396" t="str">
            <v>MURREYSROLL OFFRORELOCATE</v>
          </cell>
          <cell r="B1396" t="str">
            <v>ONCALL</v>
          </cell>
          <cell r="C1396" t="str">
            <v>2111</v>
          </cell>
          <cell r="D1396" t="str">
            <v>ROLL OFF</v>
          </cell>
          <cell r="E1396" t="b">
            <v>1</v>
          </cell>
          <cell r="F1396" t="b">
            <v>0</v>
          </cell>
          <cell r="G1396" t="str">
            <v>MURREYS</v>
          </cell>
          <cell r="H1396">
            <v>3081</v>
          </cell>
          <cell r="I1396" t="str">
            <v>RORELOCATE</v>
          </cell>
          <cell r="J1396" t="str">
            <v>ROLLOFF RELOCATE</v>
          </cell>
          <cell r="K1396">
            <v>97.77</v>
          </cell>
          <cell r="L1396">
            <v>97.77</v>
          </cell>
        </row>
        <row r="1397">
          <cell r="A1397" t="str">
            <v>PUYALLUPROLL OFFRORELOCATE</v>
          </cell>
          <cell r="B1397" t="str">
            <v>ONCALL</v>
          </cell>
          <cell r="C1397" t="str">
            <v>2111</v>
          </cell>
          <cell r="D1397" t="str">
            <v>ROLL OFF</v>
          </cell>
          <cell r="E1397" t="b">
            <v>1</v>
          </cell>
          <cell r="F1397" t="b">
            <v>0</v>
          </cell>
          <cell r="G1397" t="str">
            <v>PUYALLUP</v>
          </cell>
          <cell r="H1397">
            <v>3081</v>
          </cell>
          <cell r="I1397" t="str">
            <v>RORELOCATE</v>
          </cell>
          <cell r="J1397" t="str">
            <v>ROLLOFF RELOCATE</v>
          </cell>
          <cell r="K1397">
            <v>77.44</v>
          </cell>
          <cell r="L1397">
            <v>77.44</v>
          </cell>
        </row>
        <row r="1398">
          <cell r="A1398" t="str">
            <v>RUSTONROLL OFFRORELOCATE</v>
          </cell>
          <cell r="B1398" t="str">
            <v>ONCALL</v>
          </cell>
          <cell r="C1398" t="str">
            <v>2111</v>
          </cell>
          <cell r="D1398" t="str">
            <v>ROLL OFF</v>
          </cell>
          <cell r="E1398" t="b">
            <v>1</v>
          </cell>
          <cell r="F1398" t="b">
            <v>0</v>
          </cell>
          <cell r="G1398" t="str">
            <v>RUSTON</v>
          </cell>
          <cell r="H1398">
            <v>3081</v>
          </cell>
          <cell r="I1398" t="str">
            <v>RORELOCATE</v>
          </cell>
          <cell r="J1398" t="str">
            <v>ROLLOFF RELOCATE</v>
          </cell>
          <cell r="K1398">
            <v>129.29</v>
          </cell>
          <cell r="L1398">
            <v>129.29</v>
          </cell>
        </row>
        <row r="1399">
          <cell r="A1399" t="str">
            <v>CARBONADOROLL OFFRORENT20D</v>
          </cell>
          <cell r="B1399" t="str">
            <v>MONTHLY ARREARS</v>
          </cell>
          <cell r="C1399" t="str">
            <v>2111</v>
          </cell>
          <cell r="D1399" t="str">
            <v>ROLL OFF</v>
          </cell>
          <cell r="E1399" t="b">
            <v>0</v>
          </cell>
          <cell r="F1399" t="b">
            <v>0</v>
          </cell>
          <cell r="G1399" t="str">
            <v>CARBONADO</v>
          </cell>
          <cell r="H1399">
            <v>2604</v>
          </cell>
          <cell r="I1399" t="str">
            <v>RORENT20D</v>
          </cell>
          <cell r="J1399" t="str">
            <v>20YD ROLL OFF-DAILY RENT</v>
          </cell>
          <cell r="K1399">
            <v>0</v>
          </cell>
          <cell r="L1399">
            <v>0</v>
          </cell>
        </row>
        <row r="1400">
          <cell r="A1400" t="str">
            <v>BONNEY LAKEROLL OFFRORENT20P</v>
          </cell>
          <cell r="B1400" t="str">
            <v>MONTHLY ARREARS</v>
          </cell>
          <cell r="C1400" t="str">
            <v>2111</v>
          </cell>
          <cell r="D1400" t="str">
            <v>ROLL OFF</v>
          </cell>
          <cell r="E1400" t="b">
            <v>0</v>
          </cell>
          <cell r="F1400" t="b">
            <v>0</v>
          </cell>
          <cell r="G1400" t="str">
            <v>BONNEY LAKE</v>
          </cell>
          <cell r="H1400">
            <v>3422</v>
          </cell>
          <cell r="I1400" t="str">
            <v>RORENT20P</v>
          </cell>
          <cell r="J1400" t="str">
            <v>20YD ROLL OFF-PERM RENT</v>
          </cell>
          <cell r="K1400">
            <v>108.06</v>
          </cell>
          <cell r="L1400">
            <v>108.06</v>
          </cell>
        </row>
        <row r="1401">
          <cell r="A1401" t="str">
            <v>M-EDGEWOODROLL OFFRORENT20P</v>
          </cell>
          <cell r="B1401" t="str">
            <v>MONTHLY ARREARS</v>
          </cell>
          <cell r="C1401" t="str">
            <v>2111</v>
          </cell>
          <cell r="D1401" t="str">
            <v>ROLL OFF</v>
          </cell>
          <cell r="E1401" t="b">
            <v>0</v>
          </cell>
          <cell r="F1401" t="b">
            <v>0</v>
          </cell>
          <cell r="G1401" t="str">
            <v>M-EDGEWOOD</v>
          </cell>
          <cell r="H1401">
            <v>3422</v>
          </cell>
          <cell r="I1401" t="str">
            <v>RORENT20P</v>
          </cell>
          <cell r="J1401" t="str">
            <v>20YD ROLL OFF-PERM RENT</v>
          </cell>
          <cell r="K1401">
            <v>90.66</v>
          </cell>
          <cell r="L1401">
            <v>90.66</v>
          </cell>
        </row>
        <row r="1402">
          <cell r="A1402" t="str">
            <v>M-FIFEROLL OFFRORENT20P</v>
          </cell>
          <cell r="B1402" t="str">
            <v>MONTHLY ARREARS</v>
          </cell>
          <cell r="C1402" t="str">
            <v>2111</v>
          </cell>
          <cell r="D1402" t="str">
            <v>ROLL OFF</v>
          </cell>
          <cell r="E1402" t="b">
            <v>0</v>
          </cell>
          <cell r="F1402" t="b">
            <v>0</v>
          </cell>
          <cell r="G1402" t="str">
            <v>M-FIFE</v>
          </cell>
          <cell r="H1402">
            <v>3422</v>
          </cell>
          <cell r="I1402" t="str">
            <v>RORENT20P</v>
          </cell>
          <cell r="J1402" t="str">
            <v>20YD ROLL OFF-PERM RENT</v>
          </cell>
          <cell r="K1402">
            <v>90.66</v>
          </cell>
          <cell r="L1402">
            <v>90.66</v>
          </cell>
        </row>
        <row r="1403">
          <cell r="A1403" t="str">
            <v>MURREYSROLL OFFRORENT20P</v>
          </cell>
          <cell r="B1403" t="str">
            <v>MONTHLY ARREARS</v>
          </cell>
          <cell r="C1403" t="str">
            <v>2111</v>
          </cell>
          <cell r="D1403" t="str">
            <v>ROLL OFF</v>
          </cell>
          <cell r="E1403" t="b">
            <v>0</v>
          </cell>
          <cell r="F1403" t="b">
            <v>0</v>
          </cell>
          <cell r="G1403" t="str">
            <v>MURREYS</v>
          </cell>
          <cell r="H1403">
            <v>3422</v>
          </cell>
          <cell r="I1403" t="str">
            <v>RORENT20P</v>
          </cell>
          <cell r="J1403" t="str">
            <v>20YD ROLL OFF-PERM RENT</v>
          </cell>
          <cell r="K1403">
            <v>90.66</v>
          </cell>
          <cell r="L1403">
            <v>90.66</v>
          </cell>
        </row>
        <row r="1404">
          <cell r="A1404" t="str">
            <v>PUYALLUPROLL OFFRORENT20P</v>
          </cell>
          <cell r="B1404" t="str">
            <v>MONTHLY ARREARS</v>
          </cell>
          <cell r="C1404" t="str">
            <v>2111</v>
          </cell>
          <cell r="D1404" t="str">
            <v>ROLL OFF</v>
          </cell>
          <cell r="E1404" t="b">
            <v>0</v>
          </cell>
          <cell r="F1404" t="b">
            <v>0</v>
          </cell>
          <cell r="G1404" t="str">
            <v>PUYALLUP</v>
          </cell>
          <cell r="H1404">
            <v>3422</v>
          </cell>
          <cell r="I1404" t="str">
            <v>RORENT20P</v>
          </cell>
          <cell r="J1404" t="str">
            <v>20YD ROLL OFF-PERM RENT</v>
          </cell>
          <cell r="K1404">
            <v>119.71</v>
          </cell>
          <cell r="L1404">
            <v>119.71</v>
          </cell>
        </row>
        <row r="1405">
          <cell r="A1405" t="str">
            <v>RUSTONROLL OFFRORENT20P</v>
          </cell>
          <cell r="B1405" t="str">
            <v>MONTHLY ARREARS</v>
          </cell>
          <cell r="C1405" t="str">
            <v>2111</v>
          </cell>
          <cell r="D1405" t="str">
            <v>ROLL OFF</v>
          </cell>
          <cell r="E1405" t="b">
            <v>0</v>
          </cell>
          <cell r="F1405" t="b">
            <v>0</v>
          </cell>
          <cell r="G1405" t="str">
            <v>RUSTON</v>
          </cell>
          <cell r="H1405">
            <v>3422</v>
          </cell>
          <cell r="I1405" t="str">
            <v>RORENT20P</v>
          </cell>
          <cell r="J1405" t="str">
            <v>20YD ROLL OFF-PERM RENT</v>
          </cell>
          <cell r="K1405">
            <v>113.78</v>
          </cell>
          <cell r="L1405">
            <v>113.78</v>
          </cell>
        </row>
        <row r="1406">
          <cell r="A1406" t="str">
            <v>VASHONROLL OFFRORENT20P</v>
          </cell>
          <cell r="B1406" t="str">
            <v>MONTHLY ARREARS</v>
          </cell>
          <cell r="C1406" t="str">
            <v>2111</v>
          </cell>
          <cell r="D1406" t="str">
            <v>ROLL OFF</v>
          </cell>
          <cell r="E1406" t="b">
            <v>0</v>
          </cell>
          <cell r="F1406" t="b">
            <v>0</v>
          </cell>
          <cell r="G1406" t="str">
            <v>VASHON</v>
          </cell>
          <cell r="H1406">
            <v>3422</v>
          </cell>
          <cell r="I1406" t="str">
            <v>RORENT20P</v>
          </cell>
          <cell r="J1406" t="str">
            <v>20YD ROLL OFF-PERM RENT</v>
          </cell>
          <cell r="K1406">
            <v>24.17</v>
          </cell>
          <cell r="L1406">
            <v>24.17</v>
          </cell>
        </row>
        <row r="1407">
          <cell r="A1407" t="str">
            <v>BONNEY LAKEROLL OFFRORENT20T</v>
          </cell>
          <cell r="B1407" t="str">
            <v>MONTHLY ARREARS</v>
          </cell>
          <cell r="C1407" t="str">
            <v>2111</v>
          </cell>
          <cell r="D1407" t="str">
            <v>ROLL OFF</v>
          </cell>
          <cell r="E1407" t="b">
            <v>0</v>
          </cell>
          <cell r="F1407" t="b">
            <v>0</v>
          </cell>
          <cell r="G1407" t="str">
            <v>BONNEY LAKE</v>
          </cell>
          <cell r="H1407">
            <v>2611</v>
          </cell>
          <cell r="I1407" t="str">
            <v>RORENT20T</v>
          </cell>
          <cell r="J1407" t="str">
            <v>20YD ROLL OFF-TEMP RENT</v>
          </cell>
          <cell r="K1407">
            <v>183.42</v>
          </cell>
          <cell r="L1407">
            <v>183.42</v>
          </cell>
        </row>
        <row r="1408">
          <cell r="A1408" t="str">
            <v>M-EDGEWOODROLL OFFRORENT20T</v>
          </cell>
          <cell r="B1408" t="str">
            <v>MONTHLY ARREARS</v>
          </cell>
          <cell r="C1408" t="str">
            <v>2111</v>
          </cell>
          <cell r="D1408" t="str">
            <v>ROLL OFF</v>
          </cell>
          <cell r="E1408" t="b">
            <v>0</v>
          </cell>
          <cell r="F1408" t="b">
            <v>0</v>
          </cell>
          <cell r="G1408" t="str">
            <v>M-EDGEWOOD</v>
          </cell>
          <cell r="H1408">
            <v>2611</v>
          </cell>
          <cell r="I1408" t="str">
            <v>RORENT20T</v>
          </cell>
          <cell r="J1408" t="str">
            <v>20YD ROLL OFF-TEMP RENT</v>
          </cell>
          <cell r="K1408">
            <v>154.07</v>
          </cell>
          <cell r="L1408">
            <v>154.07</v>
          </cell>
        </row>
        <row r="1409">
          <cell r="A1409" t="str">
            <v>M-FIFEROLL OFFRORENT20T</v>
          </cell>
          <cell r="B1409" t="str">
            <v>MONTHLY ARREARS</v>
          </cell>
          <cell r="C1409" t="str">
            <v>2111</v>
          </cell>
          <cell r="D1409" t="str">
            <v>ROLL OFF</v>
          </cell>
          <cell r="E1409" t="b">
            <v>0</v>
          </cell>
          <cell r="F1409" t="b">
            <v>0</v>
          </cell>
          <cell r="G1409" t="str">
            <v>M-FIFE</v>
          </cell>
          <cell r="H1409">
            <v>2611</v>
          </cell>
          <cell r="I1409" t="str">
            <v>RORENT20T</v>
          </cell>
          <cell r="J1409" t="str">
            <v>20YD ROLL OFF-TEMP RENT</v>
          </cell>
          <cell r="K1409">
            <v>154.07</v>
          </cell>
          <cell r="L1409">
            <v>154.07</v>
          </cell>
        </row>
        <row r="1410">
          <cell r="A1410" t="str">
            <v>MURREYSROLL OFFRORENT20T</v>
          </cell>
          <cell r="B1410" t="str">
            <v>MONTHLY ARREARS</v>
          </cell>
          <cell r="C1410" t="str">
            <v>2111</v>
          </cell>
          <cell r="D1410" t="str">
            <v>ROLL OFF</v>
          </cell>
          <cell r="E1410" t="b">
            <v>0</v>
          </cell>
          <cell r="F1410" t="b">
            <v>0</v>
          </cell>
          <cell r="G1410" t="str">
            <v>MURREYS</v>
          </cell>
          <cell r="H1410">
            <v>2611</v>
          </cell>
          <cell r="I1410" t="str">
            <v>RORENT20T</v>
          </cell>
          <cell r="J1410" t="str">
            <v>20YD ROLL OFF-TEMP RENT</v>
          </cell>
          <cell r="K1410">
            <v>154.07</v>
          </cell>
          <cell r="L1410">
            <v>154.07</v>
          </cell>
        </row>
        <row r="1411">
          <cell r="A1411" t="str">
            <v>PUYALLUPROLL OFFRORENT20T</v>
          </cell>
          <cell r="B1411" t="str">
            <v>MONTHLY ARREARS</v>
          </cell>
          <cell r="C1411" t="str">
            <v>2111</v>
          </cell>
          <cell r="D1411" t="str">
            <v>ROLL OFF</v>
          </cell>
          <cell r="E1411" t="b">
            <v>0</v>
          </cell>
          <cell r="F1411" t="b">
            <v>0</v>
          </cell>
          <cell r="G1411" t="str">
            <v>PUYALLUP</v>
          </cell>
          <cell r="H1411">
            <v>2611</v>
          </cell>
          <cell r="I1411" t="str">
            <v>RORENT20T</v>
          </cell>
          <cell r="J1411" t="str">
            <v>20YD ROLL OFF-TEMP RENT</v>
          </cell>
          <cell r="K1411">
            <v>178.91</v>
          </cell>
          <cell r="L1411">
            <v>178.91</v>
          </cell>
        </row>
        <row r="1412">
          <cell r="A1412" t="str">
            <v>RUSTONROLL OFFRORENT20T</v>
          </cell>
          <cell r="B1412" t="str">
            <v>MONTHLY ARREARS</v>
          </cell>
          <cell r="C1412" t="str">
            <v>2111</v>
          </cell>
          <cell r="D1412" t="str">
            <v>ROLL OFF</v>
          </cell>
          <cell r="E1412" t="b">
            <v>0</v>
          </cell>
          <cell r="F1412" t="b">
            <v>0</v>
          </cell>
          <cell r="G1412" t="str">
            <v>RUSTON</v>
          </cell>
          <cell r="H1412">
            <v>2611</v>
          </cell>
          <cell r="I1412" t="str">
            <v>RORENT20T</v>
          </cell>
          <cell r="J1412" t="str">
            <v>20YD ROLL OFF-TEMP RENT</v>
          </cell>
          <cell r="K1412">
            <v>186.18</v>
          </cell>
          <cell r="L1412">
            <v>186.18</v>
          </cell>
        </row>
        <row r="1413">
          <cell r="A1413" t="str">
            <v>VASHONROLL OFFRORENT20T</v>
          </cell>
          <cell r="B1413" t="str">
            <v>MONTHLY ARREARS</v>
          </cell>
          <cell r="C1413" t="str">
            <v>2111</v>
          </cell>
          <cell r="D1413" t="str">
            <v>ROLL OFF</v>
          </cell>
          <cell r="E1413" t="b">
            <v>0</v>
          </cell>
          <cell r="F1413" t="b">
            <v>0</v>
          </cell>
          <cell r="G1413" t="str">
            <v>VASHON</v>
          </cell>
          <cell r="H1413">
            <v>2611</v>
          </cell>
          <cell r="I1413" t="str">
            <v>RORENT20T</v>
          </cell>
          <cell r="J1413" t="str">
            <v>20YD ROLL OFF-TEMP RENT</v>
          </cell>
          <cell r="K1413">
            <v>120.92</v>
          </cell>
          <cell r="L1413">
            <v>120.92</v>
          </cell>
        </row>
        <row r="1414">
          <cell r="A1414" t="str">
            <v>CARBONADOROLL OFFRORENT25D</v>
          </cell>
          <cell r="B1414" t="str">
            <v>MONTHLY ARREARS</v>
          </cell>
          <cell r="C1414" t="str">
            <v>2111</v>
          </cell>
          <cell r="D1414" t="str">
            <v>ROLL OFF</v>
          </cell>
          <cell r="E1414" t="b">
            <v>0</v>
          </cell>
          <cell r="F1414" t="b">
            <v>0</v>
          </cell>
          <cell r="G1414" t="str">
            <v>CARBONADO</v>
          </cell>
          <cell r="H1414">
            <v>3196</v>
          </cell>
          <cell r="I1414" t="str">
            <v>RORENT25D</v>
          </cell>
          <cell r="J1414" t="str">
            <v>25YD ROLL OFF -DAILY RENT</v>
          </cell>
          <cell r="K1414">
            <v>0</v>
          </cell>
          <cell r="L1414">
            <v>0</v>
          </cell>
        </row>
        <row r="1415">
          <cell r="A1415" t="str">
            <v>BONNEY LAKEROLL OFFRORENT25P</v>
          </cell>
          <cell r="B1415" t="str">
            <v>MONTHLY ARREARS</v>
          </cell>
          <cell r="C1415" t="str">
            <v>2111</v>
          </cell>
          <cell r="D1415" t="str">
            <v>ROLL OFF</v>
          </cell>
          <cell r="E1415" t="b">
            <v>0</v>
          </cell>
          <cell r="F1415" t="b">
            <v>0</v>
          </cell>
          <cell r="G1415" t="str">
            <v>BONNEY LAKE</v>
          </cell>
          <cell r="H1415">
            <v>3423</v>
          </cell>
          <cell r="I1415" t="str">
            <v>RORENT25P</v>
          </cell>
          <cell r="J1415" t="str">
            <v>25YD ROLL OFF-PERM RENT</v>
          </cell>
          <cell r="K1415">
            <v>121.08</v>
          </cell>
          <cell r="L1415">
            <v>121.08</v>
          </cell>
        </row>
        <row r="1416">
          <cell r="A1416" t="str">
            <v>M-EDGEWOODROLL OFFRORENT25P</v>
          </cell>
          <cell r="B1416" t="str">
            <v>MONTHLY ARREARS</v>
          </cell>
          <cell r="C1416" t="str">
            <v>2111</v>
          </cell>
          <cell r="D1416" t="str">
            <v>ROLL OFF</v>
          </cell>
          <cell r="E1416" t="b">
            <v>0</v>
          </cell>
          <cell r="F1416" t="b">
            <v>0</v>
          </cell>
          <cell r="G1416" t="str">
            <v>M-EDGEWOOD</v>
          </cell>
          <cell r="H1416">
            <v>3423</v>
          </cell>
          <cell r="I1416" t="str">
            <v>RORENT25P</v>
          </cell>
          <cell r="J1416" t="str">
            <v>25YD ROLL OFF-PERM RENT</v>
          </cell>
          <cell r="K1416">
            <v>101.58</v>
          </cell>
          <cell r="L1416">
            <v>101.58</v>
          </cell>
        </row>
        <row r="1417">
          <cell r="A1417" t="str">
            <v>M-FIFEROLL OFFRORENT25P</v>
          </cell>
          <cell r="B1417" t="str">
            <v>MONTHLY ARREARS</v>
          </cell>
          <cell r="C1417" t="str">
            <v>2111</v>
          </cell>
          <cell r="D1417" t="str">
            <v>ROLL OFF</v>
          </cell>
          <cell r="E1417" t="b">
            <v>0</v>
          </cell>
          <cell r="F1417" t="b">
            <v>0</v>
          </cell>
          <cell r="G1417" t="str">
            <v>M-FIFE</v>
          </cell>
          <cell r="H1417">
            <v>3423</v>
          </cell>
          <cell r="I1417" t="str">
            <v>RORENT25P</v>
          </cell>
          <cell r="J1417" t="str">
            <v>25YD ROLL OFF-PERM RENT</v>
          </cell>
          <cell r="K1417">
            <v>101.58</v>
          </cell>
          <cell r="L1417">
            <v>101.58</v>
          </cell>
        </row>
        <row r="1418">
          <cell r="A1418" t="str">
            <v>MURREYSROLL OFFRORENT25P</v>
          </cell>
          <cell r="B1418" t="str">
            <v>MONTHLY ARREARS</v>
          </cell>
          <cell r="C1418" t="str">
            <v>2111</v>
          </cell>
          <cell r="D1418" t="str">
            <v>ROLL OFF</v>
          </cell>
          <cell r="E1418" t="b">
            <v>0</v>
          </cell>
          <cell r="F1418" t="b">
            <v>0</v>
          </cell>
          <cell r="G1418" t="str">
            <v>MURREYS</v>
          </cell>
          <cell r="H1418">
            <v>3423</v>
          </cell>
          <cell r="I1418" t="str">
            <v>RORENT25P</v>
          </cell>
          <cell r="J1418" t="str">
            <v>25YD ROLL OFF-PERM RENT</v>
          </cell>
          <cell r="K1418">
            <v>101.58</v>
          </cell>
          <cell r="L1418">
            <v>101.58</v>
          </cell>
        </row>
        <row r="1419">
          <cell r="A1419" t="str">
            <v>PUYALLUPROLL OFFRORENT25P</v>
          </cell>
          <cell r="B1419" t="str">
            <v>MONTHLY ARREARS</v>
          </cell>
          <cell r="C1419" t="str">
            <v>2111</v>
          </cell>
          <cell r="D1419" t="str">
            <v>ROLL OFF</v>
          </cell>
          <cell r="E1419" t="b">
            <v>0</v>
          </cell>
          <cell r="F1419" t="b">
            <v>0</v>
          </cell>
          <cell r="G1419" t="str">
            <v>PUYALLUP</v>
          </cell>
          <cell r="H1419">
            <v>3423</v>
          </cell>
          <cell r="I1419" t="str">
            <v>RORENT25P</v>
          </cell>
          <cell r="J1419" t="str">
            <v>25YD ROLL OFF-PERM RENT</v>
          </cell>
          <cell r="K1419">
            <v>134.19999999999999</v>
          </cell>
          <cell r="L1419">
            <v>134.19999999999999</v>
          </cell>
        </row>
        <row r="1420">
          <cell r="A1420" t="str">
            <v>RUSTONROLL OFFRORENT25P</v>
          </cell>
          <cell r="B1420" t="str">
            <v>MONTHLY ARREARS</v>
          </cell>
          <cell r="C1420" t="str">
            <v>2111</v>
          </cell>
          <cell r="D1420" t="str">
            <v>ROLL OFF</v>
          </cell>
          <cell r="E1420" t="b">
            <v>0</v>
          </cell>
          <cell r="F1420" t="b">
            <v>0</v>
          </cell>
          <cell r="G1420" t="str">
            <v>RUSTON</v>
          </cell>
          <cell r="H1420">
            <v>3423</v>
          </cell>
          <cell r="I1420" t="str">
            <v>RORENT25P</v>
          </cell>
          <cell r="J1420" t="str">
            <v>25YD ROLL OFF-PERM RENT</v>
          </cell>
          <cell r="K1420">
            <v>124.12</v>
          </cell>
          <cell r="L1420">
            <v>124.12</v>
          </cell>
        </row>
        <row r="1421">
          <cell r="A1421" t="str">
            <v>VASHONROLL OFFRORENT25P</v>
          </cell>
          <cell r="B1421" t="str">
            <v>MONTHLY ARREARS</v>
          </cell>
          <cell r="C1421" t="str">
            <v>2111</v>
          </cell>
          <cell r="D1421" t="str">
            <v>ROLL OFF</v>
          </cell>
          <cell r="E1421" t="b">
            <v>0</v>
          </cell>
          <cell r="F1421" t="b">
            <v>0</v>
          </cell>
          <cell r="G1421" t="str">
            <v>VASHON</v>
          </cell>
          <cell r="H1421">
            <v>3423</v>
          </cell>
          <cell r="I1421" t="str">
            <v>RORENT25P</v>
          </cell>
          <cell r="J1421" t="str">
            <v>25YD ROLL OFF-PERM RENT</v>
          </cell>
          <cell r="K1421">
            <v>24.17</v>
          </cell>
          <cell r="L1421">
            <v>24.17</v>
          </cell>
        </row>
        <row r="1422">
          <cell r="A1422" t="str">
            <v>BONNEY LAKEROLL OFFRORENT25T</v>
          </cell>
          <cell r="B1422" t="str">
            <v>MONTHLY ARREARS</v>
          </cell>
          <cell r="C1422" t="str">
            <v>2111</v>
          </cell>
          <cell r="D1422" t="str">
            <v>ROLL OFF</v>
          </cell>
          <cell r="E1422" t="b">
            <v>0</v>
          </cell>
          <cell r="F1422" t="b">
            <v>0</v>
          </cell>
          <cell r="G1422" t="str">
            <v>BONNEY LAKE</v>
          </cell>
          <cell r="H1422">
            <v>3147</v>
          </cell>
          <cell r="I1422" t="str">
            <v>RORENT25T</v>
          </cell>
          <cell r="J1422" t="str">
            <v>25YD ROLL OFF-TEMP RENT</v>
          </cell>
          <cell r="K1422">
            <v>191.67</v>
          </cell>
          <cell r="L1422">
            <v>191.67</v>
          </cell>
        </row>
        <row r="1423">
          <cell r="A1423" t="str">
            <v>M-EDGEWOODROLL OFFRORENT25T</v>
          </cell>
          <cell r="B1423" t="str">
            <v>MONTHLY ARREARS</v>
          </cell>
          <cell r="C1423" t="str">
            <v>2111</v>
          </cell>
          <cell r="D1423" t="str">
            <v>ROLL OFF</v>
          </cell>
          <cell r="E1423" t="b">
            <v>0</v>
          </cell>
          <cell r="F1423" t="b">
            <v>0</v>
          </cell>
          <cell r="G1423" t="str">
            <v>M-EDGEWOOD</v>
          </cell>
          <cell r="H1423">
            <v>3147</v>
          </cell>
          <cell r="I1423" t="str">
            <v>RORENT25T</v>
          </cell>
          <cell r="J1423" t="str">
            <v>25YD ROLL OFF-TEMP RENT</v>
          </cell>
          <cell r="K1423">
            <v>160.57</v>
          </cell>
          <cell r="L1423">
            <v>160.57</v>
          </cell>
        </row>
        <row r="1424">
          <cell r="A1424" t="str">
            <v>M-FIFEROLL OFFRORENT25T</v>
          </cell>
          <cell r="B1424" t="str">
            <v>MONTHLY ARREARS</v>
          </cell>
          <cell r="C1424" t="str">
            <v>2111</v>
          </cell>
          <cell r="D1424" t="str">
            <v>ROLL OFF</v>
          </cell>
          <cell r="E1424" t="b">
            <v>0</v>
          </cell>
          <cell r="F1424" t="b">
            <v>0</v>
          </cell>
          <cell r="G1424" t="str">
            <v>M-FIFE</v>
          </cell>
          <cell r="H1424">
            <v>3147</v>
          </cell>
          <cell r="I1424" t="str">
            <v>RORENT25T</v>
          </cell>
          <cell r="J1424" t="str">
            <v>25YD ROLL OFF-TEMP RENT</v>
          </cell>
          <cell r="K1424">
            <v>160.57</v>
          </cell>
          <cell r="L1424">
            <v>160.57</v>
          </cell>
        </row>
        <row r="1425">
          <cell r="A1425" t="str">
            <v>MURREYSROLL OFFRORENT25T</v>
          </cell>
          <cell r="B1425" t="str">
            <v>MONTHLY ARREARS</v>
          </cell>
          <cell r="C1425" t="str">
            <v>2111</v>
          </cell>
          <cell r="D1425" t="str">
            <v>ROLL OFF</v>
          </cell>
          <cell r="E1425" t="b">
            <v>0</v>
          </cell>
          <cell r="F1425" t="b">
            <v>0</v>
          </cell>
          <cell r="G1425" t="str">
            <v>MURREYS</v>
          </cell>
          <cell r="H1425">
            <v>3147</v>
          </cell>
          <cell r="I1425" t="str">
            <v>RORENT25T</v>
          </cell>
          <cell r="J1425" t="str">
            <v>25YD ROLL OFF-TEMP RENT</v>
          </cell>
          <cell r="K1425">
            <v>160.57</v>
          </cell>
          <cell r="L1425">
            <v>160.57</v>
          </cell>
        </row>
        <row r="1426">
          <cell r="A1426" t="str">
            <v>PUYALLUPROLL OFFRORENT25T</v>
          </cell>
          <cell r="B1426" t="str">
            <v>MONTHLY ARREARS</v>
          </cell>
          <cell r="C1426" t="str">
            <v>2111</v>
          </cell>
          <cell r="D1426" t="str">
            <v>ROLL OFF</v>
          </cell>
          <cell r="E1426" t="b">
            <v>0</v>
          </cell>
          <cell r="F1426" t="b">
            <v>0</v>
          </cell>
          <cell r="G1426" t="str">
            <v>PUYALLUP</v>
          </cell>
          <cell r="H1426">
            <v>3147</v>
          </cell>
          <cell r="I1426" t="str">
            <v>RORENT25T</v>
          </cell>
          <cell r="J1426" t="str">
            <v>25YD ROLL OFF-TEMP RENT</v>
          </cell>
          <cell r="K1426">
            <v>189.85</v>
          </cell>
          <cell r="L1426">
            <v>189.85</v>
          </cell>
        </row>
        <row r="1427">
          <cell r="A1427" t="str">
            <v>RUSTONROLL OFFRORENT25T</v>
          </cell>
          <cell r="B1427" t="str">
            <v>MONTHLY ARREARS</v>
          </cell>
          <cell r="C1427" t="str">
            <v>2111</v>
          </cell>
          <cell r="D1427" t="str">
            <v>ROLL OFF</v>
          </cell>
          <cell r="E1427" t="b">
            <v>0</v>
          </cell>
          <cell r="F1427" t="b">
            <v>0</v>
          </cell>
          <cell r="G1427" t="str">
            <v>RUSTON</v>
          </cell>
          <cell r="H1427">
            <v>3147</v>
          </cell>
          <cell r="I1427" t="str">
            <v>RORENT25T</v>
          </cell>
          <cell r="J1427" t="str">
            <v>25YD ROLL OFF-TEMP RENT</v>
          </cell>
          <cell r="K1427">
            <v>196.53</v>
          </cell>
          <cell r="L1427">
            <v>196.53</v>
          </cell>
        </row>
        <row r="1428">
          <cell r="A1428" t="str">
            <v>VASHONROLL OFFRORENT25T</v>
          </cell>
          <cell r="B1428" t="str">
            <v>MONTHLY ARREARS</v>
          </cell>
          <cell r="C1428" t="str">
            <v>2111</v>
          </cell>
          <cell r="D1428" t="str">
            <v>ROLL OFF</v>
          </cell>
          <cell r="E1428" t="b">
            <v>0</v>
          </cell>
          <cell r="F1428" t="b">
            <v>0</v>
          </cell>
          <cell r="G1428" t="str">
            <v>VASHON</v>
          </cell>
          <cell r="H1428">
            <v>3147</v>
          </cell>
          <cell r="I1428" t="str">
            <v>RORENT25T</v>
          </cell>
          <cell r="J1428" t="str">
            <v>25YD ROLL OFF-TEMP RENT</v>
          </cell>
          <cell r="K1428">
            <v>120.92</v>
          </cell>
          <cell r="L1428">
            <v>120.92</v>
          </cell>
        </row>
        <row r="1429">
          <cell r="A1429" t="str">
            <v>CARBONADOROLL OFFRORENT30D</v>
          </cell>
          <cell r="B1429" t="str">
            <v>MONTHLY ARREARS</v>
          </cell>
          <cell r="C1429" t="str">
            <v>2111</v>
          </cell>
          <cell r="D1429" t="str">
            <v>ROLL OFF</v>
          </cell>
          <cell r="E1429" t="b">
            <v>0</v>
          </cell>
          <cell r="F1429" t="b">
            <v>0</v>
          </cell>
          <cell r="G1429" t="str">
            <v>CARBONADO</v>
          </cell>
          <cell r="H1429">
            <v>2619</v>
          </cell>
          <cell r="I1429" t="str">
            <v>RORENT30D</v>
          </cell>
          <cell r="J1429" t="str">
            <v>30YD ROLL OFF-DAILY RENT</v>
          </cell>
          <cell r="K1429">
            <v>0</v>
          </cell>
          <cell r="L1429">
            <v>0</v>
          </cell>
        </row>
        <row r="1430">
          <cell r="A1430" t="str">
            <v>BONNEY LAKEROLL OFFRORENT30P</v>
          </cell>
          <cell r="B1430" t="str">
            <v>MONTHLY ARREARS</v>
          </cell>
          <cell r="C1430" t="str">
            <v>2111</v>
          </cell>
          <cell r="D1430" t="str">
            <v>ROLL OFF</v>
          </cell>
          <cell r="E1430" t="b">
            <v>0</v>
          </cell>
          <cell r="F1430" t="b">
            <v>0</v>
          </cell>
          <cell r="G1430" t="str">
            <v>BONNEY LAKE</v>
          </cell>
          <cell r="H1430">
            <v>3424</v>
          </cell>
          <cell r="I1430" t="str">
            <v>RORENT30P</v>
          </cell>
          <cell r="J1430" t="str">
            <v>30YD ROLL OFF-PERM RENT</v>
          </cell>
          <cell r="K1430">
            <v>132.80000000000001</v>
          </cell>
          <cell r="L1430">
            <v>132.80000000000001</v>
          </cell>
        </row>
        <row r="1431">
          <cell r="A1431" t="str">
            <v>M-EDGEWOODROLL OFFRORENT30P</v>
          </cell>
          <cell r="B1431" t="str">
            <v>MONTHLY ARREARS</v>
          </cell>
          <cell r="C1431" t="str">
            <v>2111</v>
          </cell>
          <cell r="D1431" t="str">
            <v>ROLL OFF</v>
          </cell>
          <cell r="E1431" t="b">
            <v>0</v>
          </cell>
          <cell r="F1431" t="b">
            <v>0</v>
          </cell>
          <cell r="G1431" t="str">
            <v>M-EDGEWOOD</v>
          </cell>
          <cell r="H1431">
            <v>3424</v>
          </cell>
          <cell r="I1431" t="str">
            <v>RORENT30P</v>
          </cell>
          <cell r="J1431" t="str">
            <v>30YD ROLL OFF-PERM RENT</v>
          </cell>
          <cell r="K1431">
            <v>111.42</v>
          </cell>
          <cell r="L1431">
            <v>111.42</v>
          </cell>
        </row>
        <row r="1432">
          <cell r="A1432" t="str">
            <v>M-FIFEROLL OFFRORENT30P</v>
          </cell>
          <cell r="B1432" t="str">
            <v>MONTHLY ARREARS</v>
          </cell>
          <cell r="C1432" t="str">
            <v>2111</v>
          </cell>
          <cell r="D1432" t="str">
            <v>ROLL OFF</v>
          </cell>
          <cell r="E1432" t="b">
            <v>0</v>
          </cell>
          <cell r="F1432" t="b">
            <v>0</v>
          </cell>
          <cell r="G1432" t="str">
            <v>M-FIFE</v>
          </cell>
          <cell r="H1432">
            <v>3424</v>
          </cell>
          <cell r="I1432" t="str">
            <v>RORENT30P</v>
          </cell>
          <cell r="J1432" t="str">
            <v>30YD ROLL OFF-PERM RENT</v>
          </cell>
          <cell r="K1432">
            <v>111.42</v>
          </cell>
          <cell r="L1432">
            <v>111.42</v>
          </cell>
        </row>
        <row r="1433">
          <cell r="A1433" t="str">
            <v>MURREYSROLL OFFRORENT30P</v>
          </cell>
          <cell r="B1433" t="str">
            <v>MONTHLY ARREARS</v>
          </cell>
          <cell r="C1433" t="str">
            <v>2111</v>
          </cell>
          <cell r="D1433" t="str">
            <v>ROLL OFF</v>
          </cell>
          <cell r="E1433" t="b">
            <v>0</v>
          </cell>
          <cell r="F1433" t="b">
            <v>0</v>
          </cell>
          <cell r="G1433" t="str">
            <v>MURREYS</v>
          </cell>
          <cell r="H1433">
            <v>3424</v>
          </cell>
          <cell r="I1433" t="str">
            <v>RORENT30P</v>
          </cell>
          <cell r="J1433" t="str">
            <v>30YD ROLL OFF-PERM RENT</v>
          </cell>
          <cell r="K1433">
            <v>111.42</v>
          </cell>
          <cell r="L1433">
            <v>111.42</v>
          </cell>
        </row>
        <row r="1434">
          <cell r="A1434" t="str">
            <v>PUYALLUPROLL OFFRORENT30P</v>
          </cell>
          <cell r="B1434" t="str">
            <v>MONTHLY ARREARS</v>
          </cell>
          <cell r="C1434" t="str">
            <v>2111</v>
          </cell>
          <cell r="D1434" t="str">
            <v>ROLL OFF</v>
          </cell>
          <cell r="E1434" t="b">
            <v>0</v>
          </cell>
          <cell r="F1434" t="b">
            <v>0</v>
          </cell>
          <cell r="G1434" t="str">
            <v>PUYALLUP</v>
          </cell>
          <cell r="H1434">
            <v>3424</v>
          </cell>
          <cell r="I1434" t="str">
            <v>RORENT30P</v>
          </cell>
          <cell r="J1434" t="str">
            <v>30YD ROLL OFF-PERM RENT</v>
          </cell>
          <cell r="K1434">
            <v>146.84</v>
          </cell>
          <cell r="L1434">
            <v>146.84</v>
          </cell>
        </row>
        <row r="1435">
          <cell r="A1435" t="str">
            <v>RUSTONROLL OFFRORENT30P</v>
          </cell>
          <cell r="B1435" t="str">
            <v>MONTHLY ARREARS</v>
          </cell>
          <cell r="C1435" t="str">
            <v>2111</v>
          </cell>
          <cell r="D1435" t="str">
            <v>ROLL OFF</v>
          </cell>
          <cell r="E1435" t="b">
            <v>0</v>
          </cell>
          <cell r="F1435" t="b">
            <v>0</v>
          </cell>
          <cell r="G1435" t="str">
            <v>RUSTON</v>
          </cell>
          <cell r="H1435">
            <v>3424</v>
          </cell>
          <cell r="I1435" t="str">
            <v>RORENT30P</v>
          </cell>
          <cell r="J1435" t="str">
            <v>30YD ROLL OFF-PERM RENT</v>
          </cell>
          <cell r="K1435">
            <v>134.47</v>
          </cell>
          <cell r="L1435">
            <v>134.47</v>
          </cell>
        </row>
        <row r="1436">
          <cell r="A1436" t="str">
            <v>VASHONROLL OFFRORENT30P</v>
          </cell>
          <cell r="B1436" t="str">
            <v>MONTHLY ARREARS</v>
          </cell>
          <cell r="C1436" t="str">
            <v>2111</v>
          </cell>
          <cell r="D1436" t="str">
            <v>ROLL OFF</v>
          </cell>
          <cell r="E1436" t="b">
            <v>0</v>
          </cell>
          <cell r="F1436" t="b">
            <v>0</v>
          </cell>
          <cell r="G1436" t="str">
            <v>VASHON</v>
          </cell>
          <cell r="H1436">
            <v>3424</v>
          </cell>
          <cell r="I1436" t="str">
            <v>RORENT30P</v>
          </cell>
          <cell r="J1436" t="str">
            <v>30YD ROLL OFF-PERM RENT</v>
          </cell>
          <cell r="K1436">
            <v>24.17</v>
          </cell>
          <cell r="L1436">
            <v>24.17</v>
          </cell>
        </row>
        <row r="1437">
          <cell r="A1437" t="str">
            <v>BONNEY LAKEROLL OFFRORENT30T</v>
          </cell>
          <cell r="B1437" t="str">
            <v>MONTHLY ARREARS</v>
          </cell>
          <cell r="C1437" t="str">
            <v>2111</v>
          </cell>
          <cell r="D1437" t="str">
            <v>ROLL OFF</v>
          </cell>
          <cell r="E1437" t="b">
            <v>0</v>
          </cell>
          <cell r="F1437" t="b">
            <v>0</v>
          </cell>
          <cell r="G1437" t="str">
            <v>BONNEY LAKE</v>
          </cell>
          <cell r="H1437">
            <v>2618</v>
          </cell>
          <cell r="I1437" t="str">
            <v>RORENT30T</v>
          </cell>
          <cell r="J1437" t="str">
            <v>30YD ROLL OFF-TEMP RENT</v>
          </cell>
          <cell r="K1437">
            <v>199.93</v>
          </cell>
          <cell r="L1437">
            <v>199.93</v>
          </cell>
        </row>
        <row r="1438">
          <cell r="A1438" t="str">
            <v>M-EDGEWOODROLL OFFRORENT30T</v>
          </cell>
          <cell r="B1438" t="str">
            <v>MONTHLY ARREARS</v>
          </cell>
          <cell r="C1438" t="str">
            <v>2111</v>
          </cell>
          <cell r="D1438" t="str">
            <v>ROLL OFF</v>
          </cell>
          <cell r="E1438" t="b">
            <v>0</v>
          </cell>
          <cell r="F1438" t="b">
            <v>0</v>
          </cell>
          <cell r="G1438" t="str">
            <v>M-EDGEWOOD</v>
          </cell>
          <cell r="H1438">
            <v>2618</v>
          </cell>
          <cell r="I1438" t="str">
            <v>RORENT30T</v>
          </cell>
          <cell r="J1438" t="str">
            <v>30YD ROLL OFF-TEMP RENT</v>
          </cell>
          <cell r="K1438">
            <v>167.72</v>
          </cell>
          <cell r="L1438">
            <v>167.72</v>
          </cell>
        </row>
        <row r="1439">
          <cell r="A1439" t="str">
            <v>M-FIFEROLL OFFRORENT30T</v>
          </cell>
          <cell r="B1439" t="str">
            <v>MONTHLY ARREARS</v>
          </cell>
          <cell r="C1439" t="str">
            <v>2111</v>
          </cell>
          <cell r="D1439" t="str">
            <v>ROLL OFF</v>
          </cell>
          <cell r="E1439" t="b">
            <v>0</v>
          </cell>
          <cell r="F1439" t="b">
            <v>0</v>
          </cell>
          <cell r="G1439" t="str">
            <v>M-FIFE</v>
          </cell>
          <cell r="H1439">
            <v>2618</v>
          </cell>
          <cell r="I1439" t="str">
            <v>RORENT30T</v>
          </cell>
          <cell r="J1439" t="str">
            <v>30YD ROLL OFF-TEMP RENT</v>
          </cell>
          <cell r="K1439">
            <v>167.72</v>
          </cell>
          <cell r="L1439">
            <v>167.72</v>
          </cell>
        </row>
        <row r="1440">
          <cell r="A1440" t="str">
            <v>MURREYSROLL OFFRORENT30T</v>
          </cell>
          <cell r="B1440" t="str">
            <v>MONTHLY ARREARS</v>
          </cell>
          <cell r="C1440" t="str">
            <v>2111</v>
          </cell>
          <cell r="D1440" t="str">
            <v>ROLL OFF</v>
          </cell>
          <cell r="E1440" t="b">
            <v>0</v>
          </cell>
          <cell r="F1440" t="b">
            <v>0</v>
          </cell>
          <cell r="G1440" t="str">
            <v>MURREYS</v>
          </cell>
          <cell r="H1440">
            <v>2618</v>
          </cell>
          <cell r="I1440" t="str">
            <v>RORENT30T</v>
          </cell>
          <cell r="J1440" t="str">
            <v>30YD ROLL OFF-TEMP RENT</v>
          </cell>
          <cell r="K1440">
            <v>167.72</v>
          </cell>
          <cell r="L1440">
            <v>167.72</v>
          </cell>
        </row>
        <row r="1441">
          <cell r="A1441" t="str">
            <v>PUYALLUPROLL OFFRORENT30T</v>
          </cell>
          <cell r="B1441" t="str">
            <v>MONTHLY ARREARS</v>
          </cell>
          <cell r="C1441" t="str">
            <v>2111</v>
          </cell>
          <cell r="D1441" t="str">
            <v>ROLL OFF</v>
          </cell>
          <cell r="E1441" t="b">
            <v>0</v>
          </cell>
          <cell r="F1441" t="b">
            <v>0</v>
          </cell>
          <cell r="G1441" t="str">
            <v>PUYALLUP</v>
          </cell>
          <cell r="H1441">
            <v>2618</v>
          </cell>
          <cell r="I1441" t="str">
            <v>RORENT30T</v>
          </cell>
          <cell r="J1441" t="str">
            <v>30YD ROLL OFF-TEMP RENT</v>
          </cell>
          <cell r="K1441">
            <v>201.39</v>
          </cell>
          <cell r="L1441">
            <v>201.39</v>
          </cell>
        </row>
        <row r="1442">
          <cell r="A1442" t="str">
            <v>RUSTONROLL OFFRORENT30T</v>
          </cell>
          <cell r="B1442" t="str">
            <v>MONTHLY ARREARS</v>
          </cell>
          <cell r="C1442" t="str">
            <v>2111</v>
          </cell>
          <cell r="D1442" t="str">
            <v>ROLL OFF</v>
          </cell>
          <cell r="E1442" t="b">
            <v>0</v>
          </cell>
          <cell r="F1442" t="b">
            <v>0</v>
          </cell>
          <cell r="G1442" t="str">
            <v>RUSTON</v>
          </cell>
          <cell r="H1442">
            <v>2618</v>
          </cell>
          <cell r="I1442" t="str">
            <v>RORENT30T</v>
          </cell>
          <cell r="J1442" t="str">
            <v>30YD ROLL OFF-TEMP RENT</v>
          </cell>
          <cell r="K1442">
            <v>206.87</v>
          </cell>
          <cell r="L1442">
            <v>206.87</v>
          </cell>
        </row>
        <row r="1443">
          <cell r="A1443" t="str">
            <v>VASHONROLL OFFRORENT30T</v>
          </cell>
          <cell r="B1443" t="str">
            <v>MONTHLY ARREARS</v>
          </cell>
          <cell r="C1443" t="str">
            <v>2111</v>
          </cell>
          <cell r="D1443" t="str">
            <v>ROLL OFF</v>
          </cell>
          <cell r="E1443" t="b">
            <v>0</v>
          </cell>
          <cell r="F1443" t="b">
            <v>0</v>
          </cell>
          <cell r="G1443" t="str">
            <v>VASHON</v>
          </cell>
          <cell r="H1443">
            <v>2618</v>
          </cell>
          <cell r="I1443" t="str">
            <v>RORENT30T</v>
          </cell>
          <cell r="J1443" t="str">
            <v>30YD ROLL OFF-TEMP RENT</v>
          </cell>
          <cell r="K1443">
            <v>120.92</v>
          </cell>
          <cell r="L1443">
            <v>120.92</v>
          </cell>
        </row>
        <row r="1444">
          <cell r="A1444" t="str">
            <v>BONNEY LAKEROLL OFFRORENT40P</v>
          </cell>
          <cell r="B1444" t="str">
            <v>MONTHLY ARREARS</v>
          </cell>
          <cell r="C1444" t="str">
            <v>2111</v>
          </cell>
          <cell r="D1444" t="str">
            <v>ROLL OFF</v>
          </cell>
          <cell r="E1444" t="b">
            <v>0</v>
          </cell>
          <cell r="F1444" t="b">
            <v>0</v>
          </cell>
          <cell r="G1444" t="str">
            <v>BONNEY LAKE</v>
          </cell>
          <cell r="H1444">
            <v>3425</v>
          </cell>
          <cell r="I1444" t="str">
            <v>RORENT40P</v>
          </cell>
          <cell r="J1444" t="str">
            <v>40YD ROLL OFF-PERM RENT</v>
          </cell>
          <cell r="K1444">
            <v>135.38999999999999</v>
          </cell>
          <cell r="L1444">
            <v>135.38999999999999</v>
          </cell>
        </row>
        <row r="1445">
          <cell r="A1445" t="str">
            <v>M-EDGEWOODROLL OFFRORENT40P</v>
          </cell>
          <cell r="B1445" t="str">
            <v>MONTHLY ARREARS</v>
          </cell>
          <cell r="C1445" t="str">
            <v>2111</v>
          </cell>
          <cell r="D1445" t="str">
            <v>ROLL OFF</v>
          </cell>
          <cell r="E1445" t="b">
            <v>0</v>
          </cell>
          <cell r="F1445" t="b">
            <v>0</v>
          </cell>
          <cell r="G1445" t="str">
            <v>M-EDGEWOOD</v>
          </cell>
          <cell r="H1445">
            <v>3425</v>
          </cell>
          <cell r="I1445" t="str">
            <v>RORENT40P</v>
          </cell>
          <cell r="J1445" t="str">
            <v>40YD ROLL OFF-PERM RENT</v>
          </cell>
          <cell r="K1445">
            <v>113.6</v>
          </cell>
          <cell r="L1445">
            <v>113.6</v>
          </cell>
        </row>
        <row r="1446">
          <cell r="A1446" t="str">
            <v>M-FIFEROLL OFFRORENT40P</v>
          </cell>
          <cell r="B1446" t="str">
            <v>MONTHLY ARREARS</v>
          </cell>
          <cell r="C1446" t="str">
            <v>2111</v>
          </cell>
          <cell r="D1446" t="str">
            <v>ROLL OFF</v>
          </cell>
          <cell r="E1446" t="b">
            <v>0</v>
          </cell>
          <cell r="F1446" t="b">
            <v>0</v>
          </cell>
          <cell r="G1446" t="str">
            <v>M-FIFE</v>
          </cell>
          <cell r="H1446">
            <v>3425</v>
          </cell>
          <cell r="I1446" t="str">
            <v>RORENT40P</v>
          </cell>
          <cell r="J1446" t="str">
            <v>40YD ROLL OFF-PERM RENT</v>
          </cell>
          <cell r="K1446">
            <v>113.6</v>
          </cell>
          <cell r="L1446">
            <v>113.6</v>
          </cell>
        </row>
        <row r="1447">
          <cell r="A1447" t="str">
            <v>MURREYSROLL OFFRORENT40P</v>
          </cell>
          <cell r="B1447" t="str">
            <v>MONTHLY ARREARS</v>
          </cell>
          <cell r="C1447" t="str">
            <v>2111</v>
          </cell>
          <cell r="D1447" t="str">
            <v>ROLL OFF</v>
          </cell>
          <cell r="E1447" t="b">
            <v>0</v>
          </cell>
          <cell r="F1447" t="b">
            <v>0</v>
          </cell>
          <cell r="G1447" t="str">
            <v>MURREYS</v>
          </cell>
          <cell r="H1447">
            <v>3425</v>
          </cell>
          <cell r="I1447" t="str">
            <v>RORENT40P</v>
          </cell>
          <cell r="J1447" t="str">
            <v>40YD ROLL OFF-PERM RENT</v>
          </cell>
          <cell r="K1447">
            <v>113.6</v>
          </cell>
          <cell r="L1447">
            <v>113.6</v>
          </cell>
        </row>
        <row r="1448">
          <cell r="A1448" t="str">
            <v>PUYALLUPROLL OFFRORENT40P</v>
          </cell>
          <cell r="B1448" t="str">
            <v>MONTHLY ARREARS</v>
          </cell>
          <cell r="C1448" t="str">
            <v>2111</v>
          </cell>
          <cell r="D1448" t="str">
            <v>ROLL OFF</v>
          </cell>
          <cell r="E1448" t="b">
            <v>0</v>
          </cell>
          <cell r="F1448" t="b">
            <v>0</v>
          </cell>
          <cell r="G1448" t="str">
            <v>PUYALLUP</v>
          </cell>
          <cell r="H1448">
            <v>3425</v>
          </cell>
          <cell r="I1448" t="str">
            <v>RORENT40P</v>
          </cell>
          <cell r="J1448" t="str">
            <v>40YD ROLL OFF-PERM RENT</v>
          </cell>
          <cell r="K1448">
            <v>159.63999999999999</v>
          </cell>
          <cell r="L1448">
            <v>159.63999999999999</v>
          </cell>
        </row>
        <row r="1449">
          <cell r="A1449" t="str">
            <v>RUSTONROLL OFFRORENT40P</v>
          </cell>
          <cell r="B1449" t="str">
            <v>MONTHLY ARREARS</v>
          </cell>
          <cell r="C1449" t="str">
            <v>2111</v>
          </cell>
          <cell r="D1449" t="str">
            <v>ROLL OFF</v>
          </cell>
          <cell r="E1449" t="b">
            <v>0</v>
          </cell>
          <cell r="F1449" t="b">
            <v>0</v>
          </cell>
          <cell r="G1449" t="str">
            <v>RUSTON</v>
          </cell>
          <cell r="H1449">
            <v>3425</v>
          </cell>
          <cell r="I1449" t="str">
            <v>RORENT40P</v>
          </cell>
          <cell r="J1449" t="str">
            <v>40YD ROLL OFF-PERM RENT</v>
          </cell>
          <cell r="K1449">
            <v>144.81</v>
          </cell>
          <cell r="L1449">
            <v>144.81</v>
          </cell>
        </row>
        <row r="1450">
          <cell r="A1450" t="str">
            <v>BONNEY LAKEROLL OFFRORENT40T</v>
          </cell>
          <cell r="B1450" t="str">
            <v>MONTHLY ARREARS</v>
          </cell>
          <cell r="C1450" t="str">
            <v>2111</v>
          </cell>
          <cell r="D1450" t="str">
            <v>ROLL OFF</v>
          </cell>
          <cell r="E1450" t="b">
            <v>0</v>
          </cell>
          <cell r="F1450" t="b">
            <v>0</v>
          </cell>
          <cell r="G1450" t="str">
            <v>BONNEY LAKE</v>
          </cell>
          <cell r="H1450">
            <v>2623</v>
          </cell>
          <cell r="I1450" t="str">
            <v>RORENT40T</v>
          </cell>
          <cell r="J1450" t="str">
            <v>40YD ROLL OFF-TEMP RENT</v>
          </cell>
          <cell r="K1450">
            <v>242.11</v>
          </cell>
          <cell r="L1450">
            <v>242.11</v>
          </cell>
        </row>
        <row r="1451">
          <cell r="A1451" t="str">
            <v>M-EDGEWOODROLL OFFRORENT40T</v>
          </cell>
          <cell r="B1451" t="str">
            <v>MONTHLY ARREARS</v>
          </cell>
          <cell r="C1451" t="str">
            <v>2111</v>
          </cell>
          <cell r="D1451" t="str">
            <v>ROLL OFF</v>
          </cell>
          <cell r="E1451" t="b">
            <v>0</v>
          </cell>
          <cell r="F1451" t="b">
            <v>0</v>
          </cell>
          <cell r="G1451" t="str">
            <v>M-EDGEWOOD</v>
          </cell>
          <cell r="H1451">
            <v>2623</v>
          </cell>
          <cell r="I1451" t="str">
            <v>RORENT40T</v>
          </cell>
          <cell r="J1451" t="str">
            <v>40YD ROLL OFF-TEMP RENT</v>
          </cell>
          <cell r="K1451">
            <v>203.15</v>
          </cell>
          <cell r="L1451">
            <v>203.15</v>
          </cell>
        </row>
        <row r="1452">
          <cell r="A1452" t="str">
            <v>M-FIFEROLL OFFRORENT40T</v>
          </cell>
          <cell r="B1452" t="str">
            <v>MONTHLY ARREARS</v>
          </cell>
          <cell r="C1452" t="str">
            <v>2111</v>
          </cell>
          <cell r="D1452" t="str">
            <v>ROLL OFF</v>
          </cell>
          <cell r="E1452" t="b">
            <v>0</v>
          </cell>
          <cell r="F1452" t="b">
            <v>0</v>
          </cell>
          <cell r="G1452" t="str">
            <v>M-FIFE</v>
          </cell>
          <cell r="H1452">
            <v>2623</v>
          </cell>
          <cell r="I1452" t="str">
            <v>RORENT40T</v>
          </cell>
          <cell r="J1452" t="str">
            <v>40YD ROLL OFF-TEMP RENT</v>
          </cell>
          <cell r="K1452">
            <v>203.15</v>
          </cell>
          <cell r="L1452">
            <v>203.15</v>
          </cell>
        </row>
        <row r="1453">
          <cell r="A1453" t="str">
            <v>MURREYSROLL OFFRORENT40T</v>
          </cell>
          <cell r="B1453" t="str">
            <v>MONTHLY ARREARS</v>
          </cell>
          <cell r="C1453" t="str">
            <v>2111</v>
          </cell>
          <cell r="D1453" t="str">
            <v>ROLL OFF</v>
          </cell>
          <cell r="E1453" t="b">
            <v>0</v>
          </cell>
          <cell r="F1453" t="b">
            <v>0</v>
          </cell>
          <cell r="G1453" t="str">
            <v>MURREYS</v>
          </cell>
          <cell r="H1453">
            <v>2623</v>
          </cell>
          <cell r="I1453" t="str">
            <v>RORENT40T</v>
          </cell>
          <cell r="J1453" t="str">
            <v>40YD ROLL OFF-TEMP RENT</v>
          </cell>
          <cell r="K1453">
            <v>203.15</v>
          </cell>
          <cell r="L1453">
            <v>203.15</v>
          </cell>
        </row>
        <row r="1454">
          <cell r="A1454" t="str">
            <v>PUYALLUPROLL OFFRORENT40T</v>
          </cell>
          <cell r="B1454" t="str">
            <v>MONTHLY ARREARS</v>
          </cell>
          <cell r="C1454" t="str">
            <v>2111</v>
          </cell>
          <cell r="D1454" t="str">
            <v>ROLL OFF</v>
          </cell>
          <cell r="E1454" t="b">
            <v>0</v>
          </cell>
          <cell r="F1454" t="b">
            <v>0</v>
          </cell>
          <cell r="G1454" t="str">
            <v>PUYALLUP</v>
          </cell>
          <cell r="H1454">
            <v>2623</v>
          </cell>
          <cell r="I1454" t="str">
            <v>RORENT40T</v>
          </cell>
          <cell r="J1454" t="str">
            <v>40YD ROLL OFF-TEMP RENT</v>
          </cell>
          <cell r="K1454">
            <v>212.34</v>
          </cell>
          <cell r="L1454">
            <v>212.34</v>
          </cell>
        </row>
        <row r="1455">
          <cell r="A1455" t="str">
            <v>RUSTONROLL OFFRORENT40T</v>
          </cell>
          <cell r="B1455" t="str">
            <v>MONTHLY ARREARS</v>
          </cell>
          <cell r="C1455" t="str">
            <v>2111</v>
          </cell>
          <cell r="D1455" t="str">
            <v>ROLL OFF</v>
          </cell>
          <cell r="E1455" t="b">
            <v>0</v>
          </cell>
          <cell r="F1455" t="b">
            <v>0</v>
          </cell>
          <cell r="G1455" t="str">
            <v>RUSTON</v>
          </cell>
          <cell r="H1455">
            <v>2623</v>
          </cell>
          <cell r="I1455" t="str">
            <v>RORENT40T</v>
          </cell>
          <cell r="J1455" t="str">
            <v>40YD ROLL OFF-TEMP RENT</v>
          </cell>
          <cell r="K1455">
            <v>248.24</v>
          </cell>
          <cell r="L1455">
            <v>248.24</v>
          </cell>
        </row>
        <row r="1456">
          <cell r="A1456" t="str">
            <v>DMRROLL OFFRORHAULHR10</v>
          </cell>
          <cell r="B1456" t="str">
            <v>ONCALL</v>
          </cell>
          <cell r="C1456" t="str">
            <v>2111</v>
          </cell>
          <cell r="D1456" t="str">
            <v>ROLL OFF</v>
          </cell>
          <cell r="E1456" t="b">
            <v>1</v>
          </cell>
          <cell r="F1456" t="b">
            <v>0</v>
          </cell>
          <cell r="G1456" t="str">
            <v>DMR</v>
          </cell>
          <cell r="H1456">
            <v>3513</v>
          </cell>
          <cell r="I1456" t="str">
            <v>RORHAULHR10</v>
          </cell>
          <cell r="J1456" t="str">
            <v>RECYCLE 10 YD HRLY HAUL</v>
          </cell>
          <cell r="K1456">
            <v>175</v>
          </cell>
          <cell r="L1456">
            <v>175</v>
          </cell>
        </row>
        <row r="1457">
          <cell r="A1457" t="str">
            <v>DMRROLL OFFRORHAULHR12</v>
          </cell>
          <cell r="B1457" t="str">
            <v>ONCALL</v>
          </cell>
          <cell r="C1457" t="str">
            <v>2111</v>
          </cell>
          <cell r="D1457" t="str">
            <v>ROLL OFF</v>
          </cell>
          <cell r="E1457" t="b">
            <v>1</v>
          </cell>
          <cell r="F1457" t="b">
            <v>0</v>
          </cell>
          <cell r="G1457" t="str">
            <v>DMR</v>
          </cell>
          <cell r="H1457">
            <v>3515</v>
          </cell>
          <cell r="I1457" t="str">
            <v>RORHAULHR12</v>
          </cell>
          <cell r="J1457" t="str">
            <v>RECYCLE 12 YD HRLY HAUL</v>
          </cell>
          <cell r="K1457">
            <v>175</v>
          </cell>
          <cell r="L1457">
            <v>175</v>
          </cell>
        </row>
        <row r="1458">
          <cell r="A1458" t="str">
            <v>DMRROLL OFFRORHAULHR15</v>
          </cell>
          <cell r="B1458" t="str">
            <v>ONCALL</v>
          </cell>
          <cell r="C1458" t="str">
            <v>2111</v>
          </cell>
          <cell r="D1458" t="str">
            <v>ROLL OFF</v>
          </cell>
          <cell r="E1458" t="b">
            <v>1</v>
          </cell>
          <cell r="F1458" t="b">
            <v>0</v>
          </cell>
          <cell r="G1458" t="str">
            <v>DMR</v>
          </cell>
          <cell r="H1458">
            <v>3514</v>
          </cell>
          <cell r="I1458" t="str">
            <v>RORHAULHR15</v>
          </cell>
          <cell r="J1458" t="str">
            <v>RECYCLE 15 YD HRLY HAUL</v>
          </cell>
          <cell r="K1458">
            <v>175</v>
          </cell>
          <cell r="L1458">
            <v>175</v>
          </cell>
        </row>
        <row r="1459">
          <cell r="A1459" t="str">
            <v>DMRROLL OFFRORHAULHR20</v>
          </cell>
          <cell r="B1459" t="str">
            <v>ONCALL</v>
          </cell>
          <cell r="C1459" t="str">
            <v>2111</v>
          </cell>
          <cell r="D1459" t="str">
            <v>ROLL OFF</v>
          </cell>
          <cell r="E1459" t="b">
            <v>1</v>
          </cell>
          <cell r="F1459" t="b">
            <v>0</v>
          </cell>
          <cell r="G1459" t="str">
            <v>DMR</v>
          </cell>
          <cell r="H1459">
            <v>3076</v>
          </cell>
          <cell r="I1459" t="str">
            <v>RORHAULHR20</v>
          </cell>
          <cell r="J1459" t="str">
            <v>RECYCLE 20YD HRLY HAUL</v>
          </cell>
          <cell r="K1459">
            <v>175</v>
          </cell>
          <cell r="L1459">
            <v>175</v>
          </cell>
        </row>
        <row r="1460">
          <cell r="A1460" t="str">
            <v>DMRROLL OFFRORHAULHR25</v>
          </cell>
          <cell r="B1460" t="str">
            <v>ONCALL</v>
          </cell>
          <cell r="C1460" t="str">
            <v>2111</v>
          </cell>
          <cell r="D1460" t="str">
            <v>ROLL OFF</v>
          </cell>
          <cell r="E1460" t="b">
            <v>1</v>
          </cell>
          <cell r="F1460" t="b">
            <v>0</v>
          </cell>
          <cell r="G1460" t="str">
            <v>DMR</v>
          </cell>
          <cell r="H1460">
            <v>3430</v>
          </cell>
          <cell r="I1460" t="str">
            <v>RORHAULHR25</v>
          </cell>
          <cell r="J1460" t="str">
            <v>RECYCLE 25YD HRLY HAUL</v>
          </cell>
          <cell r="K1460">
            <v>175</v>
          </cell>
          <cell r="L1460">
            <v>175</v>
          </cell>
        </row>
        <row r="1461">
          <cell r="A1461" t="str">
            <v>DMRROLL OFFRORHAULHR30</v>
          </cell>
          <cell r="B1461" t="str">
            <v>ONCALL</v>
          </cell>
          <cell r="C1461" t="str">
            <v>2111</v>
          </cell>
          <cell r="D1461" t="str">
            <v>ROLL OFF</v>
          </cell>
          <cell r="E1461" t="b">
            <v>1</v>
          </cell>
          <cell r="F1461" t="b">
            <v>0</v>
          </cell>
          <cell r="G1461" t="str">
            <v>DMR</v>
          </cell>
          <cell r="H1461">
            <v>3431</v>
          </cell>
          <cell r="I1461" t="str">
            <v>RORHAULHR30</v>
          </cell>
          <cell r="J1461" t="str">
            <v>RECYCLE 30YD HRLY HAUL</v>
          </cell>
          <cell r="K1461">
            <v>175</v>
          </cell>
          <cell r="L1461">
            <v>175</v>
          </cell>
        </row>
        <row r="1462">
          <cell r="A1462" t="str">
            <v>DMRROLL OFFRORHAULHR40</v>
          </cell>
          <cell r="B1462" t="str">
            <v>ONCALL</v>
          </cell>
          <cell r="C1462" t="str">
            <v>2111</v>
          </cell>
          <cell r="D1462" t="str">
            <v>ROLL OFF</v>
          </cell>
          <cell r="E1462" t="b">
            <v>1</v>
          </cell>
          <cell r="F1462" t="b">
            <v>0</v>
          </cell>
          <cell r="G1462" t="str">
            <v>DMR</v>
          </cell>
          <cell r="H1462">
            <v>3432</v>
          </cell>
          <cell r="I1462" t="str">
            <v>RORHAULHR40</v>
          </cell>
          <cell r="J1462" t="str">
            <v>RECYCLE 40YD HRLY HAUL</v>
          </cell>
          <cell r="K1462">
            <v>175</v>
          </cell>
          <cell r="L1462">
            <v>175</v>
          </cell>
        </row>
        <row r="1463">
          <cell r="A1463" t="str">
            <v>DMRROLL OFFRORHAULHR50</v>
          </cell>
          <cell r="B1463" t="str">
            <v>ONCALL</v>
          </cell>
          <cell r="C1463" t="str">
            <v>2111</v>
          </cell>
          <cell r="D1463" t="str">
            <v>ROLL OFF</v>
          </cell>
          <cell r="E1463" t="b">
            <v>1</v>
          </cell>
          <cell r="F1463" t="b">
            <v>0</v>
          </cell>
          <cell r="G1463" t="str">
            <v>DMR</v>
          </cell>
          <cell r="H1463">
            <v>3433</v>
          </cell>
          <cell r="I1463" t="str">
            <v>RORHAULHR50</v>
          </cell>
          <cell r="J1463" t="str">
            <v>RECYCLE 50YD HRLY HAUL</v>
          </cell>
          <cell r="K1463">
            <v>175</v>
          </cell>
          <cell r="L1463">
            <v>175</v>
          </cell>
        </row>
        <row r="1464">
          <cell r="A1464" t="str">
            <v>DMRROLL OFFRORHAULHRSD</v>
          </cell>
          <cell r="B1464" t="str">
            <v>ONCALL</v>
          </cell>
          <cell r="C1464" t="str">
            <v>2111</v>
          </cell>
          <cell r="D1464" t="str">
            <v>ROLL OFF</v>
          </cell>
          <cell r="E1464" t="b">
            <v>1</v>
          </cell>
          <cell r="F1464" t="b">
            <v>0</v>
          </cell>
          <cell r="G1464" t="str">
            <v>DMR</v>
          </cell>
          <cell r="H1464">
            <v>3559</v>
          </cell>
          <cell r="I1464" t="str">
            <v>RORHAULHRSD</v>
          </cell>
          <cell r="J1464" t="str">
            <v>RECY SIDE DUMP HRLY</v>
          </cell>
          <cell r="K1464">
            <v>175</v>
          </cell>
          <cell r="L1464">
            <v>175</v>
          </cell>
        </row>
        <row r="1465">
          <cell r="A1465" t="str">
            <v>DMRROLL OFFRORHAULHRTL</v>
          </cell>
          <cell r="B1465" t="str">
            <v>ONCALL</v>
          </cell>
          <cell r="C1465" t="str">
            <v>2111</v>
          </cell>
          <cell r="D1465" t="str">
            <v>ROLL OFF</v>
          </cell>
          <cell r="E1465" t="b">
            <v>1</v>
          </cell>
          <cell r="F1465" t="b">
            <v>0</v>
          </cell>
          <cell r="G1465" t="str">
            <v>DMR</v>
          </cell>
          <cell r="H1465">
            <v>3434</v>
          </cell>
          <cell r="I1465" t="str">
            <v>RORHAULHRTL</v>
          </cell>
          <cell r="J1465" t="str">
            <v>RECYCLE TRAILER HRLY HAUL</v>
          </cell>
          <cell r="K1465">
            <v>175</v>
          </cell>
          <cell r="L1465">
            <v>175</v>
          </cell>
        </row>
        <row r="1466">
          <cell r="A1466" t="str">
            <v>CARBONADOROLL OFFROSLG</v>
          </cell>
          <cell r="B1466" t="str">
            <v>ONCALL</v>
          </cell>
          <cell r="C1466" t="str">
            <v>2111</v>
          </cell>
          <cell r="D1466" t="str">
            <v>ROLL OFF</v>
          </cell>
          <cell r="E1466" t="b">
            <v>1</v>
          </cell>
          <cell r="F1466" t="b">
            <v>1</v>
          </cell>
          <cell r="G1466" t="str">
            <v>CARBONADO</v>
          </cell>
          <cell r="H1466">
            <v>500</v>
          </cell>
          <cell r="I1466" t="str">
            <v>ROSLG</v>
          </cell>
          <cell r="J1466" t="str">
            <v>SLUDGE</v>
          </cell>
          <cell r="K1466">
            <v>0</v>
          </cell>
          <cell r="L1466">
            <v>0</v>
          </cell>
        </row>
        <row r="1467">
          <cell r="A1467" t="str">
            <v>VASHONROLL OFFROSTEAM</v>
          </cell>
          <cell r="B1467" t="str">
            <v>ONCALL</v>
          </cell>
          <cell r="C1467" t="str">
            <v>2111</v>
          </cell>
          <cell r="D1467" t="str">
            <v>ROLL OFF</v>
          </cell>
          <cell r="E1467" t="b">
            <v>0</v>
          </cell>
          <cell r="F1467" t="b">
            <v>0</v>
          </cell>
          <cell r="G1467" t="str">
            <v>VASHON</v>
          </cell>
          <cell r="H1467">
            <v>3467</v>
          </cell>
          <cell r="I1467" t="str">
            <v>ROSTEAM</v>
          </cell>
          <cell r="J1467" t="str">
            <v>STEAM CLEAN PER YARD - RO</v>
          </cell>
          <cell r="K1467">
            <v>3.93</v>
          </cell>
          <cell r="L1467">
            <v>3.93</v>
          </cell>
        </row>
        <row r="1468">
          <cell r="A1468" t="str">
            <v>VASHONROLL OFFROSTEAMMIN</v>
          </cell>
          <cell r="B1468" t="str">
            <v>ONCALL</v>
          </cell>
          <cell r="C1468" t="str">
            <v>2111</v>
          </cell>
          <cell r="D1468" t="str">
            <v>ROLL OFF</v>
          </cell>
          <cell r="E1468" t="b">
            <v>0</v>
          </cell>
          <cell r="F1468" t="b">
            <v>0</v>
          </cell>
          <cell r="G1468" t="str">
            <v>VASHON</v>
          </cell>
          <cell r="H1468">
            <v>3468</v>
          </cell>
          <cell r="I1468" t="str">
            <v>ROSTEAMMIN</v>
          </cell>
          <cell r="J1468" t="str">
            <v>STEAM CLEAN MIN - RO</v>
          </cell>
          <cell r="K1468">
            <v>19.649999999999999</v>
          </cell>
          <cell r="L1468">
            <v>19.649999999999999</v>
          </cell>
        </row>
        <row r="1469">
          <cell r="A1469" t="str">
            <v>BONNEY LAKEROLL OFFROTA</v>
          </cell>
          <cell r="B1469" t="str">
            <v>ONCALL</v>
          </cell>
          <cell r="C1469" t="str">
            <v>2111</v>
          </cell>
          <cell r="D1469" t="str">
            <v>ROLL OFF</v>
          </cell>
          <cell r="E1469" t="b">
            <v>1</v>
          </cell>
          <cell r="F1469" t="b">
            <v>0</v>
          </cell>
          <cell r="G1469" t="str">
            <v>BONNEY LAKE</v>
          </cell>
          <cell r="H1469">
            <v>3242</v>
          </cell>
          <cell r="I1469" t="str">
            <v>ROTA</v>
          </cell>
          <cell r="J1469" t="str">
            <v>TANDEM AXLE</v>
          </cell>
          <cell r="K1469">
            <v>26.03</v>
          </cell>
          <cell r="L1469">
            <v>26.03</v>
          </cell>
        </row>
        <row r="1470">
          <cell r="A1470" t="str">
            <v>CARBONADOROLL OFFROTA</v>
          </cell>
          <cell r="B1470" t="str">
            <v>ONCALL</v>
          </cell>
          <cell r="C1470" t="str">
            <v>2111</v>
          </cell>
          <cell r="D1470" t="str">
            <v>ROLL OFF</v>
          </cell>
          <cell r="E1470" t="b">
            <v>1</v>
          </cell>
          <cell r="F1470" t="b">
            <v>0</v>
          </cell>
          <cell r="G1470" t="str">
            <v>CARBONADO</v>
          </cell>
          <cell r="H1470">
            <v>3242</v>
          </cell>
          <cell r="I1470" t="str">
            <v>ROTA</v>
          </cell>
          <cell r="J1470" t="str">
            <v>TANDEM AXLE</v>
          </cell>
          <cell r="K1470">
            <v>0</v>
          </cell>
          <cell r="L1470">
            <v>0</v>
          </cell>
        </row>
        <row r="1471">
          <cell r="A1471" t="str">
            <v>M-EDGEWOODROLL OFFROTA</v>
          </cell>
          <cell r="B1471" t="str">
            <v>ONCALL</v>
          </cell>
          <cell r="C1471" t="str">
            <v>2111</v>
          </cell>
          <cell r="D1471" t="str">
            <v>ROLL OFF</v>
          </cell>
          <cell r="E1471" t="b">
            <v>1</v>
          </cell>
          <cell r="F1471" t="b">
            <v>0</v>
          </cell>
          <cell r="G1471" t="str">
            <v>M-EDGEWOOD</v>
          </cell>
          <cell r="H1471">
            <v>3242</v>
          </cell>
          <cell r="I1471" t="str">
            <v>ROTA</v>
          </cell>
          <cell r="J1471" t="str">
            <v>TANDEM AXLE</v>
          </cell>
          <cell r="K1471">
            <v>21.8</v>
          </cell>
          <cell r="L1471">
            <v>21.8</v>
          </cell>
        </row>
        <row r="1472">
          <cell r="A1472" t="str">
            <v>M-FIFEROLL OFFROTA</v>
          </cell>
          <cell r="B1472" t="str">
            <v>ONCALL</v>
          </cell>
          <cell r="C1472" t="str">
            <v>2111</v>
          </cell>
          <cell r="D1472" t="str">
            <v>ROLL OFF</v>
          </cell>
          <cell r="E1472" t="b">
            <v>1</v>
          </cell>
          <cell r="F1472" t="b">
            <v>0</v>
          </cell>
          <cell r="G1472" t="str">
            <v>M-FIFE</v>
          </cell>
          <cell r="H1472">
            <v>3242</v>
          </cell>
          <cell r="I1472" t="str">
            <v>ROTA</v>
          </cell>
          <cell r="J1472" t="str">
            <v>TANDEM AXLE</v>
          </cell>
          <cell r="K1472">
            <v>21.8</v>
          </cell>
          <cell r="L1472">
            <v>21.8</v>
          </cell>
        </row>
        <row r="1473">
          <cell r="A1473" t="str">
            <v>MURREYSROLL OFFROTA</v>
          </cell>
          <cell r="B1473" t="str">
            <v>ONCALL</v>
          </cell>
          <cell r="C1473" t="str">
            <v>2111</v>
          </cell>
          <cell r="D1473" t="str">
            <v>ROLL OFF</v>
          </cell>
          <cell r="E1473" t="b">
            <v>1</v>
          </cell>
          <cell r="F1473" t="b">
            <v>0</v>
          </cell>
          <cell r="G1473" t="str">
            <v>MURREYS</v>
          </cell>
          <cell r="H1473">
            <v>3242</v>
          </cell>
          <cell r="I1473" t="str">
            <v>ROTA</v>
          </cell>
          <cell r="J1473" t="str">
            <v>TANDEM AXLE</v>
          </cell>
          <cell r="K1473">
            <v>21.8</v>
          </cell>
          <cell r="L1473">
            <v>21.8</v>
          </cell>
        </row>
        <row r="1474">
          <cell r="A1474" t="str">
            <v>PUYALLUPROLL OFFROTA</v>
          </cell>
          <cell r="B1474" t="str">
            <v>ONCALL</v>
          </cell>
          <cell r="C1474" t="str">
            <v>2111</v>
          </cell>
          <cell r="D1474" t="str">
            <v>ROLL OFF</v>
          </cell>
          <cell r="E1474" t="b">
            <v>1</v>
          </cell>
          <cell r="F1474" t="b">
            <v>0</v>
          </cell>
          <cell r="G1474" t="str">
            <v>PUYALLUP</v>
          </cell>
          <cell r="H1474">
            <v>3242</v>
          </cell>
          <cell r="I1474" t="str">
            <v>ROTA</v>
          </cell>
          <cell r="J1474" t="str">
            <v>TANDEM AXLE</v>
          </cell>
          <cell r="K1474">
            <v>24.81</v>
          </cell>
          <cell r="L1474">
            <v>24.81</v>
          </cell>
        </row>
        <row r="1475">
          <cell r="A1475" t="str">
            <v>RUSTONROLL OFFROTA</v>
          </cell>
          <cell r="B1475" t="str">
            <v>ONCALL</v>
          </cell>
          <cell r="C1475" t="str">
            <v>2111</v>
          </cell>
          <cell r="D1475" t="str">
            <v>ROLL OFF</v>
          </cell>
          <cell r="E1475" t="b">
            <v>1</v>
          </cell>
          <cell r="F1475" t="b">
            <v>0</v>
          </cell>
          <cell r="G1475" t="str">
            <v>RUSTON</v>
          </cell>
          <cell r="H1475">
            <v>3242</v>
          </cell>
          <cell r="I1475" t="str">
            <v>ROTA</v>
          </cell>
          <cell r="J1475" t="str">
            <v>TANDEM AXLE</v>
          </cell>
          <cell r="K1475">
            <v>25.86</v>
          </cell>
          <cell r="L1475">
            <v>25.86</v>
          </cell>
        </row>
        <row r="1476">
          <cell r="A1476" t="str">
            <v>VASHONROLL OFFROTA</v>
          </cell>
          <cell r="B1476" t="str">
            <v>ONCALL</v>
          </cell>
          <cell r="C1476" t="str">
            <v>2111</v>
          </cell>
          <cell r="D1476" t="str">
            <v>ROLL OFF</v>
          </cell>
          <cell r="E1476" t="b">
            <v>1</v>
          </cell>
          <cell r="F1476" t="b">
            <v>0</v>
          </cell>
          <cell r="G1476" t="str">
            <v>VASHON</v>
          </cell>
          <cell r="H1476">
            <v>3242</v>
          </cell>
          <cell r="I1476" t="str">
            <v>ROTA</v>
          </cell>
          <cell r="J1476" t="str">
            <v>TANDEM AXLE</v>
          </cell>
          <cell r="K1476">
            <v>19.71</v>
          </cell>
          <cell r="L1476">
            <v>19.71</v>
          </cell>
        </row>
        <row r="1477">
          <cell r="A1477" t="str">
            <v>BONNEY LAKEROLL OFFROWAIT</v>
          </cell>
          <cell r="B1477" t="str">
            <v>ONCALL</v>
          </cell>
          <cell r="C1477" t="str">
            <v>2111</v>
          </cell>
          <cell r="D1477" t="str">
            <v>ROLL OFF</v>
          </cell>
          <cell r="E1477" t="b">
            <v>1</v>
          </cell>
          <cell r="F1477" t="b">
            <v>0</v>
          </cell>
          <cell r="G1477" t="str">
            <v>BONNEY LAKE</v>
          </cell>
          <cell r="H1477">
            <v>488</v>
          </cell>
          <cell r="I1477" t="str">
            <v>ROWAIT</v>
          </cell>
          <cell r="J1477" t="str">
            <v>STANDBY CHARGE</v>
          </cell>
          <cell r="K1477">
            <v>123.69</v>
          </cell>
          <cell r="L1477">
            <v>123.69</v>
          </cell>
        </row>
        <row r="1478">
          <cell r="A1478" t="str">
            <v>CARBONADOROLL OFFROWAIT</v>
          </cell>
          <cell r="B1478" t="str">
            <v>ONCALL</v>
          </cell>
          <cell r="C1478" t="str">
            <v>2111</v>
          </cell>
          <cell r="D1478" t="str">
            <v>ROLL OFF</v>
          </cell>
          <cell r="E1478" t="b">
            <v>1</v>
          </cell>
          <cell r="F1478" t="b">
            <v>0</v>
          </cell>
          <cell r="G1478" t="str">
            <v>CARBONADO</v>
          </cell>
          <cell r="H1478">
            <v>488</v>
          </cell>
          <cell r="I1478" t="str">
            <v>ROWAIT</v>
          </cell>
          <cell r="J1478" t="str">
            <v>STANDBY CHARGE</v>
          </cell>
          <cell r="K1478">
            <v>0</v>
          </cell>
          <cell r="L1478">
            <v>0</v>
          </cell>
        </row>
        <row r="1479">
          <cell r="A1479" t="str">
            <v>M-EDGEWOODROLL OFFROWAIT</v>
          </cell>
          <cell r="B1479" t="str">
            <v>ONCALL</v>
          </cell>
          <cell r="C1479" t="str">
            <v>2111</v>
          </cell>
          <cell r="D1479" t="str">
            <v>ROLL OFF</v>
          </cell>
          <cell r="E1479" t="b">
            <v>1</v>
          </cell>
          <cell r="F1479" t="b">
            <v>0</v>
          </cell>
          <cell r="G1479" t="str">
            <v>M-EDGEWOOD</v>
          </cell>
          <cell r="H1479">
            <v>488</v>
          </cell>
          <cell r="I1479" t="str">
            <v>ROWAIT</v>
          </cell>
          <cell r="J1479" t="str">
            <v>STANDBY CHARGE</v>
          </cell>
          <cell r="K1479">
            <v>94.21</v>
          </cell>
          <cell r="L1479">
            <v>94.21</v>
          </cell>
        </row>
        <row r="1480">
          <cell r="A1480" t="str">
            <v>M-FIFEROLL OFFROWAIT</v>
          </cell>
          <cell r="B1480" t="str">
            <v>ONCALL</v>
          </cell>
          <cell r="C1480" t="str">
            <v>2111</v>
          </cell>
          <cell r="D1480" t="str">
            <v>ROLL OFF</v>
          </cell>
          <cell r="E1480" t="b">
            <v>1</v>
          </cell>
          <cell r="F1480" t="b">
            <v>0</v>
          </cell>
          <cell r="G1480" t="str">
            <v>M-FIFE</v>
          </cell>
          <cell r="H1480">
            <v>488</v>
          </cell>
          <cell r="I1480" t="str">
            <v>ROWAIT</v>
          </cell>
          <cell r="J1480" t="str">
            <v>STANDBY CHARGE</v>
          </cell>
          <cell r="K1480">
            <v>94.21</v>
          </cell>
          <cell r="L1480">
            <v>94.21</v>
          </cell>
        </row>
        <row r="1481">
          <cell r="A1481" t="str">
            <v>MURREYSROLL OFFROWAIT</v>
          </cell>
          <cell r="B1481" t="str">
            <v>ONCALL</v>
          </cell>
          <cell r="C1481" t="str">
            <v>2111</v>
          </cell>
          <cell r="D1481" t="str">
            <v>ROLL OFF</v>
          </cell>
          <cell r="E1481" t="b">
            <v>1</v>
          </cell>
          <cell r="F1481" t="b">
            <v>0</v>
          </cell>
          <cell r="G1481" t="str">
            <v>MURREYS</v>
          </cell>
          <cell r="H1481">
            <v>488</v>
          </cell>
          <cell r="I1481" t="str">
            <v>ROWAIT</v>
          </cell>
          <cell r="J1481" t="str">
            <v>STANDBY CHARGE</v>
          </cell>
          <cell r="K1481">
            <v>94.21</v>
          </cell>
          <cell r="L1481">
            <v>94.21</v>
          </cell>
        </row>
        <row r="1482">
          <cell r="A1482" t="str">
            <v>PUYALLUPROLL OFFROWAIT</v>
          </cell>
          <cell r="B1482" t="str">
            <v>ONCALL</v>
          </cell>
          <cell r="C1482" t="str">
            <v>2111</v>
          </cell>
          <cell r="D1482" t="str">
            <v>ROLL OFF</v>
          </cell>
          <cell r="E1482" t="b">
            <v>1</v>
          </cell>
          <cell r="F1482" t="b">
            <v>0</v>
          </cell>
          <cell r="G1482" t="str">
            <v>PUYALLUP</v>
          </cell>
          <cell r="H1482">
            <v>488</v>
          </cell>
          <cell r="I1482" t="str">
            <v>ROWAIT</v>
          </cell>
          <cell r="J1482" t="str">
            <v>STANDBY CHARGE</v>
          </cell>
          <cell r="K1482">
            <v>88.34</v>
          </cell>
          <cell r="L1482">
            <v>88.34</v>
          </cell>
        </row>
        <row r="1483">
          <cell r="A1483" t="str">
            <v>RUSTONROLL OFFROWAIT</v>
          </cell>
          <cell r="B1483" t="str">
            <v>ONCALL</v>
          </cell>
          <cell r="C1483" t="str">
            <v>2111</v>
          </cell>
          <cell r="D1483" t="str">
            <v>ROLL OFF</v>
          </cell>
          <cell r="E1483" t="b">
            <v>1</v>
          </cell>
          <cell r="F1483" t="b">
            <v>0</v>
          </cell>
          <cell r="G1483" t="str">
            <v>RUSTON</v>
          </cell>
          <cell r="H1483">
            <v>488</v>
          </cell>
          <cell r="I1483" t="str">
            <v>ROWAIT</v>
          </cell>
          <cell r="J1483" t="str">
            <v>STANDBY CHARGE</v>
          </cell>
          <cell r="K1483">
            <v>165.5</v>
          </cell>
          <cell r="L1483">
            <v>165.5</v>
          </cell>
        </row>
        <row r="1484">
          <cell r="A1484" t="str">
            <v>BONNEY LAKEROLL OFFRTRIP-RO</v>
          </cell>
          <cell r="B1484" t="str">
            <v>ONCALL</v>
          </cell>
          <cell r="C1484" t="str">
            <v>2111</v>
          </cell>
          <cell r="D1484" t="str">
            <v>ROLL OFF</v>
          </cell>
          <cell r="E1484" t="b">
            <v>1</v>
          </cell>
          <cell r="F1484" t="b">
            <v>0</v>
          </cell>
          <cell r="G1484" t="str">
            <v>BONNEY LAKE</v>
          </cell>
          <cell r="H1484">
            <v>3455</v>
          </cell>
          <cell r="I1484" t="str">
            <v>RTRIP-RO</v>
          </cell>
          <cell r="J1484" t="str">
            <v>RETURN TRIP - RO</v>
          </cell>
          <cell r="K1484">
            <v>123.69</v>
          </cell>
          <cell r="L1484">
            <v>123.69</v>
          </cell>
        </row>
        <row r="1485">
          <cell r="A1485" t="str">
            <v>M-FIFEROLL OFFRTRIP-RO</v>
          </cell>
          <cell r="B1485" t="str">
            <v>ONCALL</v>
          </cell>
          <cell r="C1485" t="str">
            <v>2111</v>
          </cell>
          <cell r="D1485" t="str">
            <v>ROLL OFF</v>
          </cell>
          <cell r="E1485" t="b">
            <v>1</v>
          </cell>
          <cell r="F1485" t="b">
            <v>0</v>
          </cell>
          <cell r="G1485" t="str">
            <v>M-FIFE</v>
          </cell>
          <cell r="H1485">
            <v>3455</v>
          </cell>
          <cell r="I1485" t="str">
            <v>RTRIP-RO</v>
          </cell>
          <cell r="J1485" t="str">
            <v>RETURN TRIP - RO</v>
          </cell>
          <cell r="K1485">
            <v>97.49</v>
          </cell>
          <cell r="L1485">
            <v>97.49</v>
          </cell>
        </row>
        <row r="1486">
          <cell r="A1486" t="str">
            <v>MURREYSROLL OFFRTRIP-RO</v>
          </cell>
          <cell r="B1486" t="str">
            <v>ONCALL</v>
          </cell>
          <cell r="C1486" t="str">
            <v>2111</v>
          </cell>
          <cell r="D1486" t="str">
            <v>ROLL OFF</v>
          </cell>
          <cell r="E1486" t="b">
            <v>1</v>
          </cell>
          <cell r="F1486" t="b">
            <v>0</v>
          </cell>
          <cell r="G1486" t="str">
            <v>MURREYS</v>
          </cell>
          <cell r="H1486">
            <v>3455</v>
          </cell>
          <cell r="I1486" t="str">
            <v>RTRIP-RO</v>
          </cell>
          <cell r="J1486" t="str">
            <v>RETURN TRIP - RO</v>
          </cell>
          <cell r="K1486">
            <v>97.49</v>
          </cell>
          <cell r="L1486">
            <v>97.49</v>
          </cell>
        </row>
        <row r="1487">
          <cell r="A1487" t="str">
            <v>PUYALLUPROLL OFFRTRIP-RO</v>
          </cell>
          <cell r="B1487" t="str">
            <v>ONCALL</v>
          </cell>
          <cell r="C1487" t="str">
            <v>2111</v>
          </cell>
          <cell r="D1487" t="str">
            <v>ROLL OFF</v>
          </cell>
          <cell r="E1487" t="b">
            <v>1</v>
          </cell>
          <cell r="F1487" t="b">
            <v>0</v>
          </cell>
          <cell r="G1487" t="str">
            <v>PUYALLUP</v>
          </cell>
          <cell r="H1487">
            <v>3455</v>
          </cell>
          <cell r="I1487" t="str">
            <v>RTRIP-RO</v>
          </cell>
          <cell r="J1487" t="str">
            <v>RETURN TRIP - RO</v>
          </cell>
          <cell r="K1487">
            <v>77.66</v>
          </cell>
          <cell r="L1487">
            <v>77.66</v>
          </cell>
        </row>
        <row r="1488">
          <cell r="A1488" t="str">
            <v>RUSTONROLL OFFRTRIP-RO</v>
          </cell>
          <cell r="B1488" t="str">
            <v>ONCALL</v>
          </cell>
          <cell r="C1488" t="str">
            <v>2111</v>
          </cell>
          <cell r="D1488" t="str">
            <v>ROLL OFF</v>
          </cell>
          <cell r="E1488" t="b">
            <v>1</v>
          </cell>
          <cell r="F1488" t="b">
            <v>0</v>
          </cell>
          <cell r="G1488" t="str">
            <v>RUSTON</v>
          </cell>
          <cell r="H1488">
            <v>3455</v>
          </cell>
          <cell r="I1488" t="str">
            <v>RTRIP-RO</v>
          </cell>
          <cell r="J1488" t="str">
            <v>RETURN TRIP - RO</v>
          </cell>
          <cell r="K1488">
            <v>129.29</v>
          </cell>
          <cell r="L1488">
            <v>129.29</v>
          </cell>
        </row>
        <row r="1489">
          <cell r="A1489" t="str">
            <v>VASHONROLL OFFRTRIP-RO</v>
          </cell>
          <cell r="B1489" t="str">
            <v>ONCALL</v>
          </cell>
          <cell r="C1489" t="str">
            <v>2111</v>
          </cell>
          <cell r="D1489" t="str">
            <v>ROLL OFF</v>
          </cell>
          <cell r="E1489" t="b">
            <v>1</v>
          </cell>
          <cell r="F1489" t="b">
            <v>0</v>
          </cell>
          <cell r="G1489" t="str">
            <v>VASHON</v>
          </cell>
          <cell r="H1489">
            <v>3455</v>
          </cell>
          <cell r="I1489" t="str">
            <v>RTRIP-RO</v>
          </cell>
          <cell r="J1489" t="str">
            <v>RETURN TRIP - RO</v>
          </cell>
          <cell r="K1489">
            <v>60.6</v>
          </cell>
          <cell r="L1489">
            <v>60.6</v>
          </cell>
        </row>
        <row r="1490">
          <cell r="A1490" t="str">
            <v>M-EDGEWOODCOMMERCIALSTEPSC</v>
          </cell>
          <cell r="B1490" t="str">
            <v>MONTHLY ARREARS</v>
          </cell>
          <cell r="C1490" t="str">
            <v>2111</v>
          </cell>
          <cell r="D1490" t="str">
            <v>COMMERCIAL</v>
          </cell>
          <cell r="E1490" t="b">
            <v>0</v>
          </cell>
          <cell r="F1490" t="b">
            <v>0</v>
          </cell>
          <cell r="G1490" t="str">
            <v>M-EDGEWOOD</v>
          </cell>
          <cell r="H1490">
            <v>3223</v>
          </cell>
          <cell r="I1490" t="str">
            <v>STEPSC</v>
          </cell>
          <cell r="J1490" t="str">
            <v>STEPS - CMML</v>
          </cell>
          <cell r="K1490">
            <v>0.82</v>
          </cell>
          <cell r="L1490">
            <v>0.82</v>
          </cell>
        </row>
        <row r="1491">
          <cell r="A1491" t="str">
            <v>M-FIFECOMMERCIALSTEPSC</v>
          </cell>
          <cell r="B1491" t="str">
            <v>MONTHLY ARREARS</v>
          </cell>
          <cell r="C1491" t="str">
            <v>2111</v>
          </cell>
          <cell r="D1491" t="str">
            <v>COMMERCIAL</v>
          </cell>
          <cell r="E1491" t="b">
            <v>0</v>
          </cell>
          <cell r="F1491" t="b">
            <v>0</v>
          </cell>
          <cell r="G1491" t="str">
            <v>M-FIFE</v>
          </cell>
          <cell r="H1491">
            <v>3223</v>
          </cell>
          <cell r="I1491" t="str">
            <v>STEPSC</v>
          </cell>
          <cell r="J1491" t="str">
            <v>STEPS - CMML</v>
          </cell>
          <cell r="K1491">
            <v>0.82</v>
          </cell>
          <cell r="L1491">
            <v>0.82</v>
          </cell>
        </row>
        <row r="1492">
          <cell r="A1492" t="str">
            <v>MURREYSCOMMERCIALSTEPSC</v>
          </cell>
          <cell r="B1492" t="str">
            <v>MONTHLY ARREARS</v>
          </cell>
          <cell r="C1492" t="str">
            <v>2111</v>
          </cell>
          <cell r="D1492" t="str">
            <v>COMMERCIAL</v>
          </cell>
          <cell r="E1492" t="b">
            <v>0</v>
          </cell>
          <cell r="F1492" t="b">
            <v>0</v>
          </cell>
          <cell r="G1492" t="str">
            <v>MURREYS</v>
          </cell>
          <cell r="H1492">
            <v>3223</v>
          </cell>
          <cell r="I1492" t="str">
            <v>STEPSC</v>
          </cell>
          <cell r="J1492" t="str">
            <v>STEPS - CMML</v>
          </cell>
          <cell r="K1492">
            <v>0.82</v>
          </cell>
          <cell r="L1492">
            <v>0.82</v>
          </cell>
        </row>
        <row r="1493">
          <cell r="A1493" t="str">
            <v>VASHONCOMMERCIALSTEPSC</v>
          </cell>
          <cell r="B1493" t="str">
            <v>MONTHLY ARREARS</v>
          </cell>
          <cell r="C1493" t="str">
            <v>2111</v>
          </cell>
          <cell r="D1493" t="str">
            <v>COMMERCIAL</v>
          </cell>
          <cell r="E1493" t="b">
            <v>0</v>
          </cell>
          <cell r="F1493" t="b">
            <v>0</v>
          </cell>
          <cell r="G1493" t="str">
            <v>VASHON</v>
          </cell>
          <cell r="H1493">
            <v>3223</v>
          </cell>
          <cell r="I1493" t="str">
            <v>STEPSC</v>
          </cell>
          <cell r="J1493" t="str">
            <v>STEPS - CMML</v>
          </cell>
          <cell r="K1493">
            <v>0.51</v>
          </cell>
          <cell r="L1493">
            <v>0.51</v>
          </cell>
        </row>
        <row r="1494">
          <cell r="A1494" t="str">
            <v>M-EDGEWOODRESIDENTIALSTEPSR</v>
          </cell>
          <cell r="B1494" t="str">
            <v>BI-MONTHLY SPLIT ODD</v>
          </cell>
          <cell r="C1494" t="str">
            <v>2111</v>
          </cell>
          <cell r="D1494" t="str">
            <v>RESIDENTIAL</v>
          </cell>
          <cell r="E1494" t="b">
            <v>0</v>
          </cell>
          <cell r="F1494" t="b">
            <v>0</v>
          </cell>
          <cell r="G1494" t="str">
            <v>M-EDGEWOOD</v>
          </cell>
          <cell r="H1494">
            <v>3222</v>
          </cell>
          <cell r="I1494" t="str">
            <v>STEPSR</v>
          </cell>
          <cell r="J1494" t="str">
            <v>STEPS - RESI</v>
          </cell>
          <cell r="K1494">
            <v>1.68</v>
          </cell>
          <cell r="L1494">
            <v>0.84</v>
          </cell>
        </row>
        <row r="1495">
          <cell r="A1495" t="str">
            <v>M-FIFERESIDENTIALSTEPSR</v>
          </cell>
          <cell r="B1495" t="str">
            <v>BI-MONTHLY SPLIT ODD</v>
          </cell>
          <cell r="C1495" t="str">
            <v>2111</v>
          </cell>
          <cell r="D1495" t="str">
            <v>RESIDENTIAL</v>
          </cell>
          <cell r="E1495" t="b">
            <v>0</v>
          </cell>
          <cell r="F1495" t="b">
            <v>0</v>
          </cell>
          <cell r="G1495" t="str">
            <v>M-FIFE</v>
          </cell>
          <cell r="H1495">
            <v>3222</v>
          </cell>
          <cell r="I1495" t="str">
            <v>STEPSR</v>
          </cell>
          <cell r="J1495" t="str">
            <v>STEPS - RESI</v>
          </cell>
          <cell r="K1495">
            <v>1.68</v>
          </cell>
          <cell r="L1495">
            <v>0.84</v>
          </cell>
        </row>
        <row r="1496">
          <cell r="A1496" t="str">
            <v>MURREYSRESIDENTIALSTEPSR</v>
          </cell>
          <cell r="B1496" t="str">
            <v>BI-MONTHLY SPLIT ODD</v>
          </cell>
          <cell r="C1496" t="str">
            <v>2111</v>
          </cell>
          <cell r="D1496" t="str">
            <v>RESIDENTIAL</v>
          </cell>
          <cell r="E1496" t="b">
            <v>0</v>
          </cell>
          <cell r="F1496" t="b">
            <v>0</v>
          </cell>
          <cell r="G1496" t="str">
            <v>MURREYS</v>
          </cell>
          <cell r="H1496">
            <v>3222</v>
          </cell>
          <cell r="I1496" t="str">
            <v>STEPSR</v>
          </cell>
          <cell r="J1496" t="str">
            <v>STEPS - RESI</v>
          </cell>
          <cell r="K1496">
            <v>1.68</v>
          </cell>
          <cell r="L1496">
            <v>0.84</v>
          </cell>
        </row>
        <row r="1497">
          <cell r="A1497" t="str">
            <v>VASHONRESIDENTIALSTEPSR</v>
          </cell>
          <cell r="B1497" t="str">
            <v>BI-MONTHLY SPLIT ODD</v>
          </cell>
          <cell r="C1497" t="str">
            <v>2111</v>
          </cell>
          <cell r="D1497" t="str">
            <v>RESIDENTIAL</v>
          </cell>
          <cell r="E1497" t="b">
            <v>0</v>
          </cell>
          <cell r="F1497" t="b">
            <v>0</v>
          </cell>
          <cell r="G1497" t="str">
            <v>VASHON</v>
          </cell>
          <cell r="H1497">
            <v>3222</v>
          </cell>
          <cell r="I1497" t="str">
            <v>STEPSR</v>
          </cell>
          <cell r="J1497" t="str">
            <v>STEPS - RESI</v>
          </cell>
          <cell r="K1497">
            <v>0.44</v>
          </cell>
          <cell r="L1497">
            <v>0.22</v>
          </cell>
        </row>
        <row r="1498">
          <cell r="A1498" t="str">
            <v>VASHONCOMMERCIALSUNKENC</v>
          </cell>
          <cell r="B1498" t="str">
            <v>ONCALL</v>
          </cell>
          <cell r="C1498" t="str">
            <v>2111</v>
          </cell>
          <cell r="D1498" t="str">
            <v>COMMERCIAL</v>
          </cell>
          <cell r="E1498" t="b">
            <v>0</v>
          </cell>
          <cell r="F1498" t="b">
            <v>0</v>
          </cell>
          <cell r="G1498" t="str">
            <v>VASHON</v>
          </cell>
          <cell r="H1498">
            <v>3470</v>
          </cell>
          <cell r="I1498" t="str">
            <v>SUNKENC</v>
          </cell>
          <cell r="J1498" t="str">
            <v>SUNKEN CAN CHARGE - COMM</v>
          </cell>
          <cell r="K1498">
            <v>1.21</v>
          </cell>
          <cell r="L1498">
            <v>1.21</v>
          </cell>
        </row>
        <row r="1499">
          <cell r="A1499" t="str">
            <v>M-EDGEWOODMULTI-FAMILYSUNKENM</v>
          </cell>
          <cell r="B1499" t="str">
            <v>MONTHLY ARREARS</v>
          </cell>
          <cell r="C1499" t="str">
            <v>2111</v>
          </cell>
          <cell r="D1499" t="str">
            <v>MULTI-FAMILY</v>
          </cell>
          <cell r="E1499" t="b">
            <v>0</v>
          </cell>
          <cell r="F1499" t="b">
            <v>0</v>
          </cell>
          <cell r="G1499" t="str">
            <v>M-EDGEWOOD</v>
          </cell>
          <cell r="H1499">
            <v>486</v>
          </cell>
          <cell r="I1499" t="str">
            <v>SUNKENM</v>
          </cell>
          <cell r="J1499" t="str">
            <v>SUNKEN CAN CHARGE - MF</v>
          </cell>
          <cell r="K1499">
            <v>0.82</v>
          </cell>
          <cell r="L1499">
            <v>0.82</v>
          </cell>
        </row>
        <row r="1500">
          <cell r="A1500" t="str">
            <v>M-FIFEMULTI-FAMILYSUNKENM</v>
          </cell>
          <cell r="B1500" t="str">
            <v>MONTHLY ARREARS</v>
          </cell>
          <cell r="C1500" t="str">
            <v>2111</v>
          </cell>
          <cell r="D1500" t="str">
            <v>MULTI-FAMILY</v>
          </cell>
          <cell r="E1500" t="b">
            <v>0</v>
          </cell>
          <cell r="F1500" t="b">
            <v>0</v>
          </cell>
          <cell r="G1500" t="str">
            <v>M-FIFE</v>
          </cell>
          <cell r="H1500">
            <v>486</v>
          </cell>
          <cell r="I1500" t="str">
            <v>SUNKENM</v>
          </cell>
          <cell r="J1500" t="str">
            <v>SUNKEN CAN CHARGE - MF</v>
          </cell>
          <cell r="K1500">
            <v>0.82</v>
          </cell>
          <cell r="L1500">
            <v>0.82</v>
          </cell>
        </row>
        <row r="1501">
          <cell r="A1501" t="str">
            <v>MURREYSMULTI-FAMILYSUNKENM</v>
          </cell>
          <cell r="B1501" t="str">
            <v>MONTHLY ARREARS</v>
          </cell>
          <cell r="C1501" t="str">
            <v>2111</v>
          </cell>
          <cell r="D1501" t="str">
            <v>MULTI-FAMILY</v>
          </cell>
          <cell r="E1501" t="b">
            <v>0</v>
          </cell>
          <cell r="F1501" t="b">
            <v>0</v>
          </cell>
          <cell r="G1501" t="str">
            <v>MURREYS</v>
          </cell>
          <cell r="H1501">
            <v>486</v>
          </cell>
          <cell r="I1501" t="str">
            <v>SUNKENM</v>
          </cell>
          <cell r="J1501" t="str">
            <v>SUNKEN CAN CHARGE - MF</v>
          </cell>
          <cell r="K1501">
            <v>0.82</v>
          </cell>
          <cell r="L1501">
            <v>0.82</v>
          </cell>
        </row>
        <row r="1502">
          <cell r="A1502" t="str">
            <v>M-EDGEWOODRESIDENTIALSUNKENR</v>
          </cell>
          <cell r="B1502" t="str">
            <v>BI-MONTHLY SPLIT ODD</v>
          </cell>
          <cell r="C1502" t="str">
            <v>2111</v>
          </cell>
          <cell r="D1502" t="str">
            <v>RESIDENTIAL</v>
          </cell>
          <cell r="E1502" t="b">
            <v>0</v>
          </cell>
          <cell r="F1502" t="b">
            <v>0</v>
          </cell>
          <cell r="G1502" t="str">
            <v>M-EDGEWOOD</v>
          </cell>
          <cell r="H1502">
            <v>2302</v>
          </cell>
          <cell r="I1502" t="str">
            <v>SUNKENR</v>
          </cell>
          <cell r="J1502" t="str">
            <v>SUNKEN CAN CHARGE - RESI</v>
          </cell>
          <cell r="K1502">
            <v>1.68</v>
          </cell>
          <cell r="L1502">
            <v>0.84</v>
          </cell>
        </row>
        <row r="1503">
          <cell r="A1503" t="str">
            <v>M-FIFERESIDENTIALSUNKENR</v>
          </cell>
          <cell r="B1503" t="str">
            <v>BI-MONTHLY SPLIT ODD</v>
          </cell>
          <cell r="C1503" t="str">
            <v>2111</v>
          </cell>
          <cell r="D1503" t="str">
            <v>RESIDENTIAL</v>
          </cell>
          <cell r="E1503" t="b">
            <v>0</v>
          </cell>
          <cell r="F1503" t="b">
            <v>0</v>
          </cell>
          <cell r="G1503" t="str">
            <v>M-FIFE</v>
          </cell>
          <cell r="H1503">
            <v>2302</v>
          </cell>
          <cell r="I1503" t="str">
            <v>SUNKENR</v>
          </cell>
          <cell r="J1503" t="str">
            <v>SUNKEN CAN CHARGE - RESI</v>
          </cell>
          <cell r="K1503">
            <v>1.68</v>
          </cell>
          <cell r="L1503">
            <v>0.84</v>
          </cell>
        </row>
        <row r="1504">
          <cell r="A1504" t="str">
            <v>MURREYSRESIDENTIALSUNKENR</v>
          </cell>
          <cell r="B1504" t="str">
            <v>BI-MONTHLY SPLIT ODD</v>
          </cell>
          <cell r="C1504" t="str">
            <v>2111</v>
          </cell>
          <cell r="D1504" t="str">
            <v>RESIDENTIAL</v>
          </cell>
          <cell r="E1504" t="b">
            <v>0</v>
          </cell>
          <cell r="F1504" t="b">
            <v>0</v>
          </cell>
          <cell r="G1504" t="str">
            <v>MURREYS</v>
          </cell>
          <cell r="H1504">
            <v>2302</v>
          </cell>
          <cell r="I1504" t="str">
            <v>SUNKENR</v>
          </cell>
          <cell r="J1504" t="str">
            <v>SUNKEN CAN CHARGE - RESI</v>
          </cell>
          <cell r="K1504">
            <v>1.68</v>
          </cell>
          <cell r="L1504">
            <v>0.84</v>
          </cell>
        </row>
        <row r="1505">
          <cell r="A1505" t="str">
            <v>VASHONRESIDENTIALSUNKENR</v>
          </cell>
          <cell r="B1505" t="str">
            <v>BI-MONTHLY SPLIT ODD</v>
          </cell>
          <cell r="C1505" t="str">
            <v>2111</v>
          </cell>
          <cell r="D1505" t="str">
            <v>RESIDENTIAL</v>
          </cell>
          <cell r="E1505" t="b">
            <v>0</v>
          </cell>
          <cell r="F1505" t="b">
            <v>0</v>
          </cell>
          <cell r="G1505" t="str">
            <v>VASHON</v>
          </cell>
          <cell r="H1505">
            <v>2302</v>
          </cell>
          <cell r="I1505" t="str">
            <v>SUNKENR</v>
          </cell>
          <cell r="J1505" t="str">
            <v>SUNKEN CAN CHARGE - RESI</v>
          </cell>
          <cell r="K1505">
            <v>2.2400000000000002</v>
          </cell>
          <cell r="L1505">
            <v>1.1200000000000001</v>
          </cell>
        </row>
        <row r="1506">
          <cell r="A1506" t="str">
            <v>BONNEY LAKEROLL OFFTARP-RO</v>
          </cell>
          <cell r="B1506" t="str">
            <v>ONCALL</v>
          </cell>
          <cell r="C1506" t="str">
            <v>2111</v>
          </cell>
          <cell r="D1506" t="str">
            <v>ROLL OFF</v>
          </cell>
          <cell r="E1506" t="b">
            <v>1</v>
          </cell>
          <cell r="F1506" t="b">
            <v>0</v>
          </cell>
          <cell r="G1506" t="str">
            <v>BONNEY LAKE</v>
          </cell>
          <cell r="H1506">
            <v>12778</v>
          </cell>
          <cell r="I1506" t="str">
            <v>TARP-RO</v>
          </cell>
          <cell r="J1506" t="str">
            <v>TARPING FEE - RO</v>
          </cell>
          <cell r="K1506">
            <v>14.7</v>
          </cell>
          <cell r="L1506">
            <v>14.7</v>
          </cell>
        </row>
        <row r="1507">
          <cell r="A1507" t="str">
            <v>DMR-BLROLL OFFTARP-RO</v>
          </cell>
          <cell r="B1507" t="str">
            <v>ONCALL</v>
          </cell>
          <cell r="C1507" t="str">
            <v>2111</v>
          </cell>
          <cell r="D1507" t="str">
            <v>ROLL OFF</v>
          </cell>
          <cell r="E1507" t="b">
            <v>1</v>
          </cell>
          <cell r="F1507" t="b">
            <v>0</v>
          </cell>
          <cell r="G1507" t="str">
            <v>DMR-BL</v>
          </cell>
          <cell r="H1507">
            <v>12778</v>
          </cell>
          <cell r="I1507" t="str">
            <v>TARP-RO</v>
          </cell>
          <cell r="J1507" t="str">
            <v>TARPING FEE - RO</v>
          </cell>
          <cell r="K1507">
            <v>14.7</v>
          </cell>
          <cell r="L1507">
            <v>14.7</v>
          </cell>
        </row>
        <row r="1508">
          <cell r="A1508" t="str">
            <v>M-EDGEWOODROLL OFFTARP-RO</v>
          </cell>
          <cell r="B1508" t="str">
            <v>ONCALL</v>
          </cell>
          <cell r="C1508" t="str">
            <v>2111</v>
          </cell>
          <cell r="D1508" t="str">
            <v>ROLL OFF</v>
          </cell>
          <cell r="E1508" t="b">
            <v>1</v>
          </cell>
          <cell r="F1508" t="b">
            <v>0</v>
          </cell>
          <cell r="G1508" t="str">
            <v>M-EDGEWOOD</v>
          </cell>
          <cell r="H1508">
            <v>12778</v>
          </cell>
          <cell r="I1508" t="str">
            <v>TARP-RO</v>
          </cell>
          <cell r="J1508" t="str">
            <v>TARPING FEE - RO</v>
          </cell>
          <cell r="K1508">
            <v>13.04</v>
          </cell>
          <cell r="L1508">
            <v>13.04</v>
          </cell>
        </row>
        <row r="1509">
          <cell r="A1509" t="str">
            <v>M-FIFEROLL OFFTARP-RO</v>
          </cell>
          <cell r="B1509" t="str">
            <v>ONCALL</v>
          </cell>
          <cell r="C1509" t="str">
            <v>2111</v>
          </cell>
          <cell r="D1509" t="str">
            <v>ROLL OFF</v>
          </cell>
          <cell r="E1509" t="b">
            <v>1</v>
          </cell>
          <cell r="F1509" t="b">
            <v>0</v>
          </cell>
          <cell r="G1509" t="str">
            <v>M-FIFE</v>
          </cell>
          <cell r="H1509">
            <v>12778</v>
          </cell>
          <cell r="I1509" t="str">
            <v>TARP-RO</v>
          </cell>
          <cell r="J1509" t="str">
            <v>TARPING FEE - RO</v>
          </cell>
          <cell r="K1509">
            <v>13.04</v>
          </cell>
          <cell r="L1509">
            <v>13.04</v>
          </cell>
        </row>
        <row r="1510">
          <cell r="A1510" t="str">
            <v>MURREYSROLL OFFTARP-RO</v>
          </cell>
          <cell r="B1510" t="str">
            <v>ONCALL</v>
          </cell>
          <cell r="C1510" t="str">
            <v>2111</v>
          </cell>
          <cell r="D1510" t="str">
            <v>ROLL OFF</v>
          </cell>
          <cell r="E1510" t="b">
            <v>1</v>
          </cell>
          <cell r="F1510" t="b">
            <v>0</v>
          </cell>
          <cell r="G1510" t="str">
            <v>MURREYS</v>
          </cell>
          <cell r="H1510">
            <v>12778</v>
          </cell>
          <cell r="I1510" t="str">
            <v>TARP-RO</v>
          </cell>
          <cell r="J1510" t="str">
            <v>TARPING FEE - RO</v>
          </cell>
          <cell r="K1510">
            <v>13.04</v>
          </cell>
          <cell r="L1510">
            <v>13.04</v>
          </cell>
        </row>
        <row r="1511">
          <cell r="A1511" t="str">
            <v>PUYALLUPROLL OFFTARP-RO</v>
          </cell>
          <cell r="B1511" t="str">
            <v>ONCALL</v>
          </cell>
          <cell r="C1511" t="str">
            <v>2111</v>
          </cell>
          <cell r="D1511" t="str">
            <v>ROLL OFF</v>
          </cell>
          <cell r="E1511" t="b">
            <v>1</v>
          </cell>
          <cell r="F1511" t="b">
            <v>0</v>
          </cell>
          <cell r="G1511" t="str">
            <v>PUYALLUP</v>
          </cell>
          <cell r="H1511">
            <v>12778</v>
          </cell>
          <cell r="I1511" t="str">
            <v>TARP-RO</v>
          </cell>
          <cell r="J1511" t="str">
            <v>TARPING FEE - RO</v>
          </cell>
          <cell r="K1511">
            <v>13.46</v>
          </cell>
          <cell r="L1511">
            <v>13.46</v>
          </cell>
        </row>
        <row r="1512">
          <cell r="A1512" t="str">
            <v>RUSTONROLL OFFTARP-RO</v>
          </cell>
          <cell r="B1512" t="str">
            <v>ONCALL</v>
          </cell>
          <cell r="C1512" t="str">
            <v>2111</v>
          </cell>
          <cell r="D1512" t="str">
            <v>ROLL OFF</v>
          </cell>
          <cell r="E1512" t="b">
            <v>1</v>
          </cell>
          <cell r="F1512" t="b">
            <v>0</v>
          </cell>
          <cell r="G1512" t="str">
            <v>RUSTON</v>
          </cell>
          <cell r="H1512">
            <v>12778</v>
          </cell>
          <cell r="I1512" t="str">
            <v>TARP-RO</v>
          </cell>
          <cell r="J1512" t="str">
            <v>TARPING FEE - RO</v>
          </cell>
          <cell r="K1512">
            <v>15.52</v>
          </cell>
          <cell r="L1512">
            <v>15.52</v>
          </cell>
        </row>
        <row r="1513">
          <cell r="A1513" t="str">
            <v>BONNEY LAKERESIDENTIALTIME-RES</v>
          </cell>
          <cell r="B1513" t="str">
            <v>ONCALL</v>
          </cell>
          <cell r="C1513" t="str">
            <v>2111</v>
          </cell>
          <cell r="D1513" t="str">
            <v>RESIDENTIAL</v>
          </cell>
          <cell r="E1513" t="b">
            <v>1</v>
          </cell>
          <cell r="F1513" t="b">
            <v>0</v>
          </cell>
          <cell r="G1513" t="str">
            <v>BONNEY LAKE</v>
          </cell>
          <cell r="H1513">
            <v>13154</v>
          </cell>
          <cell r="I1513" t="str">
            <v>TIME-RES</v>
          </cell>
          <cell r="J1513" t="str">
            <v>RESIDENTIAL TIME CHARGE</v>
          </cell>
          <cell r="K1513">
            <v>123.69</v>
          </cell>
          <cell r="L1513">
            <v>123.69</v>
          </cell>
        </row>
        <row r="1514">
          <cell r="A1514" t="str">
            <v>BUCKLEYRESIDENTIALTIME-RES</v>
          </cell>
          <cell r="B1514" t="str">
            <v>ONCALL</v>
          </cell>
          <cell r="C1514" t="str">
            <v>2111</v>
          </cell>
          <cell r="D1514" t="str">
            <v>RESIDENTIAL</v>
          </cell>
          <cell r="E1514" t="b">
            <v>1</v>
          </cell>
          <cell r="F1514" t="b">
            <v>0</v>
          </cell>
          <cell r="G1514" t="str">
            <v>BUCKLEY</v>
          </cell>
          <cell r="H1514">
            <v>13154</v>
          </cell>
          <cell r="I1514" t="str">
            <v>TIME-RES</v>
          </cell>
          <cell r="J1514" t="str">
            <v>RESIDENTIAL TIME CHARGE</v>
          </cell>
          <cell r="K1514">
            <v>103.58</v>
          </cell>
          <cell r="L1514">
            <v>103.58</v>
          </cell>
        </row>
        <row r="1515">
          <cell r="A1515" t="str">
            <v>M-EDGEWOODRESIDENTIALTIME-RES</v>
          </cell>
          <cell r="B1515" t="str">
            <v>ONCALL</v>
          </cell>
          <cell r="C1515" t="str">
            <v>2111</v>
          </cell>
          <cell r="D1515" t="str">
            <v>RESIDENTIAL</v>
          </cell>
          <cell r="E1515" t="b">
            <v>1</v>
          </cell>
          <cell r="F1515" t="b">
            <v>0</v>
          </cell>
          <cell r="G1515" t="str">
            <v>M-EDGEWOOD</v>
          </cell>
          <cell r="H1515">
            <v>13154</v>
          </cell>
          <cell r="I1515" t="str">
            <v>TIME-RES</v>
          </cell>
          <cell r="J1515" t="str">
            <v>RESIDENTIAL TIME CHARGE</v>
          </cell>
          <cell r="K1515">
            <v>101.86</v>
          </cell>
          <cell r="L1515">
            <v>101.86</v>
          </cell>
        </row>
        <row r="1516">
          <cell r="A1516" t="str">
            <v>M-FIFERESIDENTIALTIME-RES</v>
          </cell>
          <cell r="B1516" t="str">
            <v>ONCALL</v>
          </cell>
          <cell r="C1516" t="str">
            <v>2111</v>
          </cell>
          <cell r="D1516" t="str">
            <v>RESIDENTIAL</v>
          </cell>
          <cell r="E1516" t="b">
            <v>1</v>
          </cell>
          <cell r="F1516" t="b">
            <v>0</v>
          </cell>
          <cell r="G1516" t="str">
            <v>M-FIFE</v>
          </cell>
          <cell r="H1516">
            <v>13154</v>
          </cell>
          <cell r="I1516" t="str">
            <v>TIME-RES</v>
          </cell>
          <cell r="J1516" t="str">
            <v>RESIDENTIAL TIME CHARGE</v>
          </cell>
          <cell r="K1516">
            <v>101.86</v>
          </cell>
          <cell r="L1516">
            <v>101.86</v>
          </cell>
        </row>
        <row r="1517">
          <cell r="A1517" t="str">
            <v>MILTONRESIDENTIALTIME-RES</v>
          </cell>
          <cell r="B1517" t="str">
            <v>ONCALL</v>
          </cell>
          <cell r="C1517" t="str">
            <v>2111</v>
          </cell>
          <cell r="D1517" t="str">
            <v>RESIDENTIAL</v>
          </cell>
          <cell r="E1517" t="b">
            <v>1</v>
          </cell>
          <cell r="F1517" t="b">
            <v>0</v>
          </cell>
          <cell r="G1517" t="str">
            <v>MILTON</v>
          </cell>
          <cell r="H1517">
            <v>13154</v>
          </cell>
          <cell r="I1517" t="str">
            <v>TIME-RES</v>
          </cell>
          <cell r="J1517" t="str">
            <v>RESIDENTIAL TIME CHARGE</v>
          </cell>
          <cell r="K1517">
            <v>94.93</v>
          </cell>
          <cell r="L1517">
            <v>94.93</v>
          </cell>
        </row>
        <row r="1518">
          <cell r="A1518" t="str">
            <v>MURREYSRESIDENTIALTIME-RES</v>
          </cell>
          <cell r="B1518" t="str">
            <v>ONCALL</v>
          </cell>
          <cell r="C1518" t="str">
            <v>2111</v>
          </cell>
          <cell r="D1518" t="str">
            <v>RESIDENTIAL</v>
          </cell>
          <cell r="E1518" t="b">
            <v>1</v>
          </cell>
          <cell r="F1518" t="b">
            <v>0</v>
          </cell>
          <cell r="G1518" t="str">
            <v>MURREYS</v>
          </cell>
          <cell r="H1518">
            <v>13154</v>
          </cell>
          <cell r="I1518" t="str">
            <v>TIME-RES</v>
          </cell>
          <cell r="J1518" t="str">
            <v>RESIDENTIAL TIME CHARGE</v>
          </cell>
          <cell r="K1518">
            <v>101.86</v>
          </cell>
          <cell r="L1518">
            <v>101.86</v>
          </cell>
        </row>
        <row r="1519">
          <cell r="A1519" t="str">
            <v>ORTINGRESIDENTIALTIME-RES</v>
          </cell>
          <cell r="B1519" t="str">
            <v>ONCALL</v>
          </cell>
          <cell r="C1519" t="str">
            <v>2111</v>
          </cell>
          <cell r="D1519" t="str">
            <v>RESIDENTIAL</v>
          </cell>
          <cell r="E1519" t="b">
            <v>1</v>
          </cell>
          <cell r="F1519" t="b">
            <v>0</v>
          </cell>
          <cell r="G1519" t="str">
            <v>ORTING</v>
          </cell>
          <cell r="H1519">
            <v>13154</v>
          </cell>
          <cell r="I1519" t="str">
            <v>TIME-RES</v>
          </cell>
          <cell r="J1519" t="str">
            <v>RESIDENTIAL TIME CHARGE</v>
          </cell>
          <cell r="K1519">
            <v>104.63</v>
          </cell>
          <cell r="L1519">
            <v>104.63</v>
          </cell>
        </row>
        <row r="1520">
          <cell r="A1520" t="str">
            <v>PUYALLUPRESIDENTIALTIME-RES</v>
          </cell>
          <cell r="B1520" t="str">
            <v>ONCALL</v>
          </cell>
          <cell r="C1520" t="str">
            <v>2111</v>
          </cell>
          <cell r="D1520" t="str">
            <v>RESIDENTIAL</v>
          </cell>
          <cell r="E1520" t="b">
            <v>1</v>
          </cell>
          <cell r="F1520" t="b">
            <v>0</v>
          </cell>
          <cell r="G1520" t="str">
            <v>PUYALLUP</v>
          </cell>
          <cell r="H1520">
            <v>13154</v>
          </cell>
          <cell r="I1520" t="str">
            <v>TIME-RES</v>
          </cell>
          <cell r="J1520" t="str">
            <v>RESIDENTIAL TIME CHARGE</v>
          </cell>
          <cell r="K1520">
            <v>88.34</v>
          </cell>
          <cell r="L1520">
            <v>88.34</v>
          </cell>
        </row>
        <row r="1521">
          <cell r="A1521" t="str">
            <v>RUSTONRESIDENTIALTIME-RES</v>
          </cell>
          <cell r="B1521" t="str">
            <v>ONCALL</v>
          </cell>
          <cell r="C1521" t="str">
            <v>2111</v>
          </cell>
          <cell r="D1521" t="str">
            <v>RESIDENTIAL</v>
          </cell>
          <cell r="E1521" t="b">
            <v>1</v>
          </cell>
          <cell r="F1521" t="b">
            <v>0</v>
          </cell>
          <cell r="G1521" t="str">
            <v>RUSTON</v>
          </cell>
          <cell r="H1521">
            <v>13154</v>
          </cell>
          <cell r="I1521" t="str">
            <v>TIME-RES</v>
          </cell>
          <cell r="J1521" t="str">
            <v>RESIDENTIAL TIME CHARGE</v>
          </cell>
          <cell r="K1521">
            <v>165.5</v>
          </cell>
          <cell r="L1521">
            <v>165.5</v>
          </cell>
        </row>
        <row r="1522">
          <cell r="A1522" t="str">
            <v>SOUTH PRAIRIERESIDENTIALTIME-RES</v>
          </cell>
          <cell r="B1522" t="str">
            <v>ONCALL</v>
          </cell>
          <cell r="C1522" t="str">
            <v>2111</v>
          </cell>
          <cell r="D1522" t="str">
            <v>RESIDENTIAL</v>
          </cell>
          <cell r="E1522" t="b">
            <v>1</v>
          </cell>
          <cell r="F1522" t="b">
            <v>0</v>
          </cell>
          <cell r="G1522" t="str">
            <v>SOUTH PRAIRIE</v>
          </cell>
          <cell r="H1522">
            <v>13154</v>
          </cell>
          <cell r="I1522" t="str">
            <v>TIME-RES</v>
          </cell>
          <cell r="J1522" t="str">
            <v>RESIDENTIAL TIME CHARGE</v>
          </cell>
          <cell r="K1522">
            <v>101.39</v>
          </cell>
          <cell r="L1522">
            <v>101.39</v>
          </cell>
        </row>
        <row r="1523">
          <cell r="A1523" t="str">
            <v>SUMNERRESIDENTIALTIME-RES</v>
          </cell>
          <cell r="B1523" t="str">
            <v>ONCALL</v>
          </cell>
          <cell r="C1523" t="str">
            <v>2111</v>
          </cell>
          <cell r="D1523" t="str">
            <v>RESIDENTIAL</v>
          </cell>
          <cell r="E1523" t="b">
            <v>1</v>
          </cell>
          <cell r="F1523" t="b">
            <v>0</v>
          </cell>
          <cell r="G1523" t="str">
            <v>SUMNER</v>
          </cell>
          <cell r="H1523">
            <v>13154</v>
          </cell>
          <cell r="I1523" t="str">
            <v>TIME-RES</v>
          </cell>
          <cell r="J1523" t="str">
            <v>RESIDENTIAL TIME CHARGE</v>
          </cell>
          <cell r="K1523">
            <v>104.97</v>
          </cell>
          <cell r="L1523">
            <v>104.97</v>
          </cell>
        </row>
        <row r="1524">
          <cell r="A1524" t="str">
            <v>VASHONRESIDENTIALTIME-RES</v>
          </cell>
          <cell r="B1524" t="str">
            <v>ONCALL</v>
          </cell>
          <cell r="C1524" t="str">
            <v>2111</v>
          </cell>
          <cell r="D1524" t="str">
            <v>RESIDENTIAL</v>
          </cell>
          <cell r="E1524" t="b">
            <v>1</v>
          </cell>
          <cell r="F1524" t="b">
            <v>0</v>
          </cell>
          <cell r="G1524" t="str">
            <v>VASHON</v>
          </cell>
          <cell r="H1524">
            <v>13154</v>
          </cell>
          <cell r="I1524" t="str">
            <v>TIME-RES</v>
          </cell>
          <cell r="J1524" t="str">
            <v>RESIDENTIAL TIME CHARGE</v>
          </cell>
          <cell r="K1524">
            <v>79.28</v>
          </cell>
          <cell r="L1524">
            <v>79.28</v>
          </cell>
        </row>
        <row r="1525">
          <cell r="A1525" t="str">
            <v>BONNEY LAKEROLL OFFTIME-RO</v>
          </cell>
          <cell r="B1525" t="str">
            <v>ONCALL</v>
          </cell>
          <cell r="C1525" t="str">
            <v>2111</v>
          </cell>
          <cell r="D1525" t="str">
            <v>ROLL OFF</v>
          </cell>
          <cell r="E1525" t="b">
            <v>1</v>
          </cell>
          <cell r="F1525" t="b">
            <v>0</v>
          </cell>
          <cell r="G1525" t="str">
            <v>BONNEY LAKE</v>
          </cell>
          <cell r="H1525">
            <v>12710</v>
          </cell>
          <cell r="I1525" t="str">
            <v>TIME-RO</v>
          </cell>
          <cell r="J1525" t="str">
            <v>ROLL OFF TIME CHARGE</v>
          </cell>
          <cell r="K1525">
            <v>123.69</v>
          </cell>
          <cell r="L1525">
            <v>123.69</v>
          </cell>
        </row>
        <row r="1526">
          <cell r="A1526" t="str">
            <v>M-EDGEWOODROLL OFFTIME-RO</v>
          </cell>
          <cell r="B1526" t="str">
            <v>ONCALL</v>
          </cell>
          <cell r="C1526" t="str">
            <v>2111</v>
          </cell>
          <cell r="D1526" t="str">
            <v>ROLL OFF</v>
          </cell>
          <cell r="E1526" t="b">
            <v>1</v>
          </cell>
          <cell r="F1526" t="b">
            <v>0</v>
          </cell>
          <cell r="G1526" t="str">
            <v>M-EDGEWOOD</v>
          </cell>
          <cell r="H1526">
            <v>12710</v>
          </cell>
          <cell r="I1526" t="str">
            <v>TIME-RO</v>
          </cell>
          <cell r="J1526" t="str">
            <v>ROLL OFF TIME CHARGE</v>
          </cell>
          <cell r="K1526">
            <v>104.06</v>
          </cell>
          <cell r="L1526">
            <v>104.06</v>
          </cell>
        </row>
        <row r="1527">
          <cell r="A1527" t="str">
            <v>M-FIFEROLL OFFTIME-RO</v>
          </cell>
          <cell r="B1527" t="str">
            <v>ONCALL</v>
          </cell>
          <cell r="C1527" t="str">
            <v>2111</v>
          </cell>
          <cell r="D1527" t="str">
            <v>ROLL OFF</v>
          </cell>
          <cell r="E1527" t="b">
            <v>1</v>
          </cell>
          <cell r="F1527" t="b">
            <v>0</v>
          </cell>
          <cell r="G1527" t="str">
            <v>M-FIFE</v>
          </cell>
          <cell r="H1527">
            <v>12710</v>
          </cell>
          <cell r="I1527" t="str">
            <v>TIME-RO</v>
          </cell>
          <cell r="J1527" t="str">
            <v>ROLL OFF TIME CHARGE</v>
          </cell>
          <cell r="K1527">
            <v>104.06</v>
          </cell>
          <cell r="L1527">
            <v>104.06</v>
          </cell>
        </row>
        <row r="1528">
          <cell r="A1528" t="str">
            <v>MURREYSROLL OFFTIME-RO</v>
          </cell>
          <cell r="B1528" t="str">
            <v>ONCALL</v>
          </cell>
          <cell r="C1528" t="str">
            <v>2111</v>
          </cell>
          <cell r="D1528" t="str">
            <v>ROLL OFF</v>
          </cell>
          <cell r="E1528" t="b">
            <v>1</v>
          </cell>
          <cell r="F1528" t="b">
            <v>0</v>
          </cell>
          <cell r="G1528" t="str">
            <v>MURREYS</v>
          </cell>
          <cell r="H1528">
            <v>12710</v>
          </cell>
          <cell r="I1528" t="str">
            <v>TIME-RO</v>
          </cell>
          <cell r="J1528" t="str">
            <v>ROLL OFF TIME CHARGE</v>
          </cell>
          <cell r="K1528">
            <v>104.06</v>
          </cell>
          <cell r="L1528">
            <v>104.06</v>
          </cell>
        </row>
        <row r="1529">
          <cell r="A1529" t="str">
            <v>ORTINGROLL OFFTIME-RO</v>
          </cell>
          <cell r="B1529" t="str">
            <v>ONCALL</v>
          </cell>
          <cell r="C1529" t="str">
            <v>2111</v>
          </cell>
          <cell r="D1529" t="str">
            <v>ROLL OFF</v>
          </cell>
          <cell r="E1529" t="b">
            <v>1</v>
          </cell>
          <cell r="F1529" t="b">
            <v>0</v>
          </cell>
          <cell r="G1529" t="str">
            <v>ORTING</v>
          </cell>
          <cell r="H1529">
            <v>12710</v>
          </cell>
          <cell r="I1529" t="str">
            <v>TIME-RO</v>
          </cell>
          <cell r="J1529" t="str">
            <v>ROLL OFF TIME CHARGE</v>
          </cell>
          <cell r="K1529">
            <v>104.63</v>
          </cell>
          <cell r="L1529">
            <v>104.63</v>
          </cell>
        </row>
        <row r="1530">
          <cell r="A1530" t="str">
            <v>PUYALLUPROLL OFFTIME-RO</v>
          </cell>
          <cell r="B1530" t="str">
            <v>ONCALL</v>
          </cell>
          <cell r="C1530" t="str">
            <v>2111</v>
          </cell>
          <cell r="D1530" t="str">
            <v>ROLL OFF</v>
          </cell>
          <cell r="E1530" t="b">
            <v>1</v>
          </cell>
          <cell r="F1530" t="b">
            <v>0</v>
          </cell>
          <cell r="G1530" t="str">
            <v>PUYALLUP</v>
          </cell>
          <cell r="H1530">
            <v>12710</v>
          </cell>
          <cell r="I1530" t="str">
            <v>TIME-RO</v>
          </cell>
          <cell r="J1530" t="str">
            <v>ROLL OFF TIME CHARGE</v>
          </cell>
          <cell r="K1530">
            <v>88.34</v>
          </cell>
          <cell r="L1530">
            <v>88.34</v>
          </cell>
        </row>
        <row r="1531">
          <cell r="A1531" t="str">
            <v>RUSTONROLL OFFTIME-RO</v>
          </cell>
          <cell r="B1531" t="str">
            <v>ONCALL</v>
          </cell>
          <cell r="C1531" t="str">
            <v>2111</v>
          </cell>
          <cell r="D1531" t="str">
            <v>ROLL OFF</v>
          </cell>
          <cell r="E1531" t="b">
            <v>1</v>
          </cell>
          <cell r="F1531" t="b">
            <v>0</v>
          </cell>
          <cell r="G1531" t="str">
            <v>RUSTON</v>
          </cell>
          <cell r="H1531">
            <v>12710</v>
          </cell>
          <cell r="I1531" t="str">
            <v>TIME-RO</v>
          </cell>
          <cell r="J1531" t="str">
            <v>ROLL OFF TIME CHARGE</v>
          </cell>
          <cell r="K1531">
            <v>165.5</v>
          </cell>
          <cell r="L1531">
            <v>165.5</v>
          </cell>
        </row>
        <row r="1532">
          <cell r="A1532" t="str">
            <v>VASHONROLL OFFTIME-RO</v>
          </cell>
          <cell r="B1532" t="str">
            <v>ONCALL</v>
          </cell>
          <cell r="C1532" t="str">
            <v>2111</v>
          </cell>
          <cell r="D1532" t="str">
            <v>ROLL OFF</v>
          </cell>
          <cell r="E1532" t="b">
            <v>1</v>
          </cell>
          <cell r="F1532" t="b">
            <v>0</v>
          </cell>
          <cell r="G1532" t="str">
            <v>VASHON</v>
          </cell>
          <cell r="H1532">
            <v>12710</v>
          </cell>
          <cell r="I1532" t="str">
            <v>TIME-RO</v>
          </cell>
          <cell r="J1532" t="str">
            <v>ROLL OFF TIME CHARGE</v>
          </cell>
          <cell r="K1532">
            <v>79.28</v>
          </cell>
          <cell r="L1532">
            <v>79.28</v>
          </cell>
        </row>
        <row r="1533">
          <cell r="A1533" t="str">
            <v>BONNEY LAKECOMMERCIALTIMEC</v>
          </cell>
          <cell r="B1533" t="str">
            <v>ONCALL</v>
          </cell>
          <cell r="C1533" t="str">
            <v>2111</v>
          </cell>
          <cell r="D1533" t="str">
            <v>COMMERCIAL</v>
          </cell>
          <cell r="E1533" t="b">
            <v>1</v>
          </cell>
          <cell r="F1533" t="b">
            <v>0</v>
          </cell>
          <cell r="G1533" t="str">
            <v>BONNEY LAKE</v>
          </cell>
          <cell r="H1533">
            <v>3265</v>
          </cell>
          <cell r="I1533" t="str">
            <v>TIMEC</v>
          </cell>
          <cell r="J1533" t="str">
            <v>CMML TIME CHARGE</v>
          </cell>
          <cell r="K1533">
            <v>123.69</v>
          </cell>
          <cell r="L1533">
            <v>123.69</v>
          </cell>
        </row>
        <row r="1534">
          <cell r="A1534" t="str">
            <v>BUCKLEYCOMMERCIALTIMEC</v>
          </cell>
          <cell r="B1534" t="str">
            <v>ONCALL</v>
          </cell>
          <cell r="C1534" t="str">
            <v>2111</v>
          </cell>
          <cell r="D1534" t="str">
            <v>COMMERCIAL</v>
          </cell>
          <cell r="E1534" t="b">
            <v>1</v>
          </cell>
          <cell r="F1534" t="b">
            <v>0</v>
          </cell>
          <cell r="G1534" t="str">
            <v>BUCKLEY</v>
          </cell>
          <cell r="H1534">
            <v>3265</v>
          </cell>
          <cell r="I1534" t="str">
            <v>TIMEC</v>
          </cell>
          <cell r="J1534" t="str">
            <v>CMML TIME CHARGE</v>
          </cell>
          <cell r="K1534">
            <v>103.58</v>
          </cell>
          <cell r="L1534">
            <v>103.58</v>
          </cell>
        </row>
        <row r="1535">
          <cell r="A1535" t="str">
            <v>M-EDGEWOODCOMMERCIALTIMEC</v>
          </cell>
          <cell r="B1535" t="str">
            <v>ONCALL</v>
          </cell>
          <cell r="C1535" t="str">
            <v>2111</v>
          </cell>
          <cell r="D1535" t="str">
            <v>COMMERCIAL</v>
          </cell>
          <cell r="E1535" t="b">
            <v>1</v>
          </cell>
          <cell r="F1535" t="b">
            <v>0</v>
          </cell>
          <cell r="G1535" t="str">
            <v>M-EDGEWOOD</v>
          </cell>
          <cell r="H1535">
            <v>3265</v>
          </cell>
          <cell r="I1535" t="str">
            <v>TIMEC</v>
          </cell>
          <cell r="J1535" t="str">
            <v>CMML TIME CHARGE</v>
          </cell>
          <cell r="K1535">
            <v>101.86</v>
          </cell>
          <cell r="L1535">
            <v>101.86</v>
          </cell>
        </row>
        <row r="1536">
          <cell r="A1536" t="str">
            <v>M-FIFECOMMERCIALTIMEC</v>
          </cell>
          <cell r="B1536" t="str">
            <v>ONCALL</v>
          </cell>
          <cell r="C1536" t="str">
            <v>2111</v>
          </cell>
          <cell r="D1536" t="str">
            <v>COMMERCIAL</v>
          </cell>
          <cell r="E1536" t="b">
            <v>1</v>
          </cell>
          <cell r="F1536" t="b">
            <v>0</v>
          </cell>
          <cell r="G1536" t="str">
            <v>M-FIFE</v>
          </cell>
          <cell r="H1536">
            <v>3265</v>
          </cell>
          <cell r="I1536" t="str">
            <v>TIMEC</v>
          </cell>
          <cell r="J1536" t="str">
            <v>CMML TIME CHARGE</v>
          </cell>
          <cell r="K1536">
            <v>101.86</v>
          </cell>
          <cell r="L1536">
            <v>101.86</v>
          </cell>
        </row>
        <row r="1537">
          <cell r="A1537" t="str">
            <v>MILTONCOMMERCIALTIMEC</v>
          </cell>
          <cell r="B1537" t="str">
            <v>ONCALL</v>
          </cell>
          <cell r="C1537" t="str">
            <v>2111</v>
          </cell>
          <cell r="D1537" t="str">
            <v>COMMERCIAL</v>
          </cell>
          <cell r="E1537" t="b">
            <v>1</v>
          </cell>
          <cell r="F1537" t="b">
            <v>0</v>
          </cell>
          <cell r="G1537" t="str">
            <v>MILTON</v>
          </cell>
          <cell r="H1537">
            <v>3265</v>
          </cell>
          <cell r="I1537" t="str">
            <v>TIMEC</v>
          </cell>
          <cell r="J1537" t="str">
            <v>CMML TIME CHARGE</v>
          </cell>
          <cell r="K1537">
            <v>94.93</v>
          </cell>
          <cell r="L1537">
            <v>94.93</v>
          </cell>
        </row>
        <row r="1538">
          <cell r="A1538" t="str">
            <v>MURREYSCOMMERCIALTIMEC</v>
          </cell>
          <cell r="B1538" t="str">
            <v>ONCALL</v>
          </cell>
          <cell r="C1538" t="str">
            <v>2111</v>
          </cell>
          <cell r="D1538" t="str">
            <v>COMMERCIAL</v>
          </cell>
          <cell r="E1538" t="b">
            <v>1</v>
          </cell>
          <cell r="F1538" t="b">
            <v>0</v>
          </cell>
          <cell r="G1538" t="str">
            <v>MURREYS</v>
          </cell>
          <cell r="H1538">
            <v>3265</v>
          </cell>
          <cell r="I1538" t="str">
            <v>TIMEC</v>
          </cell>
          <cell r="J1538" t="str">
            <v>CMML TIME CHARGE</v>
          </cell>
          <cell r="K1538">
            <v>101.86</v>
          </cell>
          <cell r="L1538">
            <v>101.86</v>
          </cell>
        </row>
        <row r="1539">
          <cell r="A1539" t="str">
            <v>ORTINGCOMMERCIALTIMEC</v>
          </cell>
          <cell r="B1539" t="str">
            <v>ONCALL</v>
          </cell>
          <cell r="C1539" t="str">
            <v>2111</v>
          </cell>
          <cell r="D1539" t="str">
            <v>COMMERCIAL</v>
          </cell>
          <cell r="E1539" t="b">
            <v>1</v>
          </cell>
          <cell r="F1539" t="b">
            <v>0</v>
          </cell>
          <cell r="G1539" t="str">
            <v>ORTING</v>
          </cell>
          <cell r="H1539">
            <v>3265</v>
          </cell>
          <cell r="I1539" t="str">
            <v>TIMEC</v>
          </cell>
          <cell r="J1539" t="str">
            <v>CMML TIME CHARGE</v>
          </cell>
          <cell r="K1539">
            <v>104.63</v>
          </cell>
          <cell r="L1539">
            <v>104.63</v>
          </cell>
        </row>
        <row r="1540">
          <cell r="A1540" t="str">
            <v>PUYALLUPCOMMERCIALTIMEC</v>
          </cell>
          <cell r="B1540" t="str">
            <v>ONCALL</v>
          </cell>
          <cell r="C1540" t="str">
            <v>2111</v>
          </cell>
          <cell r="D1540" t="str">
            <v>COMMERCIAL</v>
          </cell>
          <cell r="E1540" t="b">
            <v>1</v>
          </cell>
          <cell r="F1540" t="b">
            <v>0</v>
          </cell>
          <cell r="G1540" t="str">
            <v>PUYALLUP</v>
          </cell>
          <cell r="H1540">
            <v>3265</v>
          </cell>
          <cell r="I1540" t="str">
            <v>TIMEC</v>
          </cell>
          <cell r="J1540" t="str">
            <v>CMML TIME CHARGE</v>
          </cell>
          <cell r="K1540">
            <v>88.34</v>
          </cell>
          <cell r="L1540">
            <v>88.34</v>
          </cell>
        </row>
        <row r="1541">
          <cell r="A1541" t="str">
            <v>RUSTONCOMMERCIALTIMEC</v>
          </cell>
          <cell r="B1541" t="str">
            <v>ONCALL</v>
          </cell>
          <cell r="C1541" t="str">
            <v>2111</v>
          </cell>
          <cell r="D1541" t="str">
            <v>COMMERCIAL</v>
          </cell>
          <cell r="E1541" t="b">
            <v>1</v>
          </cell>
          <cell r="F1541" t="b">
            <v>0</v>
          </cell>
          <cell r="G1541" t="str">
            <v>RUSTON</v>
          </cell>
          <cell r="H1541">
            <v>3265</v>
          </cell>
          <cell r="I1541" t="str">
            <v>TIMEC</v>
          </cell>
          <cell r="J1541" t="str">
            <v>CMML TIME CHARGE</v>
          </cell>
          <cell r="K1541">
            <v>165.5</v>
          </cell>
          <cell r="L1541">
            <v>165.5</v>
          </cell>
        </row>
        <row r="1542">
          <cell r="A1542" t="str">
            <v>SOUTH PRAIRIECOMMERCIALTIMEC</v>
          </cell>
          <cell r="B1542" t="str">
            <v>ONCALL</v>
          </cell>
          <cell r="C1542" t="str">
            <v>2111</v>
          </cell>
          <cell r="D1542" t="str">
            <v>COMMERCIAL</v>
          </cell>
          <cell r="E1542" t="b">
            <v>1</v>
          </cell>
          <cell r="F1542" t="b">
            <v>0</v>
          </cell>
          <cell r="G1542" t="str">
            <v>SOUTH PRAIRIE</v>
          </cell>
          <cell r="H1542">
            <v>3265</v>
          </cell>
          <cell r="I1542" t="str">
            <v>TIMEC</v>
          </cell>
          <cell r="J1542" t="str">
            <v>CMML TIME CHARGE</v>
          </cell>
          <cell r="K1542">
            <v>101.39</v>
          </cell>
          <cell r="L1542">
            <v>101.39</v>
          </cell>
        </row>
        <row r="1543">
          <cell r="A1543" t="str">
            <v>SUMNERCOMMERCIALTIMEC</v>
          </cell>
          <cell r="B1543" t="str">
            <v>ONCALL</v>
          </cell>
          <cell r="C1543" t="str">
            <v>2111</v>
          </cell>
          <cell r="D1543" t="str">
            <v>COMMERCIAL</v>
          </cell>
          <cell r="E1543" t="b">
            <v>1</v>
          </cell>
          <cell r="F1543" t="b">
            <v>0</v>
          </cell>
          <cell r="G1543" t="str">
            <v>SUMNER</v>
          </cell>
          <cell r="H1543">
            <v>3265</v>
          </cell>
          <cell r="I1543" t="str">
            <v>TIMEC</v>
          </cell>
          <cell r="J1543" t="str">
            <v>CMML TIME CHARGE</v>
          </cell>
          <cell r="K1543">
            <v>104.97</v>
          </cell>
          <cell r="L1543">
            <v>104.97</v>
          </cell>
        </row>
        <row r="1544">
          <cell r="A1544" t="str">
            <v>VASHONCOMMERCIALTIMEC</v>
          </cell>
          <cell r="B1544" t="str">
            <v>ONCALL</v>
          </cell>
          <cell r="C1544" t="str">
            <v>2111</v>
          </cell>
          <cell r="D1544" t="str">
            <v>COMMERCIAL</v>
          </cell>
          <cell r="E1544" t="b">
            <v>1</v>
          </cell>
          <cell r="F1544" t="b">
            <v>0</v>
          </cell>
          <cell r="G1544" t="str">
            <v>VASHON</v>
          </cell>
          <cell r="H1544">
            <v>3265</v>
          </cell>
          <cell r="I1544" t="str">
            <v>TIMEC</v>
          </cell>
          <cell r="J1544" t="str">
            <v>CMML TIME CHARGE</v>
          </cell>
          <cell r="K1544">
            <v>79.28</v>
          </cell>
          <cell r="L1544">
            <v>79.28</v>
          </cell>
        </row>
        <row r="1545">
          <cell r="A1545" t="str">
            <v>DMRCOMMERCIAL RECYCLETIMECRECY</v>
          </cell>
          <cell r="B1545" t="e">
            <v>#N/A</v>
          </cell>
          <cell r="C1545" t="str">
            <v>2111</v>
          </cell>
          <cell r="D1545" t="str">
            <v>COMMERCIAL RECYCLE</v>
          </cell>
          <cell r="E1545" t="b">
            <v>1</v>
          </cell>
          <cell r="F1545" t="b">
            <v>0</v>
          </cell>
          <cell r="G1545" t="str">
            <v>DMR</v>
          </cell>
          <cell r="H1545">
            <v>3577</v>
          </cell>
          <cell r="I1545" t="str">
            <v>TIMECRECY</v>
          </cell>
          <cell r="J1545" t="str">
            <v>CMML TIME CHARGE</v>
          </cell>
          <cell r="K1545">
            <v>154</v>
          </cell>
          <cell r="L1545">
            <v>154</v>
          </cell>
        </row>
        <row r="1546">
          <cell r="A1546" t="str">
            <v>DMR-BCOMMERCIAL RECYCLETIMECRECY</v>
          </cell>
          <cell r="B1546" t="e">
            <v>#N/A</v>
          </cell>
          <cell r="C1546" t="str">
            <v>2111</v>
          </cell>
          <cell r="D1546" t="str">
            <v>COMMERCIAL RECYCLE</v>
          </cell>
          <cell r="E1546" t="b">
            <v>1</v>
          </cell>
          <cell r="F1546" t="b">
            <v>0</v>
          </cell>
          <cell r="G1546" t="str">
            <v>DMR-B</v>
          </cell>
          <cell r="H1546">
            <v>3577</v>
          </cell>
          <cell r="I1546" t="str">
            <v>TIMECRECY</v>
          </cell>
          <cell r="J1546" t="str">
            <v>CMML TIME CHARGE</v>
          </cell>
          <cell r="K1546">
            <v>127.89</v>
          </cell>
          <cell r="L1546">
            <v>127.89</v>
          </cell>
        </row>
        <row r="1547">
          <cell r="A1547" t="str">
            <v>DMR-BLCOMMERCIAL RECYCLETIMECRECY</v>
          </cell>
          <cell r="B1547" t="e">
            <v>#N/A</v>
          </cell>
          <cell r="C1547" t="str">
            <v>2111</v>
          </cell>
          <cell r="D1547" t="str">
            <v>COMMERCIAL RECYCLE</v>
          </cell>
          <cell r="E1547" t="b">
            <v>1</v>
          </cell>
          <cell r="F1547" t="b">
            <v>0</v>
          </cell>
          <cell r="G1547" t="str">
            <v>DMR-BL</v>
          </cell>
          <cell r="H1547">
            <v>3577</v>
          </cell>
          <cell r="I1547" t="str">
            <v>TIMECRECY</v>
          </cell>
          <cell r="J1547" t="str">
            <v>CMML TIME CHARGE</v>
          </cell>
          <cell r="K1547">
            <v>123.69</v>
          </cell>
          <cell r="L1547">
            <v>123.69</v>
          </cell>
        </row>
        <row r="1548">
          <cell r="A1548" t="str">
            <v>DMR-CPCOMMERCIAL RECYCLETIMECRECY</v>
          </cell>
          <cell r="B1548" t="e">
            <v>#N/A</v>
          </cell>
          <cell r="C1548" t="str">
            <v>2111</v>
          </cell>
          <cell r="D1548" t="str">
            <v>COMMERCIAL RECYCLE</v>
          </cell>
          <cell r="E1548" t="b">
            <v>1</v>
          </cell>
          <cell r="F1548" t="b">
            <v>0</v>
          </cell>
          <cell r="G1548" t="str">
            <v>DMR-CP</v>
          </cell>
          <cell r="H1548">
            <v>3577</v>
          </cell>
          <cell r="I1548" t="str">
            <v>TIMECRECY</v>
          </cell>
          <cell r="J1548" t="str">
            <v>CMML TIME CHARGE</v>
          </cell>
          <cell r="K1548">
            <v>88.34</v>
          </cell>
          <cell r="L1548">
            <v>88.34</v>
          </cell>
        </row>
        <row r="1549">
          <cell r="A1549" t="str">
            <v>DMR-MILCOMMERCIAL RECYCLETIMECRECY</v>
          </cell>
          <cell r="B1549" t="e">
            <v>#N/A</v>
          </cell>
          <cell r="C1549" t="str">
            <v>2111</v>
          </cell>
          <cell r="D1549" t="str">
            <v>COMMERCIAL RECYCLE</v>
          </cell>
          <cell r="E1549" t="b">
            <v>1</v>
          </cell>
          <cell r="F1549" t="b">
            <v>0</v>
          </cell>
          <cell r="G1549" t="str">
            <v>DMR-MIL</v>
          </cell>
          <cell r="H1549">
            <v>3577</v>
          </cell>
          <cell r="I1549" t="str">
            <v>TIMECRECY</v>
          </cell>
          <cell r="J1549" t="str">
            <v>CMML TIME CHARGE</v>
          </cell>
          <cell r="K1549">
            <v>94.93</v>
          </cell>
          <cell r="L1549">
            <v>94.93</v>
          </cell>
        </row>
        <row r="1550">
          <cell r="A1550" t="str">
            <v>DM-PIERROLL OFFTRACTORHRTL</v>
          </cell>
          <cell r="B1550" t="str">
            <v>ONCALL</v>
          </cell>
          <cell r="C1550" t="str">
            <v>2111</v>
          </cell>
          <cell r="D1550" t="str">
            <v>ROLL OFF</v>
          </cell>
          <cell r="E1550" t="b">
            <v>1</v>
          </cell>
          <cell r="F1550" t="b">
            <v>0</v>
          </cell>
          <cell r="G1550" t="str">
            <v>DM-PIER</v>
          </cell>
          <cell r="H1550">
            <v>3567</v>
          </cell>
          <cell r="I1550" t="str">
            <v>TRACTORHRTL</v>
          </cell>
          <cell r="J1550" t="str">
            <v>HOURLY TRACTOR TRAILER HA</v>
          </cell>
          <cell r="K1550">
            <v>160</v>
          </cell>
          <cell r="L1550">
            <v>160</v>
          </cell>
        </row>
        <row r="1551">
          <cell r="A1551" t="str">
            <v>DMRROLL OFFTRACTORHRTL</v>
          </cell>
          <cell r="B1551" t="str">
            <v>ONCALL</v>
          </cell>
          <cell r="C1551" t="str">
            <v>2111</v>
          </cell>
          <cell r="D1551" t="str">
            <v>ROLL OFF</v>
          </cell>
          <cell r="E1551" t="b">
            <v>1</v>
          </cell>
          <cell r="F1551" t="b">
            <v>0</v>
          </cell>
          <cell r="G1551" t="str">
            <v>DMR</v>
          </cell>
          <cell r="H1551">
            <v>3567</v>
          </cell>
          <cell r="I1551" t="str">
            <v>TRACTORHRTL</v>
          </cell>
          <cell r="J1551" t="str">
            <v>HOURLY TRACTOR TRAILER HA</v>
          </cell>
          <cell r="K1551">
            <v>175</v>
          </cell>
          <cell r="L1551">
            <v>175</v>
          </cell>
        </row>
        <row r="1552">
          <cell r="A1552" t="str">
            <v>BONNEY LAKERESIDENTIALTRIPRCANS</v>
          </cell>
          <cell r="B1552" t="str">
            <v>ONCALL</v>
          </cell>
          <cell r="C1552" t="str">
            <v>2111</v>
          </cell>
          <cell r="D1552" t="str">
            <v>RESIDENTIAL</v>
          </cell>
          <cell r="E1552" t="b">
            <v>1</v>
          </cell>
          <cell r="F1552" t="b">
            <v>0</v>
          </cell>
          <cell r="G1552" t="str">
            <v>BONNEY LAKE</v>
          </cell>
          <cell r="H1552">
            <v>2321</v>
          </cell>
          <cell r="I1552" t="str">
            <v>TRIPRCANS</v>
          </cell>
          <cell r="J1552" t="str">
            <v>RETURN TRIP CHARGE - CANS</v>
          </cell>
          <cell r="K1552">
            <v>10.81</v>
          </cell>
          <cell r="L1552">
            <v>10.81</v>
          </cell>
        </row>
        <row r="1553">
          <cell r="A1553" t="str">
            <v>BUCKLEYRESIDENTIALTRIPRCANS</v>
          </cell>
          <cell r="B1553" t="str">
            <v>ONCALL</v>
          </cell>
          <cell r="C1553" t="str">
            <v>2111</v>
          </cell>
          <cell r="D1553" t="str">
            <v>RESIDENTIAL</v>
          </cell>
          <cell r="E1553" t="b">
            <v>1</v>
          </cell>
          <cell r="F1553" t="b">
            <v>0</v>
          </cell>
          <cell r="G1553" t="str">
            <v>BUCKLEY</v>
          </cell>
          <cell r="H1553">
            <v>2321</v>
          </cell>
          <cell r="I1553" t="str">
            <v>TRIPRCANS</v>
          </cell>
          <cell r="J1553" t="str">
            <v>RETURN TRIP CHARGE - CANS</v>
          </cell>
          <cell r="K1553">
            <v>25</v>
          </cell>
          <cell r="L1553">
            <v>25</v>
          </cell>
        </row>
        <row r="1554">
          <cell r="A1554" t="str">
            <v>CARBONADORESIDENTIALTRIPRCANS</v>
          </cell>
          <cell r="B1554" t="str">
            <v>ONCALL</v>
          </cell>
          <cell r="C1554" t="str">
            <v>2111</v>
          </cell>
          <cell r="D1554" t="str">
            <v>RESIDENTIAL</v>
          </cell>
          <cell r="E1554" t="b">
            <v>1</v>
          </cell>
          <cell r="F1554" t="b">
            <v>0</v>
          </cell>
          <cell r="G1554" t="str">
            <v>CARBONADO</v>
          </cell>
          <cell r="H1554">
            <v>2321</v>
          </cell>
          <cell r="I1554" t="str">
            <v>TRIPRCANS</v>
          </cell>
          <cell r="J1554" t="str">
            <v>RETURN TRIP CHARGE - CANS</v>
          </cell>
          <cell r="K1554">
            <v>9.07</v>
          </cell>
          <cell r="L1554">
            <v>9.07</v>
          </cell>
        </row>
        <row r="1555">
          <cell r="A1555" t="str">
            <v>M-EDGEWOODRESIDENTIALTRIPRCANS</v>
          </cell>
          <cell r="B1555" t="str">
            <v>ONCALL</v>
          </cell>
          <cell r="C1555" t="str">
            <v>2111</v>
          </cell>
          <cell r="D1555" t="str">
            <v>RESIDENTIAL</v>
          </cell>
          <cell r="E1555" t="b">
            <v>1</v>
          </cell>
          <cell r="F1555" t="b">
            <v>0</v>
          </cell>
          <cell r="G1555" t="str">
            <v>M-EDGEWOOD</v>
          </cell>
          <cell r="H1555">
            <v>2321</v>
          </cell>
          <cell r="I1555" t="str">
            <v>TRIPRCANS</v>
          </cell>
          <cell r="J1555" t="str">
            <v>RETURN TRIP CHARGE - CANS</v>
          </cell>
          <cell r="K1555">
            <v>9.0299999999999994</v>
          </cell>
          <cell r="L1555">
            <v>9.0299999999999994</v>
          </cell>
        </row>
        <row r="1556">
          <cell r="A1556" t="str">
            <v>M-FIFERESIDENTIALTRIPRCANS</v>
          </cell>
          <cell r="B1556" t="str">
            <v>ONCALL</v>
          </cell>
          <cell r="C1556" t="str">
            <v>2111</v>
          </cell>
          <cell r="D1556" t="str">
            <v>RESIDENTIAL</v>
          </cell>
          <cell r="E1556" t="b">
            <v>1</v>
          </cell>
          <cell r="F1556" t="b">
            <v>0</v>
          </cell>
          <cell r="G1556" t="str">
            <v>M-FIFE</v>
          </cell>
          <cell r="H1556">
            <v>2321</v>
          </cell>
          <cell r="I1556" t="str">
            <v>TRIPRCANS</v>
          </cell>
          <cell r="J1556" t="str">
            <v>RETURN TRIP CHARGE - CANS</v>
          </cell>
          <cell r="K1556">
            <v>9.0299999999999994</v>
          </cell>
          <cell r="L1556">
            <v>9.0299999999999994</v>
          </cell>
        </row>
        <row r="1557">
          <cell r="A1557" t="str">
            <v>MILTONRESIDENTIALTRIPRCANS</v>
          </cell>
          <cell r="B1557" t="str">
            <v>ONCALL</v>
          </cell>
          <cell r="C1557" t="str">
            <v>2111</v>
          </cell>
          <cell r="D1557" t="str">
            <v>RESIDENTIAL</v>
          </cell>
          <cell r="E1557" t="b">
            <v>1</v>
          </cell>
          <cell r="F1557" t="b">
            <v>0</v>
          </cell>
          <cell r="G1557" t="str">
            <v>MILTON</v>
          </cell>
          <cell r="H1557">
            <v>2321</v>
          </cell>
          <cell r="I1557" t="str">
            <v>TRIPRCANS</v>
          </cell>
          <cell r="J1557" t="str">
            <v>RETURN TRIP CHARGE - CANS</v>
          </cell>
          <cell r="K1557">
            <v>8.33</v>
          </cell>
          <cell r="L1557">
            <v>8.33</v>
          </cell>
        </row>
        <row r="1558">
          <cell r="A1558" t="str">
            <v>MURREYSRESIDENTIALTRIPRCANS</v>
          </cell>
          <cell r="B1558" t="str">
            <v>ONCALL</v>
          </cell>
          <cell r="C1558" t="str">
            <v>2111</v>
          </cell>
          <cell r="D1558" t="str">
            <v>RESIDENTIAL</v>
          </cell>
          <cell r="E1558" t="b">
            <v>1</v>
          </cell>
          <cell r="F1558" t="b">
            <v>0</v>
          </cell>
          <cell r="G1558" t="str">
            <v>MURREYS</v>
          </cell>
          <cell r="H1558">
            <v>2321</v>
          </cell>
          <cell r="I1558" t="str">
            <v>TRIPRCANS</v>
          </cell>
          <cell r="J1558" t="str">
            <v>RETURN TRIP CHARGE - CANS</v>
          </cell>
          <cell r="K1558">
            <v>9.0299999999999994</v>
          </cell>
          <cell r="L1558">
            <v>9.0299999999999994</v>
          </cell>
        </row>
        <row r="1559">
          <cell r="A1559" t="str">
            <v>ORTINGRESIDENTIALTRIPRCANS</v>
          </cell>
          <cell r="B1559" t="str">
            <v>ONCALL</v>
          </cell>
          <cell r="C1559" t="str">
            <v>2111</v>
          </cell>
          <cell r="D1559" t="str">
            <v>RESIDENTIAL</v>
          </cell>
          <cell r="E1559" t="b">
            <v>1</v>
          </cell>
          <cell r="F1559" t="b">
            <v>0</v>
          </cell>
          <cell r="G1559" t="str">
            <v>ORTING</v>
          </cell>
          <cell r="H1559">
            <v>2321</v>
          </cell>
          <cell r="I1559" t="str">
            <v>TRIPRCANS</v>
          </cell>
          <cell r="J1559" t="str">
            <v>RETURN TRIP CHARGE - CANS</v>
          </cell>
          <cell r="K1559">
            <v>7.9</v>
          </cell>
          <cell r="L1559">
            <v>7.9</v>
          </cell>
        </row>
        <row r="1560">
          <cell r="A1560" t="str">
            <v>PUYALLUPRESIDENTIALTRIPRCANS</v>
          </cell>
          <cell r="B1560" t="str">
            <v>ONCALL</v>
          </cell>
          <cell r="C1560" t="str">
            <v>2111</v>
          </cell>
          <cell r="D1560" t="str">
            <v>RESIDENTIAL</v>
          </cell>
          <cell r="E1560" t="b">
            <v>1</v>
          </cell>
          <cell r="F1560" t="b">
            <v>0</v>
          </cell>
          <cell r="G1560" t="str">
            <v>PUYALLUP</v>
          </cell>
          <cell r="H1560">
            <v>2321</v>
          </cell>
          <cell r="I1560" t="str">
            <v>TRIPRCANS</v>
          </cell>
          <cell r="J1560" t="str">
            <v>RETURN TRIP CHARGE - CANS</v>
          </cell>
          <cell r="K1560">
            <v>13.19</v>
          </cell>
          <cell r="L1560">
            <v>13.19</v>
          </cell>
        </row>
        <row r="1561">
          <cell r="A1561" t="str">
            <v>RUSTONRESIDENTIALTRIPRCANS</v>
          </cell>
          <cell r="B1561" t="str">
            <v>ONCALL</v>
          </cell>
          <cell r="C1561" t="str">
            <v>2111</v>
          </cell>
          <cell r="D1561" t="str">
            <v>RESIDENTIAL</v>
          </cell>
          <cell r="E1561" t="b">
            <v>1</v>
          </cell>
          <cell r="F1561" t="b">
            <v>0</v>
          </cell>
          <cell r="G1561" t="str">
            <v>RUSTON</v>
          </cell>
          <cell r="H1561">
            <v>2321</v>
          </cell>
          <cell r="I1561" t="str">
            <v>TRIPRCANS</v>
          </cell>
          <cell r="J1561" t="str">
            <v>RETURN TRIP CHARGE - CANS</v>
          </cell>
          <cell r="K1561">
            <v>10.97</v>
          </cell>
          <cell r="L1561">
            <v>10.97</v>
          </cell>
        </row>
        <row r="1562">
          <cell r="A1562" t="str">
            <v>SOUTH PRAIRIERESIDENTIALTRIPRCANS</v>
          </cell>
          <cell r="B1562" t="str">
            <v>ONCALL</v>
          </cell>
          <cell r="C1562" t="str">
            <v>2111</v>
          </cell>
          <cell r="D1562" t="str">
            <v>RESIDENTIAL</v>
          </cell>
          <cell r="E1562" t="b">
            <v>1</v>
          </cell>
          <cell r="F1562" t="b">
            <v>0</v>
          </cell>
          <cell r="G1562" t="str">
            <v>SOUTH PRAIRIE</v>
          </cell>
          <cell r="H1562">
            <v>2321</v>
          </cell>
          <cell r="I1562" t="str">
            <v>TRIPRCANS</v>
          </cell>
          <cell r="J1562" t="str">
            <v>RETURN TRIP CHARGE - CANS</v>
          </cell>
          <cell r="K1562">
            <v>8.99</v>
          </cell>
          <cell r="L1562">
            <v>8.99</v>
          </cell>
        </row>
        <row r="1563">
          <cell r="A1563" t="str">
            <v>SUMNERRESIDENTIALTRIPRCANS</v>
          </cell>
          <cell r="B1563" t="str">
            <v>ONCALL</v>
          </cell>
          <cell r="C1563" t="str">
            <v>2111</v>
          </cell>
          <cell r="D1563" t="str">
            <v>RESIDENTIAL</v>
          </cell>
          <cell r="E1563" t="b">
            <v>1</v>
          </cell>
          <cell r="F1563" t="b">
            <v>0</v>
          </cell>
          <cell r="G1563" t="str">
            <v>SUMNER</v>
          </cell>
          <cell r="H1563">
            <v>2321</v>
          </cell>
          <cell r="I1563" t="str">
            <v>TRIPRCANS</v>
          </cell>
          <cell r="J1563" t="str">
            <v>RETURN TRIP CHARGE - CANS</v>
          </cell>
          <cell r="K1563">
            <v>9.0299999999999994</v>
          </cell>
          <cell r="L1563">
            <v>9.0299999999999994</v>
          </cell>
        </row>
        <row r="1564">
          <cell r="A1564" t="str">
            <v>VASHONRESIDENTIALTRIPRCANS</v>
          </cell>
          <cell r="B1564" t="str">
            <v>ONCALL</v>
          </cell>
          <cell r="C1564" t="str">
            <v>2111</v>
          </cell>
          <cell r="D1564" t="str">
            <v>RESIDENTIAL</v>
          </cell>
          <cell r="E1564" t="b">
            <v>1</v>
          </cell>
          <cell r="F1564" t="b">
            <v>0</v>
          </cell>
          <cell r="G1564" t="str">
            <v>VASHON</v>
          </cell>
          <cell r="H1564">
            <v>2321</v>
          </cell>
          <cell r="I1564" t="str">
            <v>TRIPRCANS</v>
          </cell>
          <cell r="J1564" t="str">
            <v>RETURN TRIP CHARGE - CANS</v>
          </cell>
          <cell r="K1564">
            <v>2.81</v>
          </cell>
          <cell r="L1564">
            <v>2.81</v>
          </cell>
        </row>
        <row r="1565">
          <cell r="A1565" t="str">
            <v>BONNEY LAKERESIDENTIALTRIPRCARTS</v>
          </cell>
          <cell r="B1565" t="str">
            <v>ONCALL</v>
          </cell>
          <cell r="C1565" t="str">
            <v>2111</v>
          </cell>
          <cell r="D1565" t="str">
            <v>RESIDENTIAL</v>
          </cell>
          <cell r="E1565" t="b">
            <v>1</v>
          </cell>
          <cell r="F1565" t="b">
            <v>0</v>
          </cell>
          <cell r="G1565" t="str">
            <v>BONNEY LAKE</v>
          </cell>
          <cell r="H1565">
            <v>3153</v>
          </cell>
          <cell r="I1565" t="str">
            <v>TRIPRCARTS</v>
          </cell>
          <cell r="J1565" t="str">
            <v>RESI TRIP CHARGE - CARTS</v>
          </cell>
          <cell r="K1565">
            <v>10.81</v>
          </cell>
          <cell r="L1565">
            <v>10.81</v>
          </cell>
        </row>
        <row r="1566">
          <cell r="A1566" t="str">
            <v>BUCKLEYRESIDENTIALTRIPRCARTS</v>
          </cell>
          <cell r="B1566" t="str">
            <v>ONCALL</v>
          </cell>
          <cell r="C1566" t="str">
            <v>2111</v>
          </cell>
          <cell r="D1566" t="str">
            <v>RESIDENTIAL</v>
          </cell>
          <cell r="E1566" t="b">
            <v>1</v>
          </cell>
          <cell r="F1566" t="b">
            <v>0</v>
          </cell>
          <cell r="G1566" t="str">
            <v>BUCKLEY</v>
          </cell>
          <cell r="H1566">
            <v>3153</v>
          </cell>
          <cell r="I1566" t="str">
            <v>TRIPRCARTS</v>
          </cell>
          <cell r="J1566" t="str">
            <v>RESI TRIP CHARGE - CARTS</v>
          </cell>
          <cell r="K1566">
            <v>25</v>
          </cell>
          <cell r="L1566">
            <v>25</v>
          </cell>
        </row>
        <row r="1567">
          <cell r="A1567" t="str">
            <v>CARBONADORESIDENTIALTRIPRCARTS</v>
          </cell>
          <cell r="B1567" t="str">
            <v>ONCALL</v>
          </cell>
          <cell r="C1567" t="str">
            <v>2111</v>
          </cell>
          <cell r="D1567" t="str">
            <v>RESIDENTIAL</v>
          </cell>
          <cell r="E1567" t="b">
            <v>1</v>
          </cell>
          <cell r="F1567" t="b">
            <v>0</v>
          </cell>
          <cell r="G1567" t="str">
            <v>CARBONADO</v>
          </cell>
          <cell r="H1567">
            <v>3153</v>
          </cell>
          <cell r="I1567" t="str">
            <v>TRIPRCARTS</v>
          </cell>
          <cell r="J1567" t="str">
            <v>RESI TRIP CHARGE - CARTS</v>
          </cell>
          <cell r="K1567">
            <v>9.07</v>
          </cell>
          <cell r="L1567">
            <v>9.07</v>
          </cell>
        </row>
        <row r="1568">
          <cell r="A1568" t="str">
            <v>M-EDGEWOODRESIDENTIALTRIPRCARTS</v>
          </cell>
          <cell r="B1568" t="str">
            <v>ONCALL</v>
          </cell>
          <cell r="C1568" t="str">
            <v>2111</v>
          </cell>
          <cell r="D1568" t="str">
            <v>RESIDENTIAL</v>
          </cell>
          <cell r="E1568" t="b">
            <v>1</v>
          </cell>
          <cell r="F1568" t="b">
            <v>0</v>
          </cell>
          <cell r="G1568" t="str">
            <v>M-EDGEWOOD</v>
          </cell>
          <cell r="H1568">
            <v>3153</v>
          </cell>
          <cell r="I1568" t="str">
            <v>TRIPRCARTS</v>
          </cell>
          <cell r="J1568" t="str">
            <v>RESI TRIP CHARGE - CARTS</v>
          </cell>
          <cell r="K1568">
            <v>12.97</v>
          </cell>
          <cell r="L1568">
            <v>12.97</v>
          </cell>
        </row>
        <row r="1569">
          <cell r="A1569" t="str">
            <v>M-FIFERESIDENTIALTRIPRCARTS</v>
          </cell>
          <cell r="B1569" t="str">
            <v>ONCALL</v>
          </cell>
          <cell r="C1569" t="str">
            <v>2111</v>
          </cell>
          <cell r="D1569" t="str">
            <v>RESIDENTIAL</v>
          </cell>
          <cell r="E1569" t="b">
            <v>1</v>
          </cell>
          <cell r="F1569" t="b">
            <v>0</v>
          </cell>
          <cell r="G1569" t="str">
            <v>M-FIFE</v>
          </cell>
          <cell r="H1569">
            <v>3153</v>
          </cell>
          <cell r="I1569" t="str">
            <v>TRIPRCARTS</v>
          </cell>
          <cell r="J1569" t="str">
            <v>RESI TRIP CHARGE - CARTS</v>
          </cell>
          <cell r="K1569">
            <v>12.97</v>
          </cell>
          <cell r="L1569">
            <v>12.97</v>
          </cell>
        </row>
        <row r="1570">
          <cell r="A1570" t="str">
            <v>MILTONRESIDENTIALTRIPRCARTS</v>
          </cell>
          <cell r="B1570" t="str">
            <v>ONCALL</v>
          </cell>
          <cell r="C1570" t="str">
            <v>2111</v>
          </cell>
          <cell r="D1570" t="str">
            <v>RESIDENTIAL</v>
          </cell>
          <cell r="E1570" t="b">
            <v>1</v>
          </cell>
          <cell r="F1570" t="b">
            <v>0</v>
          </cell>
          <cell r="G1570" t="str">
            <v>MILTON</v>
          </cell>
          <cell r="H1570">
            <v>3153</v>
          </cell>
          <cell r="I1570" t="str">
            <v>TRIPRCARTS</v>
          </cell>
          <cell r="J1570" t="str">
            <v>RESI TRIP CHARGE - CARTS</v>
          </cell>
          <cell r="K1570">
            <v>8.33</v>
          </cell>
          <cell r="L1570">
            <v>8.33</v>
          </cell>
        </row>
        <row r="1571">
          <cell r="A1571" t="str">
            <v>MURREYSRESIDENTIALTRIPRCARTS</v>
          </cell>
          <cell r="B1571" t="str">
            <v>ONCALL</v>
          </cell>
          <cell r="C1571" t="str">
            <v>2111</v>
          </cell>
          <cell r="D1571" t="str">
            <v>RESIDENTIAL</v>
          </cell>
          <cell r="E1571" t="b">
            <v>1</v>
          </cell>
          <cell r="F1571" t="b">
            <v>0</v>
          </cell>
          <cell r="G1571" t="str">
            <v>MURREYS</v>
          </cell>
          <cell r="H1571">
            <v>3153</v>
          </cell>
          <cell r="I1571" t="str">
            <v>TRIPRCARTS</v>
          </cell>
          <cell r="J1571" t="str">
            <v>RESI TRIP CHARGE - CARTS</v>
          </cell>
          <cell r="K1571">
            <v>12.97</v>
          </cell>
          <cell r="L1571">
            <v>12.97</v>
          </cell>
        </row>
        <row r="1572">
          <cell r="A1572" t="str">
            <v>ORTINGRESIDENTIALTRIPRCARTS</v>
          </cell>
          <cell r="B1572" t="str">
            <v>ONCALL</v>
          </cell>
          <cell r="C1572" t="str">
            <v>2111</v>
          </cell>
          <cell r="D1572" t="str">
            <v>RESIDENTIAL</v>
          </cell>
          <cell r="E1572" t="b">
            <v>1</v>
          </cell>
          <cell r="F1572" t="b">
            <v>0</v>
          </cell>
          <cell r="G1572" t="str">
            <v>ORTING</v>
          </cell>
          <cell r="H1572">
            <v>3153</v>
          </cell>
          <cell r="I1572" t="str">
            <v>TRIPRCARTS</v>
          </cell>
          <cell r="J1572" t="str">
            <v>RESI TRIP CHARGE - CARTS</v>
          </cell>
          <cell r="K1572">
            <v>7.9</v>
          </cell>
          <cell r="L1572">
            <v>7.9</v>
          </cell>
        </row>
        <row r="1573">
          <cell r="A1573" t="str">
            <v>PUYALLUPRESIDENTIALTRIPRCARTS</v>
          </cell>
          <cell r="B1573" t="str">
            <v>ONCALL</v>
          </cell>
          <cell r="C1573" t="str">
            <v>2111</v>
          </cell>
          <cell r="D1573" t="str">
            <v>RESIDENTIAL</v>
          </cell>
          <cell r="E1573" t="b">
            <v>1</v>
          </cell>
          <cell r="F1573" t="b">
            <v>0</v>
          </cell>
          <cell r="G1573" t="str">
            <v>PUYALLUP</v>
          </cell>
          <cell r="H1573">
            <v>3153</v>
          </cell>
          <cell r="I1573" t="str">
            <v>TRIPRCARTS</v>
          </cell>
          <cell r="J1573" t="str">
            <v>RESI TRIP CHARGE - CARTS</v>
          </cell>
          <cell r="K1573">
            <v>13.19</v>
          </cell>
          <cell r="L1573">
            <v>13.19</v>
          </cell>
        </row>
        <row r="1574">
          <cell r="A1574" t="str">
            <v>RUSTONRESIDENTIALTRIPRCARTS</v>
          </cell>
          <cell r="B1574" t="str">
            <v>ONCALL</v>
          </cell>
          <cell r="C1574" t="str">
            <v>2111</v>
          </cell>
          <cell r="D1574" t="str">
            <v>RESIDENTIAL</v>
          </cell>
          <cell r="E1574" t="b">
            <v>1</v>
          </cell>
          <cell r="F1574" t="b">
            <v>0</v>
          </cell>
          <cell r="G1574" t="str">
            <v>RUSTON</v>
          </cell>
          <cell r="H1574">
            <v>3153</v>
          </cell>
          <cell r="I1574" t="str">
            <v>TRIPRCARTS</v>
          </cell>
          <cell r="J1574" t="str">
            <v>RESI TRIP CHARGE - CARTS</v>
          </cell>
          <cell r="K1574">
            <v>10.97</v>
          </cell>
          <cell r="L1574">
            <v>10.97</v>
          </cell>
        </row>
        <row r="1575">
          <cell r="A1575" t="str">
            <v>SOUTH PRAIRIERESIDENTIALTRIPRCARTS</v>
          </cell>
          <cell r="B1575" t="str">
            <v>ONCALL</v>
          </cell>
          <cell r="C1575" t="str">
            <v>2111</v>
          </cell>
          <cell r="D1575" t="str">
            <v>RESIDENTIAL</v>
          </cell>
          <cell r="E1575" t="b">
            <v>1</v>
          </cell>
          <cell r="F1575" t="b">
            <v>0</v>
          </cell>
          <cell r="G1575" t="str">
            <v>SOUTH PRAIRIE</v>
          </cell>
          <cell r="H1575">
            <v>3153</v>
          </cell>
          <cell r="I1575" t="str">
            <v>TRIPRCARTS</v>
          </cell>
          <cell r="J1575" t="str">
            <v>RESI TRIP CHARGE - CARTS</v>
          </cell>
          <cell r="K1575">
            <v>8.99</v>
          </cell>
          <cell r="L1575">
            <v>8.99</v>
          </cell>
        </row>
        <row r="1576">
          <cell r="A1576" t="str">
            <v>SUMNERRESIDENTIALTRIPRCARTS</v>
          </cell>
          <cell r="B1576" t="str">
            <v>ONCALL</v>
          </cell>
          <cell r="C1576" t="str">
            <v>2111</v>
          </cell>
          <cell r="D1576" t="str">
            <v>RESIDENTIAL</v>
          </cell>
          <cell r="E1576" t="b">
            <v>1</v>
          </cell>
          <cell r="F1576" t="b">
            <v>0</v>
          </cell>
          <cell r="G1576" t="str">
            <v>SUMNER</v>
          </cell>
          <cell r="H1576">
            <v>3153</v>
          </cell>
          <cell r="I1576" t="str">
            <v>TRIPRCARTS</v>
          </cell>
          <cell r="J1576" t="str">
            <v>RESI TRIP CHARGE - CARTS</v>
          </cell>
          <cell r="K1576">
            <v>9.0299999999999994</v>
          </cell>
          <cell r="L1576">
            <v>9.0299999999999994</v>
          </cell>
        </row>
        <row r="1577">
          <cell r="A1577" t="str">
            <v>VASHONRESIDENTIALTRIPRCARTS</v>
          </cell>
          <cell r="B1577" t="str">
            <v>ONCALL</v>
          </cell>
          <cell r="C1577" t="str">
            <v>2111</v>
          </cell>
          <cell r="D1577" t="str">
            <v>RESIDENTIAL</v>
          </cell>
          <cell r="E1577" t="b">
            <v>1</v>
          </cell>
          <cell r="F1577" t="b">
            <v>0</v>
          </cell>
          <cell r="G1577" t="str">
            <v>VASHON</v>
          </cell>
          <cell r="H1577">
            <v>3153</v>
          </cell>
          <cell r="I1577" t="str">
            <v>TRIPRCARTS</v>
          </cell>
          <cell r="J1577" t="str">
            <v>RESI TRIP CHARGE - CARTS</v>
          </cell>
          <cell r="K1577">
            <v>3.98</v>
          </cell>
          <cell r="L1577">
            <v>3.98</v>
          </cell>
        </row>
        <row r="1578">
          <cell r="A1578" t="str">
            <v>BONNEY LAKERESIDENTIALTRIPYCARTS</v>
          </cell>
          <cell r="B1578" t="str">
            <v>ONCALL</v>
          </cell>
          <cell r="C1578" t="str">
            <v>2111</v>
          </cell>
          <cell r="D1578" t="str">
            <v>RESIDENTIAL</v>
          </cell>
          <cell r="E1578" t="b">
            <v>1</v>
          </cell>
          <cell r="F1578" t="b">
            <v>0</v>
          </cell>
          <cell r="G1578" t="str">
            <v>BONNEY LAKE</v>
          </cell>
          <cell r="H1578">
            <v>3481</v>
          </cell>
          <cell r="I1578" t="str">
            <v>TRIPYCARTS</v>
          </cell>
          <cell r="J1578" t="str">
            <v>YDW TRIP CHARGE - RESI</v>
          </cell>
          <cell r="K1578">
            <v>10.81</v>
          </cell>
          <cell r="L1578">
            <v>10.81</v>
          </cell>
        </row>
        <row r="1579">
          <cell r="A1579" t="str">
            <v>BUCKLEYRESIDENTIALTRIPYCARTS</v>
          </cell>
          <cell r="B1579" t="str">
            <v>ONCALL</v>
          </cell>
          <cell r="C1579" t="str">
            <v>2111</v>
          </cell>
          <cell r="D1579" t="str">
            <v>RESIDENTIAL</v>
          </cell>
          <cell r="E1579" t="b">
            <v>1</v>
          </cell>
          <cell r="F1579" t="b">
            <v>0</v>
          </cell>
          <cell r="G1579" t="str">
            <v>BUCKLEY</v>
          </cell>
          <cell r="H1579">
            <v>3481</v>
          </cell>
          <cell r="I1579" t="str">
            <v>TRIPYCARTS</v>
          </cell>
          <cell r="J1579" t="str">
            <v>YDW TRIP CHARGE - RESI</v>
          </cell>
          <cell r="K1579">
            <v>25</v>
          </cell>
          <cell r="L1579">
            <v>25</v>
          </cell>
        </row>
        <row r="1580">
          <cell r="A1580" t="str">
            <v>CARBONADORESIDENTIALTRIPYCARTS</v>
          </cell>
          <cell r="B1580" t="str">
            <v>ONCALL</v>
          </cell>
          <cell r="C1580" t="str">
            <v>2111</v>
          </cell>
          <cell r="D1580" t="str">
            <v>RESIDENTIAL</v>
          </cell>
          <cell r="E1580" t="b">
            <v>1</v>
          </cell>
          <cell r="F1580" t="b">
            <v>0</v>
          </cell>
          <cell r="G1580" t="str">
            <v>CARBONADO</v>
          </cell>
          <cell r="H1580">
            <v>3481</v>
          </cell>
          <cell r="I1580" t="str">
            <v>TRIPYCARTS</v>
          </cell>
          <cell r="J1580" t="str">
            <v>YDW TRIP CHARGE - RESI</v>
          </cell>
          <cell r="K1580">
            <v>9.07</v>
          </cell>
          <cell r="L1580">
            <v>9.07</v>
          </cell>
        </row>
        <row r="1581">
          <cell r="A1581" t="str">
            <v>M-EDGEWOODRESIDENTIALTRIPYCARTS</v>
          </cell>
          <cell r="B1581" t="str">
            <v>ONCALL</v>
          </cell>
          <cell r="C1581" t="str">
            <v>2111</v>
          </cell>
          <cell r="D1581" t="str">
            <v>RESIDENTIAL</v>
          </cell>
          <cell r="E1581" t="b">
            <v>1</v>
          </cell>
          <cell r="F1581" t="b">
            <v>0</v>
          </cell>
          <cell r="G1581" t="str">
            <v>M-EDGEWOOD</v>
          </cell>
          <cell r="H1581">
            <v>3481</v>
          </cell>
          <cell r="I1581" t="str">
            <v>TRIPYCARTS</v>
          </cell>
          <cell r="J1581" t="str">
            <v>YDW TRIP CHARGE - RESI</v>
          </cell>
          <cell r="K1581">
            <v>11.05</v>
          </cell>
          <cell r="L1581">
            <v>11.05</v>
          </cell>
        </row>
        <row r="1582">
          <cell r="A1582" t="str">
            <v>M-FIFERESIDENTIALTRIPYCARTS</v>
          </cell>
          <cell r="B1582" t="str">
            <v>ONCALL</v>
          </cell>
          <cell r="C1582" t="str">
            <v>2111</v>
          </cell>
          <cell r="D1582" t="str">
            <v>RESIDENTIAL</v>
          </cell>
          <cell r="E1582" t="b">
            <v>1</v>
          </cell>
          <cell r="F1582" t="b">
            <v>0</v>
          </cell>
          <cell r="G1582" t="str">
            <v>M-FIFE</v>
          </cell>
          <cell r="H1582">
            <v>3481</v>
          </cell>
          <cell r="I1582" t="str">
            <v>TRIPYCARTS</v>
          </cell>
          <cell r="J1582" t="str">
            <v>YDW TRIP CHARGE - RESI</v>
          </cell>
          <cell r="K1582">
            <v>11.05</v>
          </cell>
          <cell r="L1582">
            <v>11.05</v>
          </cell>
        </row>
        <row r="1583">
          <cell r="A1583" t="str">
            <v>MILTONRESIDENTIALTRIPYCARTS</v>
          </cell>
          <cell r="B1583" t="str">
            <v>ONCALL</v>
          </cell>
          <cell r="C1583" t="str">
            <v>2111</v>
          </cell>
          <cell r="D1583" t="str">
            <v>RESIDENTIAL</v>
          </cell>
          <cell r="E1583" t="b">
            <v>1</v>
          </cell>
          <cell r="F1583" t="b">
            <v>0</v>
          </cell>
          <cell r="G1583" t="str">
            <v>MILTON</v>
          </cell>
          <cell r="H1583">
            <v>3481</v>
          </cell>
          <cell r="I1583" t="str">
            <v>TRIPYCARTS</v>
          </cell>
          <cell r="J1583" t="str">
            <v>YDW TRIP CHARGE - RESI</v>
          </cell>
          <cell r="K1583">
            <v>8.33</v>
          </cell>
          <cell r="L1583">
            <v>8.33</v>
          </cell>
        </row>
        <row r="1584">
          <cell r="A1584" t="str">
            <v>MURREYSRESIDENTIALTRIPYCARTS</v>
          </cell>
          <cell r="B1584" t="str">
            <v>ONCALL</v>
          </cell>
          <cell r="C1584" t="str">
            <v>2111</v>
          </cell>
          <cell r="D1584" t="str">
            <v>RESIDENTIAL</v>
          </cell>
          <cell r="E1584" t="b">
            <v>1</v>
          </cell>
          <cell r="F1584" t="b">
            <v>0</v>
          </cell>
          <cell r="G1584" t="str">
            <v>MURREYS</v>
          </cell>
          <cell r="H1584">
            <v>3481</v>
          </cell>
          <cell r="I1584" t="str">
            <v>TRIPYCARTS</v>
          </cell>
          <cell r="J1584" t="str">
            <v>YDW TRIP CHARGE - RESI</v>
          </cell>
          <cell r="K1584">
            <v>11.05</v>
          </cell>
          <cell r="L1584">
            <v>11.05</v>
          </cell>
        </row>
        <row r="1585">
          <cell r="A1585" t="str">
            <v>ORTINGRESIDENTIALTRIPYCARTS</v>
          </cell>
          <cell r="B1585" t="str">
            <v>ONCALL</v>
          </cell>
          <cell r="C1585" t="str">
            <v>2111</v>
          </cell>
          <cell r="D1585" t="str">
            <v>RESIDENTIAL</v>
          </cell>
          <cell r="E1585" t="b">
            <v>1</v>
          </cell>
          <cell r="F1585" t="b">
            <v>0</v>
          </cell>
          <cell r="G1585" t="str">
            <v>ORTING</v>
          </cell>
          <cell r="H1585">
            <v>3481</v>
          </cell>
          <cell r="I1585" t="str">
            <v>TRIPYCARTS</v>
          </cell>
          <cell r="J1585" t="str">
            <v>YDW TRIP CHARGE - RESI</v>
          </cell>
          <cell r="K1585">
            <v>7.9</v>
          </cell>
          <cell r="L1585">
            <v>7.9</v>
          </cell>
        </row>
        <row r="1586">
          <cell r="A1586" t="str">
            <v>PUYALLUPRESIDENTIALTRIPYCARTS</v>
          </cell>
          <cell r="B1586" t="str">
            <v>ONCALL</v>
          </cell>
          <cell r="C1586" t="str">
            <v>2111</v>
          </cell>
          <cell r="D1586" t="str">
            <v>RESIDENTIAL</v>
          </cell>
          <cell r="E1586" t="b">
            <v>1</v>
          </cell>
          <cell r="F1586" t="b">
            <v>0</v>
          </cell>
          <cell r="G1586" t="str">
            <v>PUYALLUP</v>
          </cell>
          <cell r="H1586">
            <v>3481</v>
          </cell>
          <cell r="I1586" t="str">
            <v>TRIPYCARTS</v>
          </cell>
          <cell r="J1586" t="str">
            <v>YDW TRIP CHARGE - RESI</v>
          </cell>
          <cell r="K1586">
            <v>13.19</v>
          </cell>
          <cell r="L1586">
            <v>13.19</v>
          </cell>
        </row>
        <row r="1587">
          <cell r="A1587" t="str">
            <v>RUSTONRESIDENTIALTRIPYCARTS</v>
          </cell>
          <cell r="B1587" t="str">
            <v>ONCALL</v>
          </cell>
          <cell r="C1587" t="str">
            <v>2111</v>
          </cell>
          <cell r="D1587" t="str">
            <v>RESIDENTIAL</v>
          </cell>
          <cell r="E1587" t="b">
            <v>1</v>
          </cell>
          <cell r="F1587" t="b">
            <v>0</v>
          </cell>
          <cell r="G1587" t="str">
            <v>RUSTON</v>
          </cell>
          <cell r="H1587">
            <v>3481</v>
          </cell>
          <cell r="I1587" t="str">
            <v>TRIPYCARTS</v>
          </cell>
          <cell r="J1587" t="str">
            <v>YDW TRIP CHARGE - RESI</v>
          </cell>
          <cell r="K1587">
            <v>10.97</v>
          </cell>
          <cell r="L1587">
            <v>10.97</v>
          </cell>
        </row>
        <row r="1588">
          <cell r="A1588" t="str">
            <v>SOUTH PRAIRIERESIDENTIALTRIPYCARTS</v>
          </cell>
          <cell r="B1588" t="str">
            <v>ONCALL</v>
          </cell>
          <cell r="C1588" t="str">
            <v>2111</v>
          </cell>
          <cell r="D1588" t="str">
            <v>RESIDENTIAL</v>
          </cell>
          <cell r="E1588" t="b">
            <v>1</v>
          </cell>
          <cell r="F1588" t="b">
            <v>0</v>
          </cell>
          <cell r="G1588" t="str">
            <v>SOUTH PRAIRIE</v>
          </cell>
          <cell r="H1588">
            <v>3481</v>
          </cell>
          <cell r="I1588" t="str">
            <v>TRIPYCARTS</v>
          </cell>
          <cell r="J1588" t="str">
            <v>YDW TRIP CHARGE - RESI</v>
          </cell>
          <cell r="K1588">
            <v>8.99</v>
          </cell>
          <cell r="L1588">
            <v>8.99</v>
          </cell>
        </row>
        <row r="1589">
          <cell r="A1589" t="str">
            <v>SUMNERRESIDENTIALTRIPYCARTS</v>
          </cell>
          <cell r="B1589" t="str">
            <v>ONCALL</v>
          </cell>
          <cell r="C1589" t="str">
            <v>2111</v>
          </cell>
          <cell r="D1589" t="str">
            <v>RESIDENTIAL</v>
          </cell>
          <cell r="E1589" t="b">
            <v>1</v>
          </cell>
          <cell r="F1589" t="b">
            <v>0</v>
          </cell>
          <cell r="G1589" t="str">
            <v>SUMNER</v>
          </cell>
          <cell r="H1589">
            <v>3481</v>
          </cell>
          <cell r="I1589" t="str">
            <v>TRIPYCARTS</v>
          </cell>
          <cell r="J1589" t="str">
            <v>YDW TRIP CHARGE - RESI</v>
          </cell>
          <cell r="K1589">
            <v>9.0299999999999994</v>
          </cell>
          <cell r="L1589">
            <v>9.0299999999999994</v>
          </cell>
        </row>
        <row r="1590">
          <cell r="A1590" t="str">
            <v>RUSTONRESIDENTIALYDW65</v>
          </cell>
          <cell r="B1590" t="e">
            <v>#N/A</v>
          </cell>
          <cell r="C1590" t="str">
            <v>2111</v>
          </cell>
          <cell r="D1590" t="str">
            <v>RESIDENTIAL</v>
          </cell>
          <cell r="E1590" t="b">
            <v>0</v>
          </cell>
          <cell r="F1590" t="b">
            <v>0</v>
          </cell>
          <cell r="G1590" t="str">
            <v>RUSTON</v>
          </cell>
          <cell r="H1590">
            <v>3581</v>
          </cell>
          <cell r="I1590" t="str">
            <v>YDW65</v>
          </cell>
          <cell r="J1590" t="str">
            <v>65 GAL WKLY YW PROGRAM</v>
          </cell>
          <cell r="K1590">
            <v>35.880000000000003</v>
          </cell>
          <cell r="L1590">
            <v>35.880000000000003</v>
          </cell>
        </row>
        <row r="1591">
          <cell r="A1591" t="str">
            <v>BONNEY LAKERESIDENTIALYDW90</v>
          </cell>
          <cell r="B1591" t="str">
            <v>BI-MONTHLY SPLIT ODD</v>
          </cell>
          <cell r="C1591" t="str">
            <v>2111</v>
          </cell>
          <cell r="D1591" t="str">
            <v>RESIDENTIAL</v>
          </cell>
          <cell r="E1591" t="b">
            <v>0</v>
          </cell>
          <cell r="F1591" t="b">
            <v>0</v>
          </cell>
          <cell r="G1591" t="str">
            <v>BONNEY LAKE</v>
          </cell>
          <cell r="H1591">
            <v>3106</v>
          </cell>
          <cell r="I1591" t="str">
            <v>YDW90</v>
          </cell>
          <cell r="J1591" t="str">
            <v>90 GAL YARDWASTE</v>
          </cell>
          <cell r="K1591">
            <v>13.98</v>
          </cell>
          <cell r="L1591">
            <v>6.99</v>
          </cell>
        </row>
        <row r="1592">
          <cell r="A1592" t="str">
            <v>BUCKLEYRESIDENTIALYDW90</v>
          </cell>
          <cell r="B1592" t="str">
            <v>BI-MONTHLY SPLIT ODD</v>
          </cell>
          <cell r="C1592" t="str">
            <v>2111</v>
          </cell>
          <cell r="D1592" t="str">
            <v>RESIDENTIAL</v>
          </cell>
          <cell r="E1592" t="b">
            <v>0</v>
          </cell>
          <cell r="F1592" t="b">
            <v>0</v>
          </cell>
          <cell r="G1592" t="str">
            <v>BUCKLEY</v>
          </cell>
          <cell r="H1592">
            <v>3106</v>
          </cell>
          <cell r="I1592" t="str">
            <v>YDW90</v>
          </cell>
          <cell r="J1592" t="str">
            <v>90 GAL YARDWASTE</v>
          </cell>
          <cell r="K1592">
            <v>14.08</v>
          </cell>
          <cell r="L1592">
            <v>7.04</v>
          </cell>
        </row>
        <row r="1593">
          <cell r="A1593" t="str">
            <v>CARBONADORESIDENTIALYDW90</v>
          </cell>
          <cell r="B1593" t="str">
            <v>BI-MONTHLY SPLIT ODD</v>
          </cell>
          <cell r="C1593" t="str">
            <v>2111</v>
          </cell>
          <cell r="D1593" t="str">
            <v>RESIDENTIAL</v>
          </cell>
          <cell r="E1593" t="b">
            <v>0</v>
          </cell>
          <cell r="F1593" t="b">
            <v>0</v>
          </cell>
          <cell r="G1593" t="str">
            <v>CARBONADO</v>
          </cell>
          <cell r="H1593">
            <v>3106</v>
          </cell>
          <cell r="I1593" t="str">
            <v>YDW90</v>
          </cell>
          <cell r="J1593" t="str">
            <v>90 GAL YARDWASTE</v>
          </cell>
          <cell r="K1593">
            <v>6.66</v>
          </cell>
          <cell r="L1593">
            <v>3.33</v>
          </cell>
        </row>
        <row r="1594">
          <cell r="A1594" t="str">
            <v>M-EDGEWOODRESIDENTIALYDW90</v>
          </cell>
          <cell r="B1594" t="str">
            <v>BI-MONTHLY SPLIT ODD</v>
          </cell>
          <cell r="C1594" t="str">
            <v>2111</v>
          </cell>
          <cell r="D1594" t="str">
            <v>RESIDENTIAL</v>
          </cell>
          <cell r="E1594" t="b">
            <v>0</v>
          </cell>
          <cell r="F1594" t="b">
            <v>0</v>
          </cell>
          <cell r="G1594" t="str">
            <v>M-EDGEWOOD</v>
          </cell>
          <cell r="H1594">
            <v>3106</v>
          </cell>
          <cell r="I1594" t="str">
            <v>YDW90</v>
          </cell>
          <cell r="J1594" t="str">
            <v>90 GAL YARDWASTE</v>
          </cell>
          <cell r="K1594">
            <v>12.46</v>
          </cell>
          <cell r="L1594">
            <v>6.23</v>
          </cell>
        </row>
        <row r="1595">
          <cell r="A1595" t="str">
            <v>M-FIFERESIDENTIALYDW90</v>
          </cell>
          <cell r="B1595" t="str">
            <v>BI-MONTHLY SPLIT ODD</v>
          </cell>
          <cell r="C1595" t="str">
            <v>2111</v>
          </cell>
          <cell r="D1595" t="str">
            <v>RESIDENTIAL</v>
          </cell>
          <cell r="E1595" t="b">
            <v>0</v>
          </cell>
          <cell r="F1595" t="b">
            <v>0</v>
          </cell>
          <cell r="G1595" t="str">
            <v>M-FIFE</v>
          </cell>
          <cell r="H1595">
            <v>3106</v>
          </cell>
          <cell r="I1595" t="str">
            <v>YDW90</v>
          </cell>
          <cell r="J1595" t="str">
            <v>90 GAL YARDWASTE</v>
          </cell>
          <cell r="K1595">
            <v>12.46</v>
          </cell>
          <cell r="L1595">
            <v>6.23</v>
          </cell>
        </row>
        <row r="1596">
          <cell r="A1596" t="str">
            <v>MILTONRESIDENTIALYDW90</v>
          </cell>
          <cell r="B1596" t="str">
            <v>BI-MONTHLY SPLIT ODD</v>
          </cell>
          <cell r="C1596" t="str">
            <v>2111</v>
          </cell>
          <cell r="D1596" t="str">
            <v>RESIDENTIAL</v>
          </cell>
          <cell r="E1596" t="b">
            <v>0</v>
          </cell>
          <cell r="F1596" t="b">
            <v>0</v>
          </cell>
          <cell r="G1596" t="str">
            <v>MILTON</v>
          </cell>
          <cell r="H1596">
            <v>3106</v>
          </cell>
          <cell r="I1596" t="str">
            <v>YDW90</v>
          </cell>
          <cell r="J1596" t="str">
            <v>90 GAL YARDWASTE</v>
          </cell>
          <cell r="K1596">
            <v>11.84</v>
          </cell>
          <cell r="L1596">
            <v>5.92</v>
          </cell>
        </row>
        <row r="1597">
          <cell r="A1597" t="str">
            <v>MURREYSRESIDENTIALYDW90</v>
          </cell>
          <cell r="B1597" t="str">
            <v>BI-MONTHLY SPLIT ODD</v>
          </cell>
          <cell r="C1597" t="str">
            <v>2111</v>
          </cell>
          <cell r="D1597" t="str">
            <v>RESIDENTIAL</v>
          </cell>
          <cell r="E1597" t="b">
            <v>0</v>
          </cell>
          <cell r="F1597" t="b">
            <v>0</v>
          </cell>
          <cell r="G1597" t="str">
            <v>MURREYS</v>
          </cell>
          <cell r="H1597">
            <v>3106</v>
          </cell>
          <cell r="I1597" t="str">
            <v>YDW90</v>
          </cell>
          <cell r="J1597" t="str">
            <v>90 GAL YARDWASTE</v>
          </cell>
          <cell r="K1597">
            <v>12.46</v>
          </cell>
          <cell r="L1597">
            <v>6.23</v>
          </cell>
        </row>
        <row r="1598">
          <cell r="A1598" t="str">
            <v>ORTINGRESIDENTIALYDW90</v>
          </cell>
          <cell r="B1598" t="str">
            <v>BI-MONTHLY SPLIT ODD</v>
          </cell>
          <cell r="C1598" t="str">
            <v>2111</v>
          </cell>
          <cell r="D1598" t="str">
            <v>RESIDENTIAL</v>
          </cell>
          <cell r="E1598" t="b">
            <v>0</v>
          </cell>
          <cell r="F1598" t="b">
            <v>0</v>
          </cell>
          <cell r="G1598" t="str">
            <v>ORTING</v>
          </cell>
          <cell r="H1598">
            <v>3106</v>
          </cell>
          <cell r="I1598" t="str">
            <v>YDW90</v>
          </cell>
          <cell r="J1598" t="str">
            <v>90 GAL YARDWASTE</v>
          </cell>
          <cell r="K1598">
            <v>11.44</v>
          </cell>
          <cell r="L1598">
            <v>5.72</v>
          </cell>
        </row>
        <row r="1599">
          <cell r="A1599" t="str">
            <v>PUYALLUPRESIDENTIALYDW90</v>
          </cell>
          <cell r="B1599" t="str">
            <v>BI-MONTHLY SPLIT ODD</v>
          </cell>
          <cell r="C1599" t="str">
            <v>2111</v>
          </cell>
          <cell r="D1599" t="str">
            <v>RESIDENTIAL</v>
          </cell>
          <cell r="E1599" t="b">
            <v>0</v>
          </cell>
          <cell r="F1599" t="b">
            <v>0</v>
          </cell>
          <cell r="G1599" t="str">
            <v>PUYALLUP</v>
          </cell>
          <cell r="H1599">
            <v>3106</v>
          </cell>
          <cell r="I1599" t="str">
            <v>YDW90</v>
          </cell>
          <cell r="J1599" t="str">
            <v>90 GAL YARDWASTE</v>
          </cell>
          <cell r="K1599">
            <v>13.88</v>
          </cell>
          <cell r="L1599">
            <v>6.94</v>
          </cell>
        </row>
        <row r="1600">
          <cell r="A1600" t="str">
            <v>RUSTONRESIDENTIALYDW90</v>
          </cell>
          <cell r="B1600" t="str">
            <v>BI-MONTHLY SPLIT ODD</v>
          </cell>
          <cell r="C1600" t="str">
            <v>2111</v>
          </cell>
          <cell r="D1600" t="str">
            <v>RESIDENTIAL</v>
          </cell>
          <cell r="E1600" t="b">
            <v>0</v>
          </cell>
          <cell r="F1600" t="b">
            <v>0</v>
          </cell>
          <cell r="G1600" t="str">
            <v>RUSTON</v>
          </cell>
          <cell r="H1600">
            <v>3106</v>
          </cell>
          <cell r="I1600" t="str">
            <v>YDW90</v>
          </cell>
          <cell r="J1600" t="str">
            <v>90 GAL YARDWASTE</v>
          </cell>
          <cell r="K1600">
            <v>35.880000000000003</v>
          </cell>
          <cell r="L1600">
            <v>17.940000000000001</v>
          </cell>
        </row>
        <row r="1601">
          <cell r="A1601" t="str">
            <v>SOUTH PRAIRIERESIDENTIALYDW90</v>
          </cell>
          <cell r="B1601" t="str">
            <v>BI-MONTHLY SPLIT ODD</v>
          </cell>
          <cell r="C1601" t="str">
            <v>2111</v>
          </cell>
          <cell r="D1601" t="str">
            <v>RESIDENTIAL</v>
          </cell>
          <cell r="E1601" t="b">
            <v>0</v>
          </cell>
          <cell r="F1601" t="b">
            <v>0</v>
          </cell>
          <cell r="G1601" t="str">
            <v>SOUTH PRAIRIE</v>
          </cell>
          <cell r="H1601">
            <v>3106</v>
          </cell>
          <cell r="I1601" t="str">
            <v>YDW90</v>
          </cell>
          <cell r="J1601" t="str">
            <v>90 GAL YARDWASTE</v>
          </cell>
          <cell r="K1601">
            <v>12.4</v>
          </cell>
          <cell r="L1601">
            <v>6.2</v>
          </cell>
        </row>
        <row r="1602">
          <cell r="A1602" t="str">
            <v>SUMNERRESIDENTIALYDW90</v>
          </cell>
          <cell r="B1602" t="str">
            <v>BI-MONTHLY SPLIT ODD</v>
          </cell>
          <cell r="C1602" t="str">
            <v>2111</v>
          </cell>
          <cell r="D1602" t="str">
            <v>RESIDENTIAL</v>
          </cell>
          <cell r="E1602" t="b">
            <v>0</v>
          </cell>
          <cell r="F1602" t="b">
            <v>0</v>
          </cell>
          <cell r="G1602" t="str">
            <v>SUMNER</v>
          </cell>
          <cell r="H1602">
            <v>3106</v>
          </cell>
          <cell r="I1602" t="str">
            <v>YDW90</v>
          </cell>
          <cell r="J1602" t="str">
            <v>90 GAL YARDWASTE</v>
          </cell>
          <cell r="K1602">
            <v>13.32</v>
          </cell>
          <cell r="L1602">
            <v>6.66</v>
          </cell>
        </row>
        <row r="1603">
          <cell r="A1603" t="str">
            <v>PUYALLUPRESIDENTIALYDW90SNR</v>
          </cell>
          <cell r="B1603" t="str">
            <v>BI-MONTHLY SPLIT EVEN</v>
          </cell>
          <cell r="C1603" t="str">
            <v>2111</v>
          </cell>
          <cell r="D1603" t="str">
            <v>RESIDENTIAL</v>
          </cell>
          <cell r="E1603" t="b">
            <v>0</v>
          </cell>
          <cell r="F1603" t="b">
            <v>0</v>
          </cell>
          <cell r="G1603" t="str">
            <v>PUYALLUP</v>
          </cell>
          <cell r="H1603">
            <v>3291</v>
          </cell>
          <cell r="I1603" t="str">
            <v>YDW90SNR</v>
          </cell>
          <cell r="J1603" t="str">
            <v>SENIOR YARD WASTE</v>
          </cell>
          <cell r="K1603">
            <v>12.96</v>
          </cell>
          <cell r="L1603">
            <v>6.48</v>
          </cell>
        </row>
        <row r="1604">
          <cell r="A1604" t="str">
            <v>BONNEY LAKERESIDENTIALYDWDEL</v>
          </cell>
          <cell r="B1604" t="str">
            <v>ONCALL</v>
          </cell>
          <cell r="C1604" t="str">
            <v>2111</v>
          </cell>
          <cell r="D1604" t="str">
            <v>RESIDENTIAL</v>
          </cell>
          <cell r="E1604" t="b">
            <v>1</v>
          </cell>
          <cell r="F1604" t="b">
            <v>0</v>
          </cell>
          <cell r="G1604" t="str">
            <v>BONNEY LAKE</v>
          </cell>
          <cell r="H1604">
            <v>3300</v>
          </cell>
          <cell r="I1604" t="str">
            <v>YDWDEL</v>
          </cell>
          <cell r="J1604" t="str">
            <v>YARDWASTE REDELIVERY</v>
          </cell>
          <cell r="K1604">
            <v>21.89</v>
          </cell>
          <cell r="L1604">
            <v>21.89</v>
          </cell>
        </row>
        <row r="1605">
          <cell r="A1605" t="str">
            <v>BUCKLEYRESIDENTIALYDWDEL</v>
          </cell>
          <cell r="B1605" t="str">
            <v>ONCALL</v>
          </cell>
          <cell r="C1605" t="str">
            <v>2111</v>
          </cell>
          <cell r="D1605" t="str">
            <v>RESIDENTIAL</v>
          </cell>
          <cell r="E1605" t="b">
            <v>1</v>
          </cell>
          <cell r="F1605" t="b">
            <v>0</v>
          </cell>
          <cell r="G1605" t="str">
            <v>BUCKLEY</v>
          </cell>
          <cell r="H1605">
            <v>3300</v>
          </cell>
          <cell r="I1605" t="str">
            <v>YDWDEL</v>
          </cell>
          <cell r="J1605" t="str">
            <v>YARDWASTE REDELIVERY</v>
          </cell>
          <cell r="K1605">
            <v>25</v>
          </cell>
          <cell r="L1605">
            <v>25</v>
          </cell>
        </row>
        <row r="1606">
          <cell r="A1606" t="str">
            <v>CARBONADORESIDENTIALYDWDEL</v>
          </cell>
          <cell r="B1606" t="str">
            <v>ONCALL</v>
          </cell>
          <cell r="C1606" t="str">
            <v>2111</v>
          </cell>
          <cell r="D1606" t="str">
            <v>RESIDENTIAL</v>
          </cell>
          <cell r="E1606" t="b">
            <v>1</v>
          </cell>
          <cell r="F1606" t="b">
            <v>0</v>
          </cell>
          <cell r="G1606" t="str">
            <v>CARBONADO</v>
          </cell>
          <cell r="H1606">
            <v>3300</v>
          </cell>
          <cell r="I1606" t="str">
            <v>YDWDEL</v>
          </cell>
          <cell r="J1606" t="str">
            <v>YARDWASTE REDELIVERY</v>
          </cell>
          <cell r="K1606">
            <v>22.18</v>
          </cell>
          <cell r="L1606">
            <v>22.18</v>
          </cell>
        </row>
        <row r="1607">
          <cell r="A1607" t="str">
            <v>M-EDGEWOODRESIDENTIALYDWDEL</v>
          </cell>
          <cell r="B1607" t="str">
            <v>ONCALL</v>
          </cell>
          <cell r="C1607" t="str">
            <v>2111</v>
          </cell>
          <cell r="D1607" t="str">
            <v>RESIDENTIAL</v>
          </cell>
          <cell r="E1607" t="b">
            <v>1</v>
          </cell>
          <cell r="F1607" t="b">
            <v>0</v>
          </cell>
          <cell r="G1607" t="str">
            <v>M-EDGEWOOD</v>
          </cell>
          <cell r="H1607">
            <v>3300</v>
          </cell>
          <cell r="I1607" t="str">
            <v>YDWDEL</v>
          </cell>
          <cell r="J1607" t="str">
            <v>YARDWASTE REDELIVERY</v>
          </cell>
          <cell r="K1607">
            <v>22.64</v>
          </cell>
          <cell r="L1607">
            <v>22.64</v>
          </cell>
        </row>
        <row r="1608">
          <cell r="A1608" t="str">
            <v>M-FIFERESIDENTIALYDWDEL</v>
          </cell>
          <cell r="B1608" t="str">
            <v>ONCALL</v>
          </cell>
          <cell r="C1608" t="str">
            <v>2111</v>
          </cell>
          <cell r="D1608" t="str">
            <v>RESIDENTIAL</v>
          </cell>
          <cell r="E1608" t="b">
            <v>1</v>
          </cell>
          <cell r="F1608" t="b">
            <v>0</v>
          </cell>
          <cell r="G1608" t="str">
            <v>M-FIFE</v>
          </cell>
          <cell r="H1608">
            <v>3300</v>
          </cell>
          <cell r="I1608" t="str">
            <v>YDWDEL</v>
          </cell>
          <cell r="J1608" t="str">
            <v>YARDWASTE REDELIVERY</v>
          </cell>
          <cell r="K1608">
            <v>22.64</v>
          </cell>
          <cell r="L1608">
            <v>22.64</v>
          </cell>
        </row>
        <row r="1609">
          <cell r="A1609" t="str">
            <v>MILTONRESIDENTIALYDWDEL</v>
          </cell>
          <cell r="B1609" t="str">
            <v>ONCALL</v>
          </cell>
          <cell r="C1609" t="str">
            <v>2111</v>
          </cell>
          <cell r="D1609" t="str">
            <v>RESIDENTIAL</v>
          </cell>
          <cell r="E1609" t="b">
            <v>1</v>
          </cell>
          <cell r="F1609" t="b">
            <v>0</v>
          </cell>
          <cell r="G1609" t="str">
            <v>MILTON</v>
          </cell>
          <cell r="H1609">
            <v>3300</v>
          </cell>
          <cell r="I1609" t="str">
            <v>YDWDEL</v>
          </cell>
          <cell r="J1609" t="str">
            <v>YARDWASTE REDELIVERY</v>
          </cell>
          <cell r="K1609">
            <v>27.72</v>
          </cell>
          <cell r="L1609">
            <v>27.72</v>
          </cell>
        </row>
        <row r="1610">
          <cell r="A1610" t="str">
            <v>MURREYSRESIDENTIALYDWDEL</v>
          </cell>
          <cell r="B1610" t="str">
            <v>ONCALL</v>
          </cell>
          <cell r="C1610" t="str">
            <v>2111</v>
          </cell>
          <cell r="D1610" t="str">
            <v>RESIDENTIAL</v>
          </cell>
          <cell r="E1610" t="b">
            <v>1</v>
          </cell>
          <cell r="F1610" t="b">
            <v>0</v>
          </cell>
          <cell r="G1610" t="str">
            <v>MURREYS</v>
          </cell>
          <cell r="H1610">
            <v>3300</v>
          </cell>
          <cell r="I1610" t="str">
            <v>YDWDEL</v>
          </cell>
          <cell r="J1610" t="str">
            <v>YARDWASTE REDELIVERY</v>
          </cell>
          <cell r="K1610">
            <v>22.64</v>
          </cell>
          <cell r="L1610">
            <v>22.64</v>
          </cell>
        </row>
        <row r="1611">
          <cell r="A1611" t="str">
            <v>ORTINGRESIDENTIALYDWDEL</v>
          </cell>
          <cell r="B1611" t="str">
            <v>ONCALL</v>
          </cell>
          <cell r="C1611" t="str">
            <v>2111</v>
          </cell>
          <cell r="D1611" t="str">
            <v>RESIDENTIAL</v>
          </cell>
          <cell r="E1611" t="b">
            <v>1</v>
          </cell>
          <cell r="F1611" t="b">
            <v>0</v>
          </cell>
          <cell r="G1611" t="str">
            <v>ORTING</v>
          </cell>
          <cell r="H1611">
            <v>3300</v>
          </cell>
          <cell r="I1611" t="str">
            <v>YDWDEL</v>
          </cell>
          <cell r="J1611" t="str">
            <v>YARDWASTE REDELIVERY</v>
          </cell>
          <cell r="K1611">
            <v>17.059999999999999</v>
          </cell>
          <cell r="L1611">
            <v>17.059999999999999</v>
          </cell>
        </row>
        <row r="1612">
          <cell r="A1612" t="str">
            <v>PUYALLUPRESIDENTIALYDWDEL</v>
          </cell>
          <cell r="B1612" t="str">
            <v>ONCALL</v>
          </cell>
          <cell r="C1612" t="str">
            <v>2111</v>
          </cell>
          <cell r="D1612" t="str">
            <v>RESIDENTIAL</v>
          </cell>
          <cell r="E1612" t="b">
            <v>1</v>
          </cell>
          <cell r="F1612" t="b">
            <v>0</v>
          </cell>
          <cell r="G1612" t="str">
            <v>PUYALLUP</v>
          </cell>
          <cell r="H1612">
            <v>3300</v>
          </cell>
          <cell r="I1612" t="str">
            <v>YDWDEL</v>
          </cell>
          <cell r="J1612" t="str">
            <v>YARDWASTE REDELIVERY</v>
          </cell>
          <cell r="K1612">
            <v>15.73</v>
          </cell>
          <cell r="L1612">
            <v>15.73</v>
          </cell>
        </row>
        <row r="1613">
          <cell r="A1613" t="str">
            <v>RUSTONRESIDENTIALYDWDEL</v>
          </cell>
          <cell r="B1613" t="str">
            <v>ONCALL</v>
          </cell>
          <cell r="C1613" t="str">
            <v>2111</v>
          </cell>
          <cell r="D1613" t="str">
            <v>RESIDENTIAL</v>
          </cell>
          <cell r="E1613" t="b">
            <v>1</v>
          </cell>
          <cell r="F1613" t="b">
            <v>0</v>
          </cell>
          <cell r="G1613" t="str">
            <v>RUSTON</v>
          </cell>
          <cell r="H1613">
            <v>3300</v>
          </cell>
          <cell r="I1613" t="str">
            <v>YDWDEL</v>
          </cell>
          <cell r="J1613" t="str">
            <v>YARDWASTE REDELIVERY</v>
          </cell>
          <cell r="K1613">
            <v>25</v>
          </cell>
          <cell r="L1613">
            <v>25</v>
          </cell>
        </row>
        <row r="1614">
          <cell r="A1614" t="str">
            <v>SOUTH PRAIRIERESIDENTIALYDWDEL</v>
          </cell>
          <cell r="B1614" t="str">
            <v>ONCALL</v>
          </cell>
          <cell r="C1614" t="str">
            <v>2111</v>
          </cell>
          <cell r="D1614" t="str">
            <v>RESIDENTIAL</v>
          </cell>
          <cell r="E1614" t="b">
            <v>1</v>
          </cell>
          <cell r="F1614" t="b">
            <v>0</v>
          </cell>
          <cell r="G1614" t="str">
            <v>SOUTH PRAIRIE</v>
          </cell>
          <cell r="H1614">
            <v>3300</v>
          </cell>
          <cell r="I1614" t="str">
            <v>YDWDEL</v>
          </cell>
          <cell r="J1614" t="str">
            <v>YARDWASTE REDELIVERY</v>
          </cell>
          <cell r="K1614">
            <v>22.53</v>
          </cell>
          <cell r="L1614">
            <v>22.53</v>
          </cell>
        </row>
        <row r="1615">
          <cell r="A1615" t="str">
            <v>SUMNERRESIDENTIALYDWDEL</v>
          </cell>
          <cell r="B1615" t="str">
            <v>ONCALL</v>
          </cell>
          <cell r="C1615" t="str">
            <v>2111</v>
          </cell>
          <cell r="D1615" t="str">
            <v>RESIDENTIAL</v>
          </cell>
          <cell r="E1615" t="b">
            <v>1</v>
          </cell>
          <cell r="F1615" t="b">
            <v>0</v>
          </cell>
          <cell r="G1615" t="str">
            <v>SUMNER</v>
          </cell>
          <cell r="H1615">
            <v>3300</v>
          </cell>
          <cell r="I1615" t="str">
            <v>YDWDEL</v>
          </cell>
          <cell r="J1615" t="str">
            <v>YARDWASTE REDELIVERY</v>
          </cell>
          <cell r="K1615">
            <v>25</v>
          </cell>
          <cell r="L1615">
            <v>25</v>
          </cell>
        </row>
        <row r="1616">
          <cell r="A1616" t="str">
            <v>BONNEY LAKERESIDENTIALYDWEX</v>
          </cell>
          <cell r="B1616" t="str">
            <v>ONCALL</v>
          </cell>
          <cell r="C1616" t="str">
            <v>2111</v>
          </cell>
          <cell r="D1616" t="str">
            <v>RESIDENTIAL</v>
          </cell>
          <cell r="E1616" t="b">
            <v>1</v>
          </cell>
          <cell r="F1616" t="b">
            <v>0</v>
          </cell>
          <cell r="G1616" t="str">
            <v>BONNEY LAKE</v>
          </cell>
          <cell r="H1616">
            <v>3267</v>
          </cell>
          <cell r="I1616" t="str">
            <v>YDWEX</v>
          </cell>
          <cell r="J1616" t="str">
            <v>EXTRA YARD WASTE</v>
          </cell>
          <cell r="K1616">
            <v>1.63</v>
          </cell>
          <cell r="L1616">
            <v>1.63</v>
          </cell>
        </row>
        <row r="1617">
          <cell r="A1617" t="str">
            <v>BUCKLEYRESIDENTIALYDWEX</v>
          </cell>
          <cell r="B1617" t="str">
            <v>ONCALL</v>
          </cell>
          <cell r="C1617" t="str">
            <v>2111</v>
          </cell>
          <cell r="D1617" t="str">
            <v>RESIDENTIAL</v>
          </cell>
          <cell r="E1617" t="b">
            <v>1</v>
          </cell>
          <cell r="F1617" t="b">
            <v>0</v>
          </cell>
          <cell r="G1617" t="str">
            <v>BUCKLEY</v>
          </cell>
          <cell r="H1617">
            <v>3267</v>
          </cell>
          <cell r="I1617" t="str">
            <v>YDWEX</v>
          </cell>
          <cell r="J1617" t="str">
            <v>EXTRA YARD WASTE</v>
          </cell>
          <cell r="K1617">
            <v>2.74</v>
          </cell>
          <cell r="L1617">
            <v>2.74</v>
          </cell>
        </row>
        <row r="1618">
          <cell r="A1618" t="str">
            <v>M-EDGEWOODRESIDENTIALYDWEX</v>
          </cell>
          <cell r="B1618" t="str">
            <v>ONCALL</v>
          </cell>
          <cell r="C1618" t="str">
            <v>2111</v>
          </cell>
          <cell r="D1618" t="str">
            <v>RESIDENTIAL</v>
          </cell>
          <cell r="E1618" t="b">
            <v>1</v>
          </cell>
          <cell r="F1618" t="b">
            <v>0</v>
          </cell>
          <cell r="G1618" t="str">
            <v>M-EDGEWOOD</v>
          </cell>
          <cell r="H1618">
            <v>3267</v>
          </cell>
          <cell r="I1618" t="str">
            <v>YDWEX</v>
          </cell>
          <cell r="J1618" t="str">
            <v>EXTRA YARD WASTE</v>
          </cell>
          <cell r="K1618">
            <v>2.0099999999999998</v>
          </cell>
          <cell r="L1618">
            <v>2.0099999999999998</v>
          </cell>
        </row>
        <row r="1619">
          <cell r="A1619" t="str">
            <v>M-FIFERESIDENTIALYDWEX</v>
          </cell>
          <cell r="B1619" t="str">
            <v>ONCALL</v>
          </cell>
          <cell r="C1619" t="str">
            <v>2111</v>
          </cell>
          <cell r="D1619" t="str">
            <v>RESIDENTIAL</v>
          </cell>
          <cell r="E1619" t="b">
            <v>1</v>
          </cell>
          <cell r="F1619" t="b">
            <v>0</v>
          </cell>
          <cell r="G1619" t="str">
            <v>M-FIFE</v>
          </cell>
          <cell r="H1619">
            <v>3267</v>
          </cell>
          <cell r="I1619" t="str">
            <v>YDWEX</v>
          </cell>
          <cell r="J1619" t="str">
            <v>EXTRA YARD WASTE</v>
          </cell>
          <cell r="K1619">
            <v>2.0099999999999998</v>
          </cell>
          <cell r="L1619">
            <v>2.0099999999999998</v>
          </cell>
        </row>
        <row r="1620">
          <cell r="A1620" t="str">
            <v>MURREYSRESIDENTIALYDWEX</v>
          </cell>
          <cell r="B1620" t="str">
            <v>ONCALL</v>
          </cell>
          <cell r="C1620" t="str">
            <v>2111</v>
          </cell>
          <cell r="D1620" t="str">
            <v>RESIDENTIAL</v>
          </cell>
          <cell r="E1620" t="b">
            <v>1</v>
          </cell>
          <cell r="F1620" t="b">
            <v>0</v>
          </cell>
          <cell r="G1620" t="str">
            <v>MURREYS</v>
          </cell>
          <cell r="H1620">
            <v>3267</v>
          </cell>
          <cell r="I1620" t="str">
            <v>YDWEX</v>
          </cell>
          <cell r="J1620" t="str">
            <v>EXTRA YARD WASTE</v>
          </cell>
          <cell r="K1620">
            <v>2.0099999999999998</v>
          </cell>
          <cell r="L1620">
            <v>2.0099999999999998</v>
          </cell>
        </row>
        <row r="1621">
          <cell r="A1621" t="str">
            <v>ORTINGRESIDENTIALYDWEX</v>
          </cell>
          <cell r="B1621" t="str">
            <v>ONCALL</v>
          </cell>
          <cell r="C1621" t="str">
            <v>2111</v>
          </cell>
          <cell r="D1621" t="str">
            <v>RESIDENTIAL</v>
          </cell>
          <cell r="E1621" t="b">
            <v>1</v>
          </cell>
          <cell r="F1621" t="b">
            <v>0</v>
          </cell>
          <cell r="G1621" t="str">
            <v>ORTING</v>
          </cell>
          <cell r="H1621">
            <v>3267</v>
          </cell>
          <cell r="I1621" t="str">
            <v>YDWEX</v>
          </cell>
          <cell r="J1621" t="str">
            <v>EXTRA YARD WASTE</v>
          </cell>
          <cell r="K1621">
            <v>2.74</v>
          </cell>
          <cell r="L1621">
            <v>2.74</v>
          </cell>
        </row>
        <row r="1622">
          <cell r="A1622" t="str">
            <v>PUYALLUPRESIDENTIALYDWEX</v>
          </cell>
          <cell r="B1622" t="str">
            <v>ONCALL</v>
          </cell>
          <cell r="C1622" t="str">
            <v>2111</v>
          </cell>
          <cell r="D1622" t="str">
            <v>RESIDENTIAL</v>
          </cell>
          <cell r="E1622" t="b">
            <v>1</v>
          </cell>
          <cell r="F1622" t="b">
            <v>0</v>
          </cell>
          <cell r="G1622" t="str">
            <v>PUYALLUP</v>
          </cell>
          <cell r="H1622">
            <v>3267</v>
          </cell>
          <cell r="I1622" t="str">
            <v>YDWEX</v>
          </cell>
          <cell r="J1622" t="str">
            <v>EXTRA YARD WASTE</v>
          </cell>
          <cell r="K1622">
            <v>1.57</v>
          </cell>
          <cell r="L1622">
            <v>1.57</v>
          </cell>
        </row>
        <row r="1623">
          <cell r="A1623" t="str">
            <v>RUSTONRESIDENTIALYDWEX</v>
          </cell>
          <cell r="B1623" t="str">
            <v>ONCALL</v>
          </cell>
          <cell r="C1623" t="str">
            <v>2111</v>
          </cell>
          <cell r="D1623" t="str">
            <v>RESIDENTIAL</v>
          </cell>
          <cell r="E1623" t="b">
            <v>1</v>
          </cell>
          <cell r="F1623" t="b">
            <v>0</v>
          </cell>
          <cell r="G1623" t="str">
            <v>RUSTON</v>
          </cell>
          <cell r="H1623">
            <v>3267</v>
          </cell>
          <cell r="I1623" t="str">
            <v>YDWEX</v>
          </cell>
          <cell r="J1623" t="str">
            <v>EXTRA YARD WASTE</v>
          </cell>
          <cell r="K1623">
            <v>5.76</v>
          </cell>
          <cell r="L1623">
            <v>5.76</v>
          </cell>
        </row>
        <row r="1624">
          <cell r="A1624" t="str">
            <v>SOUTH PRAIRIERESIDENTIALYDWEX</v>
          </cell>
          <cell r="B1624" t="str">
            <v>ONCALL</v>
          </cell>
          <cell r="C1624" t="str">
            <v>2111</v>
          </cell>
          <cell r="D1624" t="str">
            <v>RESIDENTIAL</v>
          </cell>
          <cell r="E1624" t="b">
            <v>1</v>
          </cell>
          <cell r="F1624" t="b">
            <v>0</v>
          </cell>
          <cell r="G1624" t="str">
            <v>SOUTH PRAIRIE</v>
          </cell>
          <cell r="H1624">
            <v>3267</v>
          </cell>
          <cell r="I1624" t="str">
            <v>YDWEX</v>
          </cell>
          <cell r="J1624" t="str">
            <v>EXTRA YARD WASTE</v>
          </cell>
          <cell r="K1624">
            <v>2</v>
          </cell>
          <cell r="L1624">
            <v>2</v>
          </cell>
        </row>
      </sheetData>
      <sheetData sheetId="25"/>
      <sheetData sheetId="26"/>
      <sheetData sheetId="2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32 IS (C)"/>
      <sheetName val="2140 IS (C)"/>
      <sheetName val="Murrey's IS (C)"/>
      <sheetName val="Consolidated IS (C)"/>
      <sheetName val="Vashon LOB (C)"/>
      <sheetName val="Vashon Rate Sheet"/>
      <sheetName val="Vashon Price Out"/>
      <sheetName val="Allocators (C)"/>
      <sheetName val="LG BRG - Vashon Total"/>
      <sheetName val="LG BRG - Vashon MSW"/>
      <sheetName val="LG BRG -Vashon Recycle"/>
      <sheetName val="Vashon Fuel Expense (C)"/>
      <sheetName val="Vashon Fuel Gallons - Proforma"/>
      <sheetName val="Vashon Fuel Gallons-Test Period"/>
      <sheetName val="Restating ADJ's (C)"/>
      <sheetName val="Pro forma Adj (C)"/>
      <sheetName val="Vashon Depreciation"/>
      <sheetName val="Murrey's LOB (C)"/>
      <sheetName val="Deprec (C)"/>
      <sheetName val="Payroll Summary (C)"/>
      <sheetName val="Payroll Schedule (C)"/>
      <sheetName val="2140-2111 70020 Rcls (C)"/>
      <sheetName val="Fuel Adj (C)"/>
      <sheetName val="Fuel Price Increase Calc (C)"/>
      <sheetName val="LG BRG - Murrey's Total"/>
      <sheetName val="LG BRG - Murrey's MSW"/>
      <sheetName val="LG BRG -Murrey's Recycle"/>
      <sheetName val="LG BRG - Murrey's YW"/>
      <sheetName val="LG BRG - Murrey's Med Waste"/>
      <sheetName val="Murrey's Price Out"/>
      <sheetName val="Customers UTC-City %"/>
      <sheetName val="Murrey's Rate Sheet"/>
      <sheetName val="2111_BS_05.31.22 (C)"/>
      <sheetName val="2111_BS_05.31.21 (C)"/>
      <sheetName val="2132_BS_05.31.22 (C)"/>
      <sheetName val="2132_BS_05.31.21 (C)"/>
      <sheetName val="2140_BS_05.31.22 (C)"/>
      <sheetName val="Interject_LastPulledValues"/>
      <sheetName val="2111 Region OH (C)"/>
      <sheetName val="2132 Region OH (C)"/>
      <sheetName val="2140 Region OH"/>
      <sheetName val="Corp-OH (C)"/>
      <sheetName val="Corp IS-BS -2022"/>
      <sheetName val="DVP-DivCon Allocs  (C)"/>
      <sheetName val="Disposal"/>
      <sheetName val="41201 JE Query (C)"/>
      <sheetName val="43001 JE Query (C)"/>
      <sheetName val=" 57148 JE Query (C)"/>
      <sheetName val="70195 JE Query (C)"/>
      <sheetName val="Container TV JE Query (C)"/>
      <sheetName val="52xxx TV JE Query (C)"/>
      <sheetName val="70255 JE Query (C)"/>
      <sheetName val="70235 JE Query (C)"/>
      <sheetName val="91010 JE Query (C)"/>
    </sheetNames>
    <sheetDataSet>
      <sheetData sheetId="0" refreshError="1"/>
      <sheetData sheetId="1" refreshError="1"/>
      <sheetData sheetId="2" refreshError="1"/>
      <sheetData sheetId="3">
        <row r="53">
          <cell r="N53">
            <v>63105.987276235021</v>
          </cell>
        </row>
        <row r="189">
          <cell r="K189">
            <v>379196.24</v>
          </cell>
        </row>
        <row r="190">
          <cell r="K190">
            <v>27603.19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>
        <row r="7">
          <cell r="J7">
            <v>121842.34470476373</v>
          </cell>
        </row>
        <row r="21">
          <cell r="J21">
            <v>1231668.9147705042</v>
          </cell>
        </row>
        <row r="22">
          <cell r="K22">
            <v>0.11420026733274335</v>
          </cell>
        </row>
      </sheetData>
      <sheetData sheetId="10">
        <row r="7">
          <cell r="J7">
            <v>-9095.1878782478452</v>
          </cell>
        </row>
        <row r="21">
          <cell r="J21">
            <v>248422.11742863065</v>
          </cell>
        </row>
        <row r="22">
          <cell r="K22">
            <v>-3.6553430728963554E-2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1.Epicor"/>
      <sheetName val="Epicor"/>
      <sheetName val="2111_IS210"/>
      <sheetName val="2132_IS210"/>
      <sheetName val="2140_IS210"/>
      <sheetName val="Revenue"/>
      <sheetName val="Customers"/>
      <sheetName val="Murrey's American G-9 Reg."/>
      <sheetName val="DM-BL"/>
      <sheetName val="DM-BUCK"/>
      <sheetName val="DM-CAR"/>
      <sheetName val="DM-MIL"/>
      <sheetName val="DM-ORT"/>
      <sheetName val="DM-PIER"/>
      <sheetName val="DM-PUY"/>
      <sheetName val="DM-SP"/>
      <sheetName val="DM-SUM"/>
      <sheetName val="RUSTON"/>
      <sheetName val="Vashon"/>
      <sheetName val="MM001 Data"/>
      <sheetName val="PI default pricing 7.1.18"/>
      <sheetName val="PI Default Pricing 1.1.19"/>
      <sheetName val="PI default Pricing 3.1.19"/>
      <sheetName val="PI Default Pricing 3.1.20"/>
      <sheetName val="Sheet2"/>
      <sheetName val="PI Default Pricing 3.1.21"/>
      <sheetName val="PI Default Pricing 8.1.21"/>
      <sheetName val="Default Pricing 9.1.21"/>
      <sheetName val="2160 Pivot"/>
      <sheetName val="Manual Revenue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RESIDENTIAL GARBAGE</v>
          </cell>
        </row>
      </sheetData>
      <sheetData sheetId="8">
        <row r="10">
          <cell r="B10" t="str">
            <v>10RW1N</v>
          </cell>
        </row>
      </sheetData>
      <sheetData sheetId="9">
        <row r="10">
          <cell r="B10" t="str">
            <v>10RW1N</v>
          </cell>
        </row>
      </sheetData>
      <sheetData sheetId="10">
        <row r="10">
          <cell r="B10" t="str">
            <v>10RW1N</v>
          </cell>
        </row>
      </sheetData>
      <sheetData sheetId="11">
        <row r="10">
          <cell r="B10" t="str">
            <v>10RW1N</v>
          </cell>
        </row>
      </sheetData>
      <sheetData sheetId="12">
        <row r="10">
          <cell r="B10" t="str">
            <v>10RW1N</v>
          </cell>
        </row>
      </sheetData>
      <sheetData sheetId="13">
        <row r="10">
          <cell r="A10" t="str">
            <v>DM-PIERResidential10RW1N</v>
          </cell>
        </row>
      </sheetData>
      <sheetData sheetId="14">
        <row r="10">
          <cell r="B10" t="str">
            <v>10RW1N</v>
          </cell>
        </row>
      </sheetData>
      <sheetData sheetId="15">
        <row r="10">
          <cell r="B10" t="str">
            <v>10RW1N</v>
          </cell>
        </row>
      </sheetData>
      <sheetData sheetId="16">
        <row r="10">
          <cell r="B10" t="str">
            <v>10RW1N</v>
          </cell>
        </row>
      </sheetData>
      <sheetData sheetId="17">
        <row r="10">
          <cell r="A10" t="str">
            <v>RUSTONResidential10RW1N</v>
          </cell>
        </row>
      </sheetData>
      <sheetData sheetId="18">
        <row r="10">
          <cell r="A10" t="str">
            <v>VashonResidential10RW1N</v>
          </cell>
          <cell r="B10" t="str">
            <v>10RW1N</v>
          </cell>
          <cell r="C10" t="str">
            <v>1-10 GAL CART WKLY NON REC</v>
          </cell>
          <cell r="D10">
            <v>0</v>
          </cell>
          <cell r="E10">
            <v>0</v>
          </cell>
          <cell r="F10"/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VashonResidential10RW1R</v>
          </cell>
          <cell r="B11" t="str">
            <v>10RW1R</v>
          </cell>
          <cell r="C11" t="str">
            <v>1-10 GAL CART WKLY W/ REC</v>
          </cell>
          <cell r="D11">
            <v>0</v>
          </cell>
          <cell r="E11">
            <v>0</v>
          </cell>
          <cell r="F11"/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A12" t="str">
            <v>VashonResidential20RM1</v>
          </cell>
          <cell r="B12" t="str">
            <v>20RM1</v>
          </cell>
          <cell r="C12" t="str">
            <v>1-20 GAL CART MONTHLY</v>
          </cell>
          <cell r="D12">
            <v>0</v>
          </cell>
          <cell r="E12">
            <v>0</v>
          </cell>
          <cell r="F12"/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 t="str">
            <v>VashonResidential20RW1</v>
          </cell>
          <cell r="B13" t="str">
            <v>20RW1</v>
          </cell>
          <cell r="C13" t="str">
            <v>1-20 GAL CAN WEEKLY</v>
          </cell>
          <cell r="D13">
            <v>13.4</v>
          </cell>
          <cell r="E13">
            <v>13.4</v>
          </cell>
          <cell r="F13"/>
          <cell r="G13">
            <v>2231.1</v>
          </cell>
          <cell r="H13">
            <v>2252.875</v>
          </cell>
          <cell r="I13">
            <v>2324.9</v>
          </cell>
          <cell r="J13">
            <v>2375.15</v>
          </cell>
          <cell r="K13">
            <v>2445.5</v>
          </cell>
          <cell r="L13">
            <v>2428.75</v>
          </cell>
          <cell r="M13">
            <v>2432.1</v>
          </cell>
          <cell r="N13">
            <v>2447.1750000000002</v>
          </cell>
          <cell r="O13">
            <v>2479.0000000000005</v>
          </cell>
          <cell r="P13">
            <v>2378.5</v>
          </cell>
          <cell r="Q13">
            <v>2475.65</v>
          </cell>
          <cell r="R13">
            <v>2502.3250000000003</v>
          </cell>
          <cell r="S13">
            <v>28773.025000000001</v>
          </cell>
        </row>
        <row r="14">
          <cell r="A14" t="str">
            <v>VashonResidential20RW1N</v>
          </cell>
          <cell r="B14" t="str">
            <v>20RW1N</v>
          </cell>
          <cell r="C14" t="str">
            <v>1-20 GL CART WKLY NON REC</v>
          </cell>
          <cell r="D14">
            <v>0</v>
          </cell>
          <cell r="E14">
            <v>0</v>
          </cell>
          <cell r="F14"/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 t="str">
            <v>VashonResidential20RW1NR</v>
          </cell>
          <cell r="B15" t="str">
            <v>20RW1NR</v>
          </cell>
          <cell r="C15" t="str">
            <v>1-20 GAL WKLY NON REC</v>
          </cell>
          <cell r="D15">
            <v>0</v>
          </cell>
          <cell r="E15">
            <v>0</v>
          </cell>
          <cell r="F15"/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A16" t="str">
            <v>VashonResidential20RW1R</v>
          </cell>
          <cell r="B16" t="str">
            <v>20RW1R</v>
          </cell>
          <cell r="C16" t="str">
            <v>1-20 GL CART WKLY W/ RECY</v>
          </cell>
          <cell r="D16">
            <v>0</v>
          </cell>
          <cell r="E16">
            <v>0</v>
          </cell>
          <cell r="F16"/>
          <cell r="G16">
            <v>0</v>
          </cell>
          <cell r="H16">
            <v>0</v>
          </cell>
          <cell r="I16">
            <v>-10.050000000000001</v>
          </cell>
          <cell r="J16">
            <v>-26.8</v>
          </cell>
          <cell r="K16">
            <v>0</v>
          </cell>
          <cell r="L16">
            <v>0</v>
          </cell>
          <cell r="M16">
            <v>-26.8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-63.650000000000006</v>
          </cell>
        </row>
        <row r="17">
          <cell r="A17" t="str">
            <v>VashonResidential24RW1N</v>
          </cell>
          <cell r="B17" t="str">
            <v>24RW1N</v>
          </cell>
          <cell r="C17" t="str">
            <v>1-24 GL CART WKLY NON REC</v>
          </cell>
          <cell r="D17">
            <v>0</v>
          </cell>
          <cell r="E17">
            <v>0</v>
          </cell>
          <cell r="F17"/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VashonResidential24RW1R</v>
          </cell>
          <cell r="B18" t="str">
            <v>24RW1R</v>
          </cell>
          <cell r="C18" t="str">
            <v>1-24 GL CART WKLY W/ RECY</v>
          </cell>
          <cell r="D18">
            <v>0</v>
          </cell>
          <cell r="E18">
            <v>0</v>
          </cell>
          <cell r="F18"/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 t="str">
            <v>VashonResidential32RE1</v>
          </cell>
          <cell r="B19" t="str">
            <v>32RE1</v>
          </cell>
          <cell r="C19" t="str">
            <v>1-32 GAL CAN EOW</v>
          </cell>
          <cell r="D19">
            <v>14.92</v>
          </cell>
          <cell r="E19">
            <v>14.92</v>
          </cell>
          <cell r="F19"/>
          <cell r="G19">
            <v>4452.8350000000009</v>
          </cell>
          <cell r="H19">
            <v>4392.0749999999998</v>
          </cell>
          <cell r="I19">
            <v>4464.8099999999995</v>
          </cell>
          <cell r="J19">
            <v>4427.51</v>
          </cell>
          <cell r="K19">
            <v>4505.84</v>
          </cell>
          <cell r="L19">
            <v>4427.51</v>
          </cell>
          <cell r="M19">
            <v>4449.8899999999994</v>
          </cell>
          <cell r="N19">
            <v>4542.8649999999998</v>
          </cell>
          <cell r="O19">
            <v>4527.9449999999988</v>
          </cell>
          <cell r="P19">
            <v>4439.5749999999998</v>
          </cell>
          <cell r="Q19">
            <v>4574.8450000000003</v>
          </cell>
          <cell r="R19">
            <v>4589.97</v>
          </cell>
          <cell r="S19">
            <v>53795.67</v>
          </cell>
        </row>
        <row r="20">
          <cell r="A20" t="str">
            <v>VashonResidential32RM1</v>
          </cell>
          <cell r="B20" t="str">
            <v>32RM1</v>
          </cell>
          <cell r="C20" t="str">
            <v>1-32 GAL CAN MONTHLY</v>
          </cell>
          <cell r="D20">
            <v>12.06</v>
          </cell>
          <cell r="E20">
            <v>12.06</v>
          </cell>
          <cell r="F20"/>
          <cell r="G20">
            <v>708.52499999999998</v>
          </cell>
          <cell r="H20">
            <v>693.14</v>
          </cell>
          <cell r="I20">
            <v>702.495</v>
          </cell>
          <cell r="J20">
            <v>735.66</v>
          </cell>
          <cell r="K20">
            <v>738.67499999999995</v>
          </cell>
          <cell r="L20">
            <v>744.70500000000004</v>
          </cell>
          <cell r="M20">
            <v>756.76499999999999</v>
          </cell>
          <cell r="N20">
            <v>744.70499999999993</v>
          </cell>
          <cell r="O20">
            <v>743.19</v>
          </cell>
          <cell r="P20">
            <v>732.64499999999998</v>
          </cell>
          <cell r="Q20">
            <v>744.70499999999993</v>
          </cell>
          <cell r="R20">
            <v>742.005</v>
          </cell>
          <cell r="S20">
            <v>8787.2150000000001</v>
          </cell>
        </row>
        <row r="21">
          <cell r="A21" t="str">
            <v>VashonResidential32ROCPU</v>
          </cell>
          <cell r="B21" t="str">
            <v>32ROCPU</v>
          </cell>
          <cell r="C21" t="str">
            <v>1-32 GAL CAN-ON CALL</v>
          </cell>
          <cell r="D21">
            <v>6.13</v>
          </cell>
          <cell r="E21">
            <v>6.13</v>
          </cell>
          <cell r="F21"/>
          <cell r="G21">
            <v>0</v>
          </cell>
          <cell r="H21">
            <v>0</v>
          </cell>
          <cell r="I21">
            <v>18.39</v>
          </cell>
          <cell r="J21">
            <v>0</v>
          </cell>
          <cell r="K21">
            <v>0</v>
          </cell>
          <cell r="L21">
            <v>24.52</v>
          </cell>
          <cell r="M21">
            <v>0</v>
          </cell>
          <cell r="N21">
            <v>0</v>
          </cell>
          <cell r="O21">
            <v>6.13</v>
          </cell>
          <cell r="P21">
            <v>0</v>
          </cell>
          <cell r="Q21">
            <v>12.26</v>
          </cell>
          <cell r="R21">
            <v>0</v>
          </cell>
          <cell r="S21">
            <v>61.3</v>
          </cell>
        </row>
        <row r="22">
          <cell r="A22" t="str">
            <v>VashonResidential32RW1</v>
          </cell>
          <cell r="B22" t="str">
            <v>32RW1</v>
          </cell>
          <cell r="C22" t="str">
            <v>1-32 GAL CAN WEEKLY</v>
          </cell>
          <cell r="D22">
            <v>18.97</v>
          </cell>
          <cell r="E22">
            <v>18.97</v>
          </cell>
          <cell r="F22"/>
          <cell r="G22">
            <v>28491.305</v>
          </cell>
          <cell r="H22">
            <v>28030.565000000002</v>
          </cell>
          <cell r="I22">
            <v>28257.945000000003</v>
          </cell>
          <cell r="J22">
            <v>28246.535</v>
          </cell>
          <cell r="K22">
            <v>28746.52</v>
          </cell>
          <cell r="L22">
            <v>28653.185000000001</v>
          </cell>
          <cell r="M22">
            <v>29061.535</v>
          </cell>
          <cell r="N22">
            <v>29264.264999999999</v>
          </cell>
          <cell r="O22">
            <v>29689.81</v>
          </cell>
          <cell r="P22">
            <v>29271.62</v>
          </cell>
          <cell r="Q22">
            <v>29063.975000000002</v>
          </cell>
          <cell r="R22">
            <v>28972.62</v>
          </cell>
          <cell r="S22">
            <v>345749.87999999995</v>
          </cell>
        </row>
        <row r="23">
          <cell r="A23" t="str">
            <v>VashonResidential32RW1N</v>
          </cell>
          <cell r="B23" t="str">
            <v>32RW1N</v>
          </cell>
          <cell r="C23" t="str">
            <v>1-32 GL CART WKLY NON REC</v>
          </cell>
          <cell r="D23">
            <v>0</v>
          </cell>
          <cell r="E23">
            <v>0</v>
          </cell>
          <cell r="F23"/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 t="str">
            <v>VashonResidential32RW1NR</v>
          </cell>
          <cell r="B24" t="str">
            <v>32RW1NR</v>
          </cell>
          <cell r="C24" t="str">
            <v>1-32 GAL WKLY NON REC</v>
          </cell>
          <cell r="D24">
            <v>0</v>
          </cell>
          <cell r="E24">
            <v>0</v>
          </cell>
          <cell r="F24"/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VashonResidential32RW1R</v>
          </cell>
          <cell r="B25" t="str">
            <v>32RW1R</v>
          </cell>
          <cell r="C25" t="str">
            <v>1-32 GL CART WKLY W/ RECY</v>
          </cell>
          <cell r="D25">
            <v>0</v>
          </cell>
          <cell r="E25">
            <v>0</v>
          </cell>
          <cell r="F25"/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A26" t="str">
            <v>VashonResidential32RW2</v>
          </cell>
          <cell r="B26" t="str">
            <v>32RW2</v>
          </cell>
          <cell r="C26" t="str">
            <v>2-32 GAL CANS WEEKLY</v>
          </cell>
          <cell r="D26">
            <v>26.55</v>
          </cell>
          <cell r="E26">
            <v>26.55</v>
          </cell>
          <cell r="F26"/>
          <cell r="G26">
            <v>7331.1350000000002</v>
          </cell>
          <cell r="H26">
            <v>7460.5649999999996</v>
          </cell>
          <cell r="I26">
            <v>7513.6500000000005</v>
          </cell>
          <cell r="J26">
            <v>7546.8150000000005</v>
          </cell>
          <cell r="K26">
            <v>7675.7650000000003</v>
          </cell>
          <cell r="L26">
            <v>7699.4749999999995</v>
          </cell>
          <cell r="M26">
            <v>7961.6399999999994</v>
          </cell>
          <cell r="N26">
            <v>7951.7</v>
          </cell>
          <cell r="O26">
            <v>8101.07</v>
          </cell>
          <cell r="P26">
            <v>7741.53</v>
          </cell>
          <cell r="Q26">
            <v>7915.9149999999991</v>
          </cell>
          <cell r="R26">
            <v>8013.8399999999992</v>
          </cell>
          <cell r="S26">
            <v>92913.099999999991</v>
          </cell>
        </row>
        <row r="27">
          <cell r="A27" t="str">
            <v>VashonResidential32RW2R</v>
          </cell>
          <cell r="B27" t="str">
            <v>32RW2R</v>
          </cell>
          <cell r="C27" t="str">
            <v>2-32 GL CART WKLY W/ RECY</v>
          </cell>
          <cell r="D27">
            <v>0</v>
          </cell>
          <cell r="E27">
            <v>0</v>
          </cell>
          <cell r="F27"/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 t="str">
            <v>VashonResidential32RW2NR</v>
          </cell>
          <cell r="B28" t="str">
            <v>32RW2NR</v>
          </cell>
          <cell r="C28" t="str">
            <v>2-32 GAL WKLY NON REC</v>
          </cell>
          <cell r="D28">
            <v>0</v>
          </cell>
          <cell r="E28">
            <v>0</v>
          </cell>
          <cell r="F28"/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 t="str">
            <v>VashonResidential32RW3</v>
          </cell>
          <cell r="B29" t="str">
            <v>32RW3</v>
          </cell>
          <cell r="C29" t="str">
            <v>3-32 GAL CANS WEEKLY</v>
          </cell>
          <cell r="D29">
            <v>35.86</v>
          </cell>
          <cell r="E29">
            <v>35.86</v>
          </cell>
          <cell r="F29"/>
          <cell r="G29">
            <v>569.28</v>
          </cell>
          <cell r="H29">
            <v>466.18</v>
          </cell>
          <cell r="I29">
            <v>519.97</v>
          </cell>
          <cell r="J29">
            <v>515.48500000000001</v>
          </cell>
          <cell r="K29">
            <v>515.48500000000001</v>
          </cell>
          <cell r="L29">
            <v>596.16999999999996</v>
          </cell>
          <cell r="M29">
            <v>632.03</v>
          </cell>
          <cell r="N29">
            <v>654.44500000000005</v>
          </cell>
          <cell r="O29">
            <v>690.31500000000005</v>
          </cell>
          <cell r="P29">
            <v>519.97</v>
          </cell>
          <cell r="Q29">
            <v>385.5</v>
          </cell>
          <cell r="R29">
            <v>438.79</v>
          </cell>
          <cell r="S29">
            <v>6503.6200000000008</v>
          </cell>
        </row>
        <row r="30">
          <cell r="A30" t="str">
            <v>VashonResidential32RW3NR</v>
          </cell>
          <cell r="B30" t="str">
            <v>32RW3NR</v>
          </cell>
          <cell r="C30" t="str">
            <v>3-32 GAL WKLY NON REC</v>
          </cell>
          <cell r="D30">
            <v>0</v>
          </cell>
          <cell r="E30">
            <v>0</v>
          </cell>
          <cell r="F30"/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VashonResidential32RW4</v>
          </cell>
          <cell r="B31" t="str">
            <v>32RW4</v>
          </cell>
          <cell r="C31" t="str">
            <v>4-32 GAL CANS WEEKLY</v>
          </cell>
          <cell r="D31">
            <v>44.89</v>
          </cell>
          <cell r="E31">
            <v>44.89</v>
          </cell>
          <cell r="F31"/>
          <cell r="G31">
            <v>89.78</v>
          </cell>
          <cell r="H31">
            <v>112.22499999999999</v>
          </cell>
          <cell r="I31">
            <v>123.44499999999999</v>
          </cell>
          <cell r="J31">
            <v>179.56</v>
          </cell>
          <cell r="K31">
            <v>224.45</v>
          </cell>
          <cell r="L31">
            <v>224.45</v>
          </cell>
          <cell r="M31">
            <v>224.45</v>
          </cell>
          <cell r="N31">
            <v>224.45</v>
          </cell>
          <cell r="O31">
            <v>404.01</v>
          </cell>
          <cell r="P31">
            <v>134.67000000000002</v>
          </cell>
          <cell r="Q31">
            <v>269.34000000000003</v>
          </cell>
          <cell r="R31">
            <v>273.22000000000003</v>
          </cell>
          <cell r="S31">
            <v>2484.0500000000002</v>
          </cell>
        </row>
        <row r="32">
          <cell r="A32" t="str">
            <v>VashonResidential32RW4NR</v>
          </cell>
          <cell r="B32" t="str">
            <v>32RW4NR</v>
          </cell>
          <cell r="C32" t="str">
            <v>4-32 GAL WKLY NON REC</v>
          </cell>
          <cell r="D32">
            <v>0</v>
          </cell>
          <cell r="E32">
            <v>0</v>
          </cell>
          <cell r="F32"/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A33" t="str">
            <v>VashonResidential32RW5</v>
          </cell>
          <cell r="B33" t="str">
            <v>32RW5</v>
          </cell>
          <cell r="C33" t="str">
            <v>5-32 GAL CANS WEEKLY</v>
          </cell>
          <cell r="D33">
            <v>0</v>
          </cell>
          <cell r="E33">
            <v>0</v>
          </cell>
          <cell r="F33"/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 t="str">
            <v>VashonResidential32RW5NR</v>
          </cell>
          <cell r="B34" t="str">
            <v>32RW5NR</v>
          </cell>
          <cell r="C34" t="str">
            <v>5-32 GAL WKLY NON REC</v>
          </cell>
          <cell r="D34">
            <v>0</v>
          </cell>
          <cell r="E34">
            <v>0</v>
          </cell>
          <cell r="F34"/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A35" t="str">
            <v>VashonResidential32RW6</v>
          </cell>
          <cell r="B35" t="str">
            <v>32RW6</v>
          </cell>
          <cell r="C35" t="str">
            <v>6-32 GAL CANS WEEKLY</v>
          </cell>
          <cell r="D35">
            <v>0</v>
          </cell>
          <cell r="E35">
            <v>0</v>
          </cell>
          <cell r="F35"/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A36" t="str">
            <v>VashonResidential35RM1</v>
          </cell>
          <cell r="B36" t="str">
            <v>35RM1</v>
          </cell>
          <cell r="C36" t="str">
            <v>1-35 GAL CART MONTHLY</v>
          </cell>
          <cell r="D36">
            <v>0</v>
          </cell>
          <cell r="E36">
            <v>0</v>
          </cell>
          <cell r="F36"/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A37" t="str">
            <v>VashonResidential35RW1N</v>
          </cell>
          <cell r="B37" t="str">
            <v>35RW1N</v>
          </cell>
          <cell r="C37" t="str">
            <v>1-35 GAL CART WKLY NONREC</v>
          </cell>
          <cell r="D37">
            <v>0</v>
          </cell>
          <cell r="E37">
            <v>0</v>
          </cell>
          <cell r="F37"/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 t="str">
            <v>VashonResidential35RW1R</v>
          </cell>
          <cell r="B38" t="str">
            <v>35RW1R</v>
          </cell>
          <cell r="C38" t="str">
            <v>1-35 GAL CART WKLY W/REC</v>
          </cell>
          <cell r="D38">
            <v>0</v>
          </cell>
          <cell r="E38">
            <v>0</v>
          </cell>
          <cell r="F38"/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-14.7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-14.7</v>
          </cell>
        </row>
        <row r="39">
          <cell r="A39" t="str">
            <v>VashonResidential64RW1N</v>
          </cell>
          <cell r="B39" t="str">
            <v>64RW1N</v>
          </cell>
          <cell r="C39" t="str">
            <v>1-64 GAL CART WKLY NONREC</v>
          </cell>
          <cell r="D39">
            <v>0</v>
          </cell>
          <cell r="E39">
            <v>0</v>
          </cell>
          <cell r="F39"/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A40" t="str">
            <v>VashonResidential64RW1R</v>
          </cell>
          <cell r="B40" t="str">
            <v>64RW1R</v>
          </cell>
          <cell r="C40" t="str">
            <v>1-64 GAL CART WKLY W/REC</v>
          </cell>
          <cell r="D40">
            <v>0</v>
          </cell>
          <cell r="E40">
            <v>0</v>
          </cell>
          <cell r="F40"/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VashonResidential65RM1</v>
          </cell>
          <cell r="B41" t="str">
            <v>65RM1</v>
          </cell>
          <cell r="C41" t="str">
            <v>1-65 GAL CART MONTHLY</v>
          </cell>
          <cell r="D41">
            <v>0</v>
          </cell>
          <cell r="E41">
            <v>0</v>
          </cell>
          <cell r="F41"/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A42" t="str">
            <v>VashonResidential65RW1N</v>
          </cell>
          <cell r="B42" t="str">
            <v>65RW1N</v>
          </cell>
          <cell r="C42" t="str">
            <v>1-65 GAL CART WKLY NONREC</v>
          </cell>
          <cell r="D42">
            <v>0</v>
          </cell>
          <cell r="E42">
            <v>0</v>
          </cell>
          <cell r="F42"/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 t="str">
            <v>VashonResidential65RW1R</v>
          </cell>
          <cell r="B43" t="str">
            <v>65RW1R</v>
          </cell>
          <cell r="C43" t="str">
            <v>1-65 GAL CART WKLY W/REC</v>
          </cell>
          <cell r="D43">
            <v>0</v>
          </cell>
          <cell r="E43">
            <v>0</v>
          </cell>
          <cell r="F43"/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 t="str">
            <v>VashonResidential95RM1</v>
          </cell>
          <cell r="B44" t="str">
            <v>95RM1</v>
          </cell>
          <cell r="C44" t="str">
            <v>1-95 GAL CART MONTHLY</v>
          </cell>
          <cell r="D44">
            <v>0</v>
          </cell>
          <cell r="E44">
            <v>0</v>
          </cell>
          <cell r="F44"/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A45" t="str">
            <v>VashonResidential95RW1N</v>
          </cell>
          <cell r="B45" t="str">
            <v>95RW1N</v>
          </cell>
          <cell r="C45" t="str">
            <v>1-95 GAL CART WKLY NONREC</v>
          </cell>
          <cell r="D45">
            <v>0</v>
          </cell>
          <cell r="E45">
            <v>0</v>
          </cell>
          <cell r="F45"/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 t="str">
            <v>VashonResidential95RW1R</v>
          </cell>
          <cell r="B46" t="str">
            <v>95RW1R</v>
          </cell>
          <cell r="C46" t="str">
            <v>1-95 GAL CART WKLY W/REC</v>
          </cell>
          <cell r="D46">
            <v>0</v>
          </cell>
          <cell r="E46">
            <v>0</v>
          </cell>
          <cell r="F46"/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A47" t="str">
            <v>VashonResidential96RW1N</v>
          </cell>
          <cell r="B47" t="str">
            <v>96RW1N</v>
          </cell>
          <cell r="C47" t="str">
            <v>1-96 GAL CART WKLY NONREC</v>
          </cell>
          <cell r="D47">
            <v>0</v>
          </cell>
          <cell r="E47">
            <v>0</v>
          </cell>
          <cell r="F47"/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A48" t="str">
            <v>VashonResidential96RW1R</v>
          </cell>
          <cell r="B48" t="str">
            <v>96RW1R</v>
          </cell>
          <cell r="C48" t="str">
            <v>1-96 GAL CART WKLY W/REC</v>
          </cell>
          <cell r="D48">
            <v>0</v>
          </cell>
          <cell r="E48">
            <v>0</v>
          </cell>
          <cell r="F48"/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A49" t="str">
            <v>VashonResidentialADJRES</v>
          </cell>
          <cell r="B49" t="str">
            <v>ADJRES</v>
          </cell>
          <cell r="C49" t="str">
            <v>SERVICE ADJ-RESIDENTIAL</v>
          </cell>
          <cell r="D49">
            <v>0</v>
          </cell>
          <cell r="E49">
            <v>0</v>
          </cell>
          <cell r="F49"/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 t="str">
            <v>VashonResidentialCARRY-RES</v>
          </cell>
          <cell r="B50" t="str">
            <v>CARRY-RES</v>
          </cell>
          <cell r="C50" t="str">
            <v>CARRY OUT -RES</v>
          </cell>
          <cell r="D50">
            <v>2.4300000000000002</v>
          </cell>
          <cell r="E50">
            <v>2.4300000000000002</v>
          </cell>
          <cell r="F50"/>
          <cell r="G50">
            <v>9.7200000000000006</v>
          </cell>
          <cell r="H50">
            <v>9.7200000000000006</v>
          </cell>
          <cell r="I50">
            <v>9.7200000000000006</v>
          </cell>
          <cell r="J50">
            <v>9.7200000000000006</v>
          </cell>
          <cell r="K50">
            <v>9.7200000000000006</v>
          </cell>
          <cell r="L50">
            <v>9.7200000000000006</v>
          </cell>
          <cell r="M50">
            <v>9.7200000000000006</v>
          </cell>
          <cell r="N50">
            <v>9.7200000000000006</v>
          </cell>
          <cell r="O50">
            <v>9.7200000000000006</v>
          </cell>
          <cell r="P50">
            <v>9.7200000000000006</v>
          </cell>
          <cell r="Q50">
            <v>9.7200000000000006</v>
          </cell>
          <cell r="R50">
            <v>9.7200000000000006</v>
          </cell>
          <cell r="S50">
            <v>116.64</v>
          </cell>
        </row>
        <row r="51">
          <cell r="A51" t="str">
            <v>VashonResidentialDELTOT</v>
          </cell>
          <cell r="B51" t="str">
            <v>DELTOT</v>
          </cell>
          <cell r="C51" t="str">
            <v>GARB CART REDELIVERY</v>
          </cell>
          <cell r="D51">
            <v>0</v>
          </cell>
          <cell r="E51">
            <v>0</v>
          </cell>
          <cell r="F51"/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A52" t="str">
            <v>VashonResidentialDRIVEPRVT-RES</v>
          </cell>
          <cell r="B52" t="str">
            <v>DRIVEPRVT-RES</v>
          </cell>
          <cell r="C52" t="str">
            <v>DRIVE IN PRIVATE RD - RES</v>
          </cell>
          <cell r="D52">
            <v>5.62</v>
          </cell>
          <cell r="E52">
            <v>5.62</v>
          </cell>
          <cell r="F52"/>
          <cell r="G52">
            <v>50.58</v>
          </cell>
          <cell r="H52">
            <v>50.58</v>
          </cell>
          <cell r="I52">
            <v>50.58</v>
          </cell>
          <cell r="J52">
            <v>50.58</v>
          </cell>
          <cell r="K52">
            <v>53.39</v>
          </cell>
          <cell r="L52">
            <v>56.2</v>
          </cell>
          <cell r="M52">
            <v>56.2</v>
          </cell>
          <cell r="N52">
            <v>56.2</v>
          </cell>
          <cell r="O52">
            <v>56.2</v>
          </cell>
          <cell r="P52">
            <v>56.2</v>
          </cell>
          <cell r="Q52">
            <v>56.2</v>
          </cell>
          <cell r="R52">
            <v>56.2</v>
          </cell>
          <cell r="S52">
            <v>649.11</v>
          </cell>
        </row>
        <row r="53">
          <cell r="A53" t="str">
            <v>VashonResidentialDRVNRE1</v>
          </cell>
          <cell r="B53" t="str">
            <v>DRVNRE1</v>
          </cell>
          <cell r="C53" t="str">
            <v>DRIVE IN UP TO 125'-EOW</v>
          </cell>
          <cell r="D53">
            <v>2.81</v>
          </cell>
          <cell r="E53">
            <v>2.81</v>
          </cell>
          <cell r="F53"/>
          <cell r="G53">
            <v>33.72</v>
          </cell>
          <cell r="H53">
            <v>33.72</v>
          </cell>
          <cell r="I53">
            <v>36.519999999999996</v>
          </cell>
          <cell r="J53">
            <v>36.53</v>
          </cell>
          <cell r="K53">
            <v>36.53</v>
          </cell>
          <cell r="L53">
            <v>35.125</v>
          </cell>
          <cell r="M53">
            <v>35.125</v>
          </cell>
          <cell r="N53">
            <v>30.91</v>
          </cell>
          <cell r="O53">
            <v>33.015000000000001</v>
          </cell>
          <cell r="P53">
            <v>30.205000000000002</v>
          </cell>
          <cell r="Q53">
            <v>33.72</v>
          </cell>
          <cell r="R53">
            <v>30.91</v>
          </cell>
          <cell r="S53">
            <v>406.03000000000003</v>
          </cell>
        </row>
        <row r="54">
          <cell r="A54" t="str">
            <v>VashonResidentialDRVNRW1</v>
          </cell>
          <cell r="B54" t="str">
            <v>DRVNRW1</v>
          </cell>
          <cell r="C54" t="str">
            <v>DRIVE IN UP TO 125'-WKLY</v>
          </cell>
          <cell r="D54">
            <v>2.81</v>
          </cell>
          <cell r="E54">
            <v>2.81</v>
          </cell>
          <cell r="F54"/>
          <cell r="G54">
            <v>154.55000000000001</v>
          </cell>
          <cell r="H54">
            <v>152.79500000000002</v>
          </cell>
          <cell r="I54">
            <v>153.495</v>
          </cell>
          <cell r="J54">
            <v>151.74</v>
          </cell>
          <cell r="K54">
            <v>151.74</v>
          </cell>
          <cell r="L54">
            <v>150.33500000000001</v>
          </cell>
          <cell r="M54">
            <v>151.73500000000001</v>
          </cell>
          <cell r="N54">
            <v>147.52500000000001</v>
          </cell>
          <cell r="O54">
            <v>147.52500000000001</v>
          </cell>
          <cell r="P54">
            <v>144.01</v>
          </cell>
          <cell r="Q54">
            <v>144.01</v>
          </cell>
          <cell r="R54">
            <v>142.60499999999999</v>
          </cell>
          <cell r="S54">
            <v>1792.0650000000003</v>
          </cell>
        </row>
        <row r="55">
          <cell r="A55" t="str">
            <v>VashonResidentialDRVNRW2</v>
          </cell>
          <cell r="B55" t="str">
            <v>DRVNRW2</v>
          </cell>
          <cell r="C55" t="str">
            <v>DRIVE IN OVER 125'-WKLY</v>
          </cell>
          <cell r="D55">
            <v>2.81</v>
          </cell>
          <cell r="E55">
            <v>2.81</v>
          </cell>
          <cell r="F55"/>
          <cell r="G55">
            <v>22.48</v>
          </cell>
          <cell r="H55">
            <v>22.48</v>
          </cell>
          <cell r="I55">
            <v>22.48</v>
          </cell>
          <cell r="J55">
            <v>18.38</v>
          </cell>
          <cell r="K55">
            <v>18.38</v>
          </cell>
          <cell r="L55">
            <v>14.05</v>
          </cell>
          <cell r="M55">
            <v>14.05</v>
          </cell>
          <cell r="N55">
            <v>18.259999999999998</v>
          </cell>
          <cell r="O55">
            <v>25.29</v>
          </cell>
          <cell r="P55">
            <v>25.290000000000003</v>
          </cell>
          <cell r="Q55">
            <v>25.290000000000003</v>
          </cell>
          <cell r="R55">
            <v>25.290000000000003</v>
          </cell>
          <cell r="S55">
            <v>251.71999999999994</v>
          </cell>
        </row>
        <row r="56">
          <cell r="A56" t="str">
            <v>VashonResidentialGWCR</v>
          </cell>
          <cell r="B56" t="str">
            <v>GWCR</v>
          </cell>
          <cell r="C56" t="str">
            <v>GOOD WILL CREDIT - RESI</v>
          </cell>
          <cell r="D56">
            <v>0</v>
          </cell>
          <cell r="E56">
            <v>0</v>
          </cell>
          <cell r="F56"/>
          <cell r="G56">
            <v>0</v>
          </cell>
          <cell r="H56">
            <v>0</v>
          </cell>
          <cell r="I56">
            <v>-15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-107.61</v>
          </cell>
          <cell r="O56">
            <v>0</v>
          </cell>
          <cell r="P56">
            <v>-15</v>
          </cell>
          <cell r="Q56">
            <v>0</v>
          </cell>
          <cell r="R56">
            <v>0</v>
          </cell>
          <cell r="S56">
            <v>-137.61000000000001</v>
          </cell>
        </row>
        <row r="57">
          <cell r="A57" t="str">
            <v>VashonResidentialIMPCNR1</v>
          </cell>
          <cell r="B57" t="str">
            <v>IMPCNR1</v>
          </cell>
          <cell r="C57" t="str">
            <v>1 IMPROPER CAN - RESI</v>
          </cell>
          <cell r="D57">
            <v>0</v>
          </cell>
          <cell r="E57">
            <v>0</v>
          </cell>
          <cell r="F57"/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>VashonResidentialIMPCNR2</v>
          </cell>
          <cell r="B58" t="str">
            <v>IMPCNR2</v>
          </cell>
          <cell r="C58" t="str">
            <v>2 IMPROPER CANS - RESI</v>
          </cell>
          <cell r="D58">
            <v>0</v>
          </cell>
          <cell r="E58">
            <v>0</v>
          </cell>
          <cell r="F58"/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 t="str">
            <v>VashonResidentialOBSR</v>
          </cell>
          <cell r="B59" t="str">
            <v>OBSR</v>
          </cell>
          <cell r="C59" t="str">
            <v>OBSTRUCTION</v>
          </cell>
          <cell r="D59">
            <v>1.1200000000000001</v>
          </cell>
          <cell r="E59">
            <v>1.1200000000000001</v>
          </cell>
          <cell r="F59"/>
          <cell r="G59">
            <v>5.25</v>
          </cell>
          <cell r="H59">
            <v>5.25</v>
          </cell>
          <cell r="I59">
            <v>5.25</v>
          </cell>
          <cell r="J59">
            <v>5.25</v>
          </cell>
          <cell r="K59">
            <v>5.25</v>
          </cell>
          <cell r="L59">
            <v>5.25</v>
          </cell>
          <cell r="M59">
            <v>3.01</v>
          </cell>
          <cell r="N59">
            <v>3.01</v>
          </cell>
          <cell r="O59">
            <v>4.13</v>
          </cell>
          <cell r="P59">
            <v>4.13</v>
          </cell>
          <cell r="Q59">
            <v>4.13</v>
          </cell>
          <cell r="R59">
            <v>4.4800000000000004</v>
          </cell>
          <cell r="S59">
            <v>54.39</v>
          </cell>
        </row>
        <row r="60">
          <cell r="A60" t="str">
            <v>VashonResidentialOS</v>
          </cell>
          <cell r="B60" t="str">
            <v>OS</v>
          </cell>
          <cell r="C60" t="str">
            <v>OVERSIZE UNIT</v>
          </cell>
          <cell r="D60">
            <v>2.78</v>
          </cell>
          <cell r="E60">
            <v>2.78</v>
          </cell>
          <cell r="F60"/>
          <cell r="G60">
            <v>528.19999999999993</v>
          </cell>
          <cell r="H60">
            <v>467.03999999999996</v>
          </cell>
          <cell r="I60">
            <v>525.41999999999996</v>
          </cell>
          <cell r="J60">
            <v>475.38</v>
          </cell>
          <cell r="K60">
            <v>536.54</v>
          </cell>
          <cell r="L60">
            <v>572.68000000000006</v>
          </cell>
          <cell r="M60">
            <v>733.92</v>
          </cell>
          <cell r="N60">
            <v>656.08</v>
          </cell>
          <cell r="O60">
            <v>725.57999999999993</v>
          </cell>
          <cell r="P60">
            <v>675.54</v>
          </cell>
          <cell r="Q60">
            <v>672.76</v>
          </cell>
          <cell r="R60">
            <v>592.14</v>
          </cell>
          <cell r="S60">
            <v>7161.2800000000007</v>
          </cell>
        </row>
        <row r="61">
          <cell r="A61" t="str">
            <v>VashonResidentialOSOW</v>
          </cell>
          <cell r="B61" t="str">
            <v>OSOW</v>
          </cell>
          <cell r="C61" t="str">
            <v>OVERSIZE/OVERWEIGHT</v>
          </cell>
          <cell r="D61">
            <v>2.78</v>
          </cell>
          <cell r="E61">
            <v>2.78</v>
          </cell>
          <cell r="F61"/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-25.02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-25.02</v>
          </cell>
        </row>
        <row r="62">
          <cell r="A62" t="str">
            <v>VashonResidentialOW</v>
          </cell>
          <cell r="B62" t="str">
            <v>OW</v>
          </cell>
          <cell r="C62" t="str">
            <v>OVERWEIGHT UNIT</v>
          </cell>
          <cell r="D62">
            <v>2.78</v>
          </cell>
          <cell r="E62">
            <v>2.78</v>
          </cell>
          <cell r="F62"/>
          <cell r="G62">
            <v>1053.6199999999999</v>
          </cell>
          <cell r="H62">
            <v>732.14</v>
          </cell>
          <cell r="I62">
            <v>970.22</v>
          </cell>
          <cell r="J62">
            <v>1067.52</v>
          </cell>
          <cell r="K62">
            <v>1006.36</v>
          </cell>
          <cell r="L62">
            <v>1067.52</v>
          </cell>
          <cell r="M62">
            <v>1192.6199999999999</v>
          </cell>
          <cell r="N62">
            <v>1014.7</v>
          </cell>
          <cell r="O62">
            <v>950.76</v>
          </cell>
          <cell r="P62">
            <v>808.98</v>
          </cell>
          <cell r="Q62">
            <v>800.64</v>
          </cell>
          <cell r="R62">
            <v>778.4</v>
          </cell>
          <cell r="S62">
            <v>11443.479999999998</v>
          </cell>
        </row>
        <row r="63">
          <cell r="A63" t="str">
            <v>VashonResidentialPACKLC</v>
          </cell>
          <cell r="B63" t="str">
            <v>PACKLC</v>
          </cell>
          <cell r="C63" t="str">
            <v>CARRY-OUT LONG DISTANCE</v>
          </cell>
          <cell r="D63">
            <v>0</v>
          </cell>
          <cell r="E63">
            <v>0</v>
          </cell>
          <cell r="F63"/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A64" t="str">
            <v>VashonResidentialPACKR</v>
          </cell>
          <cell r="B64" t="str">
            <v>PACKR</v>
          </cell>
          <cell r="C64" t="str">
            <v>CARRY-OUT RESIDENTIAL</v>
          </cell>
          <cell r="D64">
            <v>0</v>
          </cell>
          <cell r="E64">
            <v>0</v>
          </cell>
          <cell r="F64"/>
          <cell r="G64">
            <v>60.1</v>
          </cell>
          <cell r="H64">
            <v>59.604999999999997</v>
          </cell>
          <cell r="I64">
            <v>59.604999999999997</v>
          </cell>
          <cell r="J64">
            <v>59.604999999999997</v>
          </cell>
          <cell r="K64">
            <v>59.604999999999997</v>
          </cell>
          <cell r="L64">
            <v>59.604999999999997</v>
          </cell>
          <cell r="M64">
            <v>59.604999999999997</v>
          </cell>
          <cell r="N64">
            <v>59.604999999999997</v>
          </cell>
          <cell r="O64">
            <v>66.894999999999996</v>
          </cell>
          <cell r="P64">
            <v>66.894999999999996</v>
          </cell>
          <cell r="Q64">
            <v>66.894999999999996</v>
          </cell>
          <cell r="R64">
            <v>66.894999999999996</v>
          </cell>
          <cell r="S64">
            <v>744.91499999999996</v>
          </cell>
        </row>
        <row r="65">
          <cell r="A65" t="str">
            <v>VashonResidentialPACKSNR</v>
          </cell>
          <cell r="B65" t="str">
            <v>PACKSNR</v>
          </cell>
          <cell r="C65" t="str">
            <v>CARRY-OUT SENIOR SERVICE</v>
          </cell>
          <cell r="D65">
            <v>0</v>
          </cell>
          <cell r="E65">
            <v>0</v>
          </cell>
          <cell r="F65"/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 t="str">
            <v>VashonResidentialRESTART FEE</v>
          </cell>
          <cell r="B66" t="str">
            <v>RESTART FEE</v>
          </cell>
          <cell r="C66" t="str">
            <v>RESTART FEE</v>
          </cell>
          <cell r="D66">
            <v>15.85</v>
          </cell>
          <cell r="E66">
            <v>15.85</v>
          </cell>
          <cell r="F66"/>
          <cell r="G66">
            <v>237.75</v>
          </cell>
          <cell r="H66">
            <v>31.7</v>
          </cell>
          <cell r="I66">
            <v>237.71</v>
          </cell>
          <cell r="J66">
            <v>16</v>
          </cell>
          <cell r="K66">
            <v>158.5</v>
          </cell>
          <cell r="L66">
            <v>47.55</v>
          </cell>
          <cell r="M66">
            <v>253.6</v>
          </cell>
          <cell r="N66">
            <v>31.7</v>
          </cell>
          <cell r="O66">
            <v>364.55</v>
          </cell>
          <cell r="P66">
            <v>15.85</v>
          </cell>
          <cell r="Q66">
            <v>142.65</v>
          </cell>
          <cell r="R66">
            <v>0</v>
          </cell>
          <cell r="S66">
            <v>1537.56</v>
          </cell>
        </row>
        <row r="67">
          <cell r="A67" t="str">
            <v>VashonResidentialREXTRA</v>
          </cell>
          <cell r="B67" t="str">
            <v>REXTRA</v>
          </cell>
          <cell r="C67" t="str">
            <v>EXTRA UNITS</v>
          </cell>
          <cell r="D67">
            <v>4.1100000000000003</v>
          </cell>
          <cell r="E67">
            <v>4.1100000000000003</v>
          </cell>
          <cell r="F67"/>
          <cell r="G67">
            <v>3333.22</v>
          </cell>
          <cell r="H67">
            <v>2429.0100000000002</v>
          </cell>
          <cell r="I67">
            <v>3411.1499999999996</v>
          </cell>
          <cell r="J67">
            <v>3292.11</v>
          </cell>
          <cell r="K67">
            <v>3226.35</v>
          </cell>
          <cell r="L67">
            <v>3924.8499999999995</v>
          </cell>
          <cell r="M67">
            <v>4583.7</v>
          </cell>
          <cell r="N67">
            <v>4011.36</v>
          </cell>
          <cell r="O67">
            <v>3835.84</v>
          </cell>
          <cell r="P67">
            <v>3390.72</v>
          </cell>
          <cell r="Q67">
            <v>2807.13</v>
          </cell>
          <cell r="R67">
            <v>2687.94</v>
          </cell>
          <cell r="S67">
            <v>40933.379999999997</v>
          </cell>
        </row>
        <row r="68">
          <cell r="A68" t="str">
            <v>VashonResidentialSUNKENR</v>
          </cell>
          <cell r="B68" t="str">
            <v>SUNKENR</v>
          </cell>
          <cell r="C68" t="str">
            <v>SUNKEN CAN CHARGE - RESI</v>
          </cell>
          <cell r="D68">
            <v>1.1200000000000001</v>
          </cell>
          <cell r="E68">
            <v>1.1200000000000001</v>
          </cell>
          <cell r="F68"/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 t="str">
            <v>VashonResidentialTRIPRCANS</v>
          </cell>
          <cell r="B69" t="str">
            <v>TRIPRCANS</v>
          </cell>
          <cell r="C69" t="str">
            <v>RETURN TRIP CHARGE - CANS</v>
          </cell>
          <cell r="D69">
            <v>2.81</v>
          </cell>
          <cell r="E69">
            <v>2.81</v>
          </cell>
          <cell r="F69"/>
          <cell r="G69">
            <v>14.05</v>
          </cell>
          <cell r="H69">
            <v>0</v>
          </cell>
          <cell r="I69">
            <v>8.43</v>
          </cell>
          <cell r="J69">
            <v>8.43</v>
          </cell>
          <cell r="K69">
            <v>11.24</v>
          </cell>
          <cell r="L69">
            <v>14.05</v>
          </cell>
          <cell r="M69">
            <v>14.05</v>
          </cell>
          <cell r="N69">
            <v>11.24</v>
          </cell>
          <cell r="O69">
            <v>25.290000000000003</v>
          </cell>
          <cell r="P69">
            <v>0</v>
          </cell>
          <cell r="Q69">
            <v>2.81</v>
          </cell>
          <cell r="R69">
            <v>16.86</v>
          </cell>
          <cell r="S69">
            <v>126.45</v>
          </cell>
        </row>
        <row r="70">
          <cell r="A70" t="str">
            <v>VashonResidentialTRIPRCARTS</v>
          </cell>
          <cell r="B70" t="str">
            <v>TRIPRCARTS</v>
          </cell>
          <cell r="C70" t="str">
            <v>RESI TRIP CHARGE - CARTS</v>
          </cell>
          <cell r="D70">
            <v>3.98</v>
          </cell>
          <cell r="E70">
            <v>3.98</v>
          </cell>
          <cell r="F70"/>
          <cell r="G70">
            <v>0</v>
          </cell>
          <cell r="H70">
            <v>3.98</v>
          </cell>
          <cell r="I70">
            <v>0</v>
          </cell>
          <cell r="J70">
            <v>3.98</v>
          </cell>
          <cell r="K70">
            <v>0</v>
          </cell>
          <cell r="L70">
            <v>3.98</v>
          </cell>
          <cell r="M70">
            <v>3.98</v>
          </cell>
          <cell r="N70">
            <v>0</v>
          </cell>
          <cell r="O70">
            <v>3.98</v>
          </cell>
          <cell r="P70">
            <v>3.98</v>
          </cell>
          <cell r="Q70">
            <v>0</v>
          </cell>
          <cell r="R70">
            <v>3.98</v>
          </cell>
          <cell r="S70">
            <v>27.86</v>
          </cell>
        </row>
        <row r="71"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</row>
        <row r="72">
          <cell r="C72" t="str">
            <v>TOTAL RESIDENTIAL GARBAGE</v>
          </cell>
          <cell r="D72"/>
          <cell r="E72"/>
          <cell r="F72"/>
          <cell r="G72">
            <v>49377.200000000012</v>
          </cell>
          <cell r="H72">
            <v>47405.645000000011</v>
          </cell>
          <cell r="I72">
            <v>49391.135000000017</v>
          </cell>
          <cell r="J72">
            <v>49195.14</v>
          </cell>
          <cell r="K72">
            <v>50111.14</v>
          </cell>
          <cell r="L72">
            <v>50759.68</v>
          </cell>
          <cell r="M72">
            <v>52577.905000000006</v>
          </cell>
          <cell r="N72">
            <v>51772.305</v>
          </cell>
          <cell r="O72">
            <v>52890.24500000001</v>
          </cell>
          <cell r="P72">
            <v>50435.03</v>
          </cell>
          <cell r="Q72">
            <v>50208.144999999997</v>
          </cell>
          <cell r="R72">
            <v>49948.19000000001</v>
          </cell>
          <cell r="S72">
            <v>604071.76</v>
          </cell>
        </row>
        <row r="73"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</row>
        <row r="74">
          <cell r="B74" t="str">
            <v>RESIDENTIAL RECYCLING</v>
          </cell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</row>
        <row r="75">
          <cell r="A75" t="str">
            <v>VashonResidentialrecyonly</v>
          </cell>
          <cell r="B75" t="str">
            <v>recyonly</v>
          </cell>
          <cell r="C75" t="str">
            <v>RECYCLE SERVICE ONLY</v>
          </cell>
          <cell r="D75">
            <v>16.07</v>
          </cell>
          <cell r="E75">
            <v>16.07</v>
          </cell>
          <cell r="F75"/>
          <cell r="G75">
            <v>241.05</v>
          </cell>
          <cell r="H75">
            <v>241.67500000000001</v>
          </cell>
          <cell r="I75">
            <v>257.12500000000006</v>
          </cell>
          <cell r="J75">
            <v>245.065</v>
          </cell>
          <cell r="K75">
            <v>245.065</v>
          </cell>
          <cell r="L75">
            <v>233.01499999999999</v>
          </cell>
          <cell r="M75">
            <v>247.82499999999999</v>
          </cell>
          <cell r="N75">
            <v>257.12</v>
          </cell>
          <cell r="O75">
            <v>257.12</v>
          </cell>
          <cell r="P75">
            <v>257.12</v>
          </cell>
          <cell r="Q75">
            <v>265.14999999999998</v>
          </cell>
          <cell r="R75">
            <v>273.19</v>
          </cell>
          <cell r="S75">
            <v>3020.5200000000004</v>
          </cell>
        </row>
        <row r="76">
          <cell r="A76" t="str">
            <v>VashonResidentialRECYR</v>
          </cell>
          <cell r="B76" t="str">
            <v>RECYR</v>
          </cell>
          <cell r="C76" t="str">
            <v>RECYCLE PROGRAM</v>
          </cell>
          <cell r="D76">
            <v>14.57</v>
          </cell>
          <cell r="E76">
            <v>14.57</v>
          </cell>
          <cell r="F76"/>
          <cell r="G76">
            <v>19249.039999999994</v>
          </cell>
          <cell r="H76">
            <v>19275.77</v>
          </cell>
          <cell r="I76">
            <v>19619.024999999998</v>
          </cell>
          <cell r="J76">
            <v>19720.47</v>
          </cell>
          <cell r="K76">
            <v>20047.154999999999</v>
          </cell>
          <cell r="L76">
            <v>20391.505000000001</v>
          </cell>
          <cell r="M76">
            <v>20882.825000000004</v>
          </cell>
          <cell r="N76">
            <v>21128.005000000001</v>
          </cell>
          <cell r="O76">
            <v>21448.705000000002</v>
          </cell>
          <cell r="P76">
            <v>21146.179999999997</v>
          </cell>
          <cell r="Q76">
            <v>21250.300000000003</v>
          </cell>
          <cell r="R76">
            <v>21029.244999999999</v>
          </cell>
          <cell r="S76">
            <v>245188.22499999998</v>
          </cell>
        </row>
        <row r="77">
          <cell r="A77" t="str">
            <v>VashonResidentialRECYRNB</v>
          </cell>
          <cell r="B77" t="str">
            <v>RECYRNB</v>
          </cell>
          <cell r="C77" t="str">
            <v>RECY PROGRAM-NO CART</v>
          </cell>
          <cell r="D77">
            <v>0</v>
          </cell>
          <cell r="E77">
            <v>0</v>
          </cell>
          <cell r="F77"/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A78" t="str">
            <v>VashonResidentialDRVNR-RECYCLE</v>
          </cell>
          <cell r="B78" t="str">
            <v>DRVNR-RECYCLE</v>
          </cell>
          <cell r="C78" t="str">
            <v>DRIVE IN RECYCLE</v>
          </cell>
          <cell r="D78">
            <v>0</v>
          </cell>
          <cell r="E78">
            <v>0</v>
          </cell>
          <cell r="F78"/>
          <cell r="G78">
            <v>2.81</v>
          </cell>
          <cell r="H78">
            <v>2.81</v>
          </cell>
          <cell r="I78">
            <v>2.81</v>
          </cell>
          <cell r="J78">
            <v>2.81</v>
          </cell>
          <cell r="K78">
            <v>2.81</v>
          </cell>
          <cell r="L78">
            <v>2.81</v>
          </cell>
          <cell r="M78">
            <v>2.81</v>
          </cell>
          <cell r="N78">
            <v>2.81</v>
          </cell>
          <cell r="O78">
            <v>2.81</v>
          </cell>
          <cell r="P78">
            <v>5.62</v>
          </cell>
          <cell r="Q78">
            <v>5.62</v>
          </cell>
          <cell r="R78">
            <v>5.62</v>
          </cell>
          <cell r="S78">
            <v>42.149999999999991</v>
          </cell>
        </row>
        <row r="79">
          <cell r="A79" t="str">
            <v>VashonResidentialPACKR-RECYCLE</v>
          </cell>
          <cell r="B79" t="str">
            <v>PACKR-RECYCLE</v>
          </cell>
          <cell r="C79" t="str">
            <v>RECY ROLLOUT RESI &lt;25'</v>
          </cell>
          <cell r="D79">
            <v>0</v>
          </cell>
          <cell r="E79">
            <v>0</v>
          </cell>
          <cell r="F79"/>
          <cell r="G79">
            <v>1.1499999999999999</v>
          </cell>
          <cell r="H79">
            <v>1.1499999999999999</v>
          </cell>
          <cell r="I79">
            <v>1.1499999999999999</v>
          </cell>
          <cell r="J79">
            <v>2.3650000000000002</v>
          </cell>
          <cell r="K79">
            <v>2.3650000000000002</v>
          </cell>
          <cell r="L79">
            <v>2.3650000000000002</v>
          </cell>
          <cell r="M79">
            <v>2.3650000000000002</v>
          </cell>
          <cell r="N79">
            <v>2.3650000000000002</v>
          </cell>
          <cell r="O79">
            <v>2.3650000000000002</v>
          </cell>
          <cell r="P79">
            <v>2.3650000000000002</v>
          </cell>
          <cell r="Q79">
            <v>2.3650000000000002</v>
          </cell>
          <cell r="R79">
            <v>2.3650000000000002</v>
          </cell>
          <cell r="S79">
            <v>24.735000000000007</v>
          </cell>
        </row>
        <row r="80">
          <cell r="A80" t="str">
            <v>VashonResidentialTOTERDEL</v>
          </cell>
          <cell r="B80" t="str">
            <v>TOTERDEL</v>
          </cell>
          <cell r="C80" t="str">
            <v>RECYCLE TOTER REDELIVERY</v>
          </cell>
          <cell r="D80">
            <v>0</v>
          </cell>
          <cell r="E80">
            <v>0</v>
          </cell>
          <cell r="F80"/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 t="str">
            <v>VashonResidentialRECYDEL</v>
          </cell>
          <cell r="B81" t="str">
            <v>RECYDEL</v>
          </cell>
          <cell r="C81" t="str">
            <v>RECYCLE TOTER REDELIVERY</v>
          </cell>
          <cell r="D81">
            <v>15.85</v>
          </cell>
          <cell r="E81">
            <v>15.85</v>
          </cell>
          <cell r="F81"/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</row>
        <row r="83">
          <cell r="C83" t="str">
            <v>TOTAL RESIDENTIAL RECYCLING</v>
          </cell>
          <cell r="D83"/>
          <cell r="E83"/>
          <cell r="F83"/>
          <cell r="G83">
            <v>19494.049999999996</v>
          </cell>
          <cell r="H83">
            <v>19521.405000000002</v>
          </cell>
          <cell r="I83">
            <v>19880.11</v>
          </cell>
          <cell r="J83">
            <v>19970.710000000003</v>
          </cell>
          <cell r="K83">
            <v>20297.395</v>
          </cell>
          <cell r="L83">
            <v>20629.695000000003</v>
          </cell>
          <cell r="M83">
            <v>21135.825000000008</v>
          </cell>
          <cell r="N83">
            <v>21390.300000000003</v>
          </cell>
          <cell r="O83">
            <v>21711.000000000004</v>
          </cell>
          <cell r="P83">
            <v>21411.284999999996</v>
          </cell>
          <cell r="Q83">
            <v>21523.435000000005</v>
          </cell>
          <cell r="R83">
            <v>21310.42</v>
          </cell>
          <cell r="S83">
            <v>248275.62999999995</v>
          </cell>
        </row>
        <row r="84"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</row>
        <row r="85">
          <cell r="B85" t="str">
            <v>RESIDENTIAL YARD WASTE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</row>
        <row r="86">
          <cell r="A86" t="str">
            <v>VashonResidentialYDW90</v>
          </cell>
          <cell r="B86" t="str">
            <v>YDW90</v>
          </cell>
          <cell r="C86" t="str">
            <v>90 GAL YARDWASTE</v>
          </cell>
          <cell r="D86">
            <v>0</v>
          </cell>
          <cell r="E86">
            <v>0</v>
          </cell>
          <cell r="F86"/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A87" t="str">
            <v>VashonResidentialYDW90SNR</v>
          </cell>
          <cell r="B87" t="str">
            <v>YDW90SNR</v>
          </cell>
          <cell r="C87" t="str">
            <v>SENIOR YARD WASTE</v>
          </cell>
          <cell r="D87">
            <v>0</v>
          </cell>
          <cell r="E87">
            <v>0</v>
          </cell>
          <cell r="F87"/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A88" t="str">
            <v>VashonResidentialYDWDEL</v>
          </cell>
          <cell r="B88" t="str">
            <v>YDWDEL</v>
          </cell>
          <cell r="C88" t="str">
            <v>YARDWASTE REDELIVERY</v>
          </cell>
          <cell r="D88">
            <v>0</v>
          </cell>
          <cell r="E88">
            <v>0</v>
          </cell>
          <cell r="F88"/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 t="str">
            <v>VashonResidentialYDWEX</v>
          </cell>
          <cell r="B89" t="str">
            <v>YDWEX</v>
          </cell>
          <cell r="C89" t="str">
            <v>EXTRA YARD WASTE</v>
          </cell>
          <cell r="D89">
            <v>0</v>
          </cell>
          <cell r="E89">
            <v>0</v>
          </cell>
          <cell r="F89"/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 t="str">
            <v>VashonResidentialDRVNR-YARDWASTE</v>
          </cell>
          <cell r="B90" t="str">
            <v>DRVNR-YARDWASTE</v>
          </cell>
          <cell r="C90" t="str">
            <v>DRIVE IN YARDWASTE</v>
          </cell>
          <cell r="D90">
            <v>0</v>
          </cell>
          <cell r="E90">
            <v>0</v>
          </cell>
          <cell r="F90"/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 t="str">
            <v>VashonResidentialPACKR-YARDWASTE</v>
          </cell>
          <cell r="B91" t="str">
            <v>PACKR-YARDWASTE</v>
          </cell>
          <cell r="C91" t="str">
            <v>YRDWSTE ROLLOUT RES &lt;25'</v>
          </cell>
          <cell r="D91">
            <v>0</v>
          </cell>
          <cell r="E91">
            <v>0</v>
          </cell>
          <cell r="F91"/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 t="str">
            <v>VashonResidentialTRIPYCARTS</v>
          </cell>
          <cell r="B92" t="str">
            <v>TRIPYCARTS</v>
          </cell>
          <cell r="C92" t="str">
            <v>YDW TRIP CHARGE - RESI</v>
          </cell>
          <cell r="D92">
            <v>0</v>
          </cell>
          <cell r="E92">
            <v>0</v>
          </cell>
          <cell r="F92"/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</row>
        <row r="94">
          <cell r="C94" t="str">
            <v>TOTAL RESIDENTIAL YARD WASTE</v>
          </cell>
          <cell r="D94"/>
          <cell r="E94"/>
          <cell r="F94"/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</row>
        <row r="96"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</row>
        <row r="97">
          <cell r="B97" t="str">
            <v>SUBTOTAL RESIDENTIAL</v>
          </cell>
          <cell r="D97"/>
          <cell r="E97"/>
          <cell r="F97"/>
          <cell r="G97">
            <v>68871.25</v>
          </cell>
          <cell r="H97">
            <v>66927.050000000017</v>
          </cell>
          <cell r="I97">
            <v>69271.245000000024</v>
          </cell>
          <cell r="J97">
            <v>69165.850000000006</v>
          </cell>
          <cell r="K97">
            <v>70408.535000000003</v>
          </cell>
          <cell r="L97">
            <v>71389.375</v>
          </cell>
          <cell r="M97">
            <v>73713.73000000001</v>
          </cell>
          <cell r="N97">
            <v>73162.60500000001</v>
          </cell>
          <cell r="O97">
            <v>74601.24500000001</v>
          </cell>
          <cell r="P97">
            <v>71846.315000000002</v>
          </cell>
          <cell r="Q97">
            <v>71731.58</v>
          </cell>
          <cell r="R97">
            <v>71258.610000000015</v>
          </cell>
          <cell r="S97">
            <v>852347.3899999999</v>
          </cell>
        </row>
        <row r="98"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</row>
        <row r="99"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</row>
        <row r="100">
          <cell r="B100" t="str">
            <v>COMMERCIAL SERVICES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</row>
        <row r="102">
          <cell r="A102" t="str">
            <v>Commercial</v>
          </cell>
          <cell r="B102" t="str">
            <v>COMMERCIAL GARBAGE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</row>
        <row r="103">
          <cell r="A103" t="str">
            <v>VashonCommercial20CW1</v>
          </cell>
          <cell r="B103" t="str">
            <v>20CW1</v>
          </cell>
          <cell r="C103" t="str">
            <v>1-20 GAL CART WKLY</v>
          </cell>
          <cell r="D103">
            <v>0</v>
          </cell>
          <cell r="E103">
            <v>0</v>
          </cell>
          <cell r="F103"/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 t="str">
            <v>VashonCommercial32C2W2</v>
          </cell>
          <cell r="B104" t="str">
            <v>32C2W2</v>
          </cell>
          <cell r="C104" t="str">
            <v>2-32 GAL CANS 2X WEEKLY</v>
          </cell>
          <cell r="D104">
            <v>0</v>
          </cell>
          <cell r="E104">
            <v>0</v>
          </cell>
          <cell r="F104"/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A105" t="str">
            <v>VashonCommercial32CE1</v>
          </cell>
          <cell r="B105" t="str">
            <v>32CE1</v>
          </cell>
          <cell r="C105" t="str">
            <v>32 GAL CAN COMM EOW</v>
          </cell>
          <cell r="D105">
            <v>15.59</v>
          </cell>
          <cell r="E105">
            <v>15.59</v>
          </cell>
          <cell r="F105"/>
          <cell r="G105">
            <v>31.18</v>
          </cell>
          <cell r="H105">
            <v>31.18</v>
          </cell>
          <cell r="I105">
            <v>31.18</v>
          </cell>
          <cell r="J105">
            <v>31.18</v>
          </cell>
          <cell r="K105">
            <v>31.18</v>
          </cell>
          <cell r="L105">
            <v>31.18</v>
          </cell>
          <cell r="M105">
            <v>31.18</v>
          </cell>
          <cell r="N105">
            <v>31.18</v>
          </cell>
          <cell r="O105">
            <v>31.18</v>
          </cell>
          <cell r="P105">
            <v>31.18</v>
          </cell>
          <cell r="Q105">
            <v>15.59</v>
          </cell>
          <cell r="R105">
            <v>15.59</v>
          </cell>
          <cell r="S105">
            <v>342.97999999999996</v>
          </cell>
        </row>
        <row r="106">
          <cell r="A106" t="str">
            <v>VashonCommercial32CW1</v>
          </cell>
          <cell r="B106" t="str">
            <v>32CW1</v>
          </cell>
          <cell r="C106" t="str">
            <v>1-32 GAL CAN WEEKLY</v>
          </cell>
          <cell r="D106">
            <v>15.59</v>
          </cell>
          <cell r="E106">
            <v>15.59</v>
          </cell>
          <cell r="F106"/>
          <cell r="G106">
            <v>82.820000000000007</v>
          </cell>
          <cell r="H106">
            <v>77.95</v>
          </cell>
          <cell r="I106">
            <v>83.79</v>
          </cell>
          <cell r="J106">
            <v>85.745000000000005</v>
          </cell>
          <cell r="K106">
            <v>64.295000000000002</v>
          </cell>
          <cell r="L106">
            <v>74.050000000000011</v>
          </cell>
          <cell r="M106">
            <v>52.620000000000005</v>
          </cell>
          <cell r="N106">
            <v>31.18</v>
          </cell>
          <cell r="O106">
            <v>33.119999999999997</v>
          </cell>
          <cell r="P106">
            <v>31.18</v>
          </cell>
          <cell r="Q106">
            <v>31.18</v>
          </cell>
          <cell r="R106">
            <v>44.814999999999998</v>
          </cell>
          <cell r="S106">
            <v>692.74499999999989</v>
          </cell>
        </row>
        <row r="107">
          <cell r="A107" t="str">
            <v>VashonCommercial32CW2</v>
          </cell>
          <cell r="B107" t="str">
            <v>32CW2</v>
          </cell>
          <cell r="C107" t="str">
            <v>2-32 GAL CANS WKLY</v>
          </cell>
          <cell r="D107">
            <v>31.17</v>
          </cell>
          <cell r="E107">
            <v>31.17</v>
          </cell>
          <cell r="F107"/>
          <cell r="G107">
            <v>155.85</v>
          </cell>
          <cell r="H107">
            <v>155.85</v>
          </cell>
          <cell r="I107">
            <v>155.85</v>
          </cell>
          <cell r="J107">
            <v>155.85</v>
          </cell>
          <cell r="K107">
            <v>101.3</v>
          </cell>
          <cell r="L107">
            <v>124.68</v>
          </cell>
          <cell r="M107">
            <v>85.71</v>
          </cell>
          <cell r="N107">
            <v>62.34</v>
          </cell>
          <cell r="O107">
            <v>62.34</v>
          </cell>
          <cell r="P107">
            <v>62.34</v>
          </cell>
          <cell r="Q107">
            <v>62.34</v>
          </cell>
          <cell r="R107">
            <v>62.34</v>
          </cell>
          <cell r="S107">
            <v>1246.7899999999997</v>
          </cell>
        </row>
        <row r="108">
          <cell r="A108" t="str">
            <v>VashonCommercial32CW3</v>
          </cell>
          <cell r="B108" t="str">
            <v>32CW3</v>
          </cell>
          <cell r="C108" t="str">
            <v>3-32 GAL CANS WKLY</v>
          </cell>
          <cell r="D108">
            <v>46.76</v>
          </cell>
          <cell r="E108">
            <v>46.76</v>
          </cell>
          <cell r="F108"/>
          <cell r="G108">
            <v>140.28</v>
          </cell>
          <cell r="H108">
            <v>140.28</v>
          </cell>
          <cell r="I108">
            <v>140.28</v>
          </cell>
          <cell r="J108">
            <v>140.28</v>
          </cell>
          <cell r="K108">
            <v>105.21</v>
          </cell>
          <cell r="L108">
            <v>140.28</v>
          </cell>
          <cell r="M108">
            <v>140.28</v>
          </cell>
          <cell r="N108">
            <v>140.28</v>
          </cell>
          <cell r="O108">
            <v>140.28</v>
          </cell>
          <cell r="P108">
            <v>140.28</v>
          </cell>
          <cell r="Q108">
            <v>140.28</v>
          </cell>
          <cell r="R108">
            <v>140.28</v>
          </cell>
          <cell r="S108">
            <v>1648.29</v>
          </cell>
        </row>
        <row r="109">
          <cell r="A109" t="str">
            <v>VashonCommercial32CW4</v>
          </cell>
          <cell r="B109" t="str">
            <v>32CW4</v>
          </cell>
          <cell r="C109" t="str">
            <v>4-32 GAL CANS WKLY</v>
          </cell>
          <cell r="D109">
            <v>62.35</v>
          </cell>
          <cell r="E109">
            <v>62.35</v>
          </cell>
          <cell r="F109"/>
          <cell r="G109">
            <v>187.05</v>
          </cell>
          <cell r="H109">
            <v>187.05</v>
          </cell>
          <cell r="I109">
            <v>187.05</v>
          </cell>
          <cell r="J109">
            <v>187.05</v>
          </cell>
          <cell r="K109">
            <v>187.05</v>
          </cell>
          <cell r="L109">
            <v>187.05</v>
          </cell>
          <cell r="M109">
            <v>187.05</v>
          </cell>
          <cell r="N109">
            <v>187.05</v>
          </cell>
          <cell r="O109">
            <v>187.05</v>
          </cell>
          <cell r="P109">
            <v>187.05</v>
          </cell>
          <cell r="Q109">
            <v>155.87</v>
          </cell>
          <cell r="R109">
            <v>124.7</v>
          </cell>
          <cell r="S109">
            <v>2151.0699999999997</v>
          </cell>
        </row>
        <row r="110">
          <cell r="A110" t="str">
            <v>VashonCommercial35CW1</v>
          </cell>
          <cell r="B110" t="str">
            <v>35CW1</v>
          </cell>
          <cell r="C110" t="str">
            <v>1-35 GAL CART WKLY</v>
          </cell>
          <cell r="D110">
            <v>0</v>
          </cell>
          <cell r="E110">
            <v>0</v>
          </cell>
          <cell r="F110"/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 t="str">
            <v>VashonCommercial65CW1</v>
          </cell>
          <cell r="B111" t="str">
            <v>65CW1</v>
          </cell>
          <cell r="C111" t="str">
            <v>1-65 GAL CART WKLY</v>
          </cell>
          <cell r="D111">
            <v>0</v>
          </cell>
          <cell r="E111">
            <v>0</v>
          </cell>
          <cell r="F111"/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A112" t="str">
            <v>VashonCommercial95CW1</v>
          </cell>
          <cell r="B112" t="str">
            <v>95CW1</v>
          </cell>
          <cell r="C112" t="str">
            <v>1-95 GAL CART WKLY</v>
          </cell>
          <cell r="D112">
            <v>0</v>
          </cell>
          <cell r="E112">
            <v>0</v>
          </cell>
          <cell r="F112"/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A113" t="str">
            <v>VashonCommercialF1YD1W</v>
          </cell>
          <cell r="B113" t="str">
            <v>F1YD1W</v>
          </cell>
          <cell r="C113" t="str">
            <v>1YD CONT 1X WEEKLY</v>
          </cell>
          <cell r="D113">
            <v>0</v>
          </cell>
          <cell r="E113">
            <v>0</v>
          </cell>
          <cell r="F113"/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A114" t="str">
            <v>VashonCommercialR1YD1W</v>
          </cell>
          <cell r="B114" t="str">
            <v>R1YD1W</v>
          </cell>
          <cell r="C114" t="str">
            <v>1YD CONT 1xWEEKLY</v>
          </cell>
          <cell r="D114">
            <v>84.39</v>
          </cell>
          <cell r="E114">
            <v>84.39</v>
          </cell>
          <cell r="F114"/>
          <cell r="G114">
            <v>4135.1099999999997</v>
          </cell>
          <cell r="H114">
            <v>4177.3100000000004</v>
          </cell>
          <cell r="I114">
            <v>4219.5</v>
          </cell>
          <cell r="J114">
            <v>4261.68</v>
          </cell>
          <cell r="K114">
            <v>4303.88</v>
          </cell>
          <cell r="L114">
            <v>4388.28</v>
          </cell>
          <cell r="M114">
            <v>4409.37</v>
          </cell>
          <cell r="N114">
            <v>4367.18</v>
          </cell>
          <cell r="O114">
            <v>4303.8900000000003</v>
          </cell>
          <cell r="P114">
            <v>4177.3</v>
          </cell>
          <cell r="Q114">
            <v>4219.5</v>
          </cell>
          <cell r="R114">
            <v>4135.1099999999997</v>
          </cell>
          <cell r="S114">
            <v>51098.11</v>
          </cell>
        </row>
        <row r="115">
          <cell r="A115" t="str">
            <v>VashonCommercialR1YD2W</v>
          </cell>
          <cell r="B115" t="str">
            <v>R1YD2W</v>
          </cell>
          <cell r="C115" t="str">
            <v>1YD CONT 2xWEEKLY</v>
          </cell>
          <cell r="D115">
            <v>168.78</v>
          </cell>
          <cell r="E115">
            <v>168.78</v>
          </cell>
          <cell r="F115"/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A116" t="str">
            <v>VashonCommercialF1YD2W</v>
          </cell>
          <cell r="B116" t="str">
            <v>F1YD2W</v>
          </cell>
          <cell r="C116" t="str">
            <v>1YD CONT 2X WEEKLY</v>
          </cell>
          <cell r="D116">
            <v>0</v>
          </cell>
          <cell r="E116">
            <v>0</v>
          </cell>
          <cell r="F116"/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A117" t="str">
            <v>VashonCommercialR1YD3W</v>
          </cell>
          <cell r="B117" t="str">
            <v>R1YD3W</v>
          </cell>
          <cell r="C117" t="str">
            <v>1YD CONT 3xWEEKLY</v>
          </cell>
          <cell r="D117">
            <v>253.17</v>
          </cell>
          <cell r="E117">
            <v>253.17</v>
          </cell>
          <cell r="F117"/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A118" t="str">
            <v>VashonCommercialR1YDEOW</v>
          </cell>
          <cell r="B118" t="str">
            <v>R1YDEOW</v>
          </cell>
          <cell r="C118" t="str">
            <v>1YD CONT EOW</v>
          </cell>
          <cell r="D118">
            <v>42.29</v>
          </cell>
          <cell r="E118">
            <v>42.29</v>
          </cell>
          <cell r="F118"/>
          <cell r="G118">
            <v>1945.34</v>
          </cell>
          <cell r="H118">
            <v>1945.34</v>
          </cell>
          <cell r="I118">
            <v>1903.05</v>
          </cell>
          <cell r="J118">
            <v>1903.05</v>
          </cell>
          <cell r="K118">
            <v>1903.05</v>
          </cell>
          <cell r="L118">
            <v>1924.19</v>
          </cell>
          <cell r="M118">
            <v>1934.76</v>
          </cell>
          <cell r="N118">
            <v>1849.81</v>
          </cell>
          <cell r="O118">
            <v>1881.9</v>
          </cell>
          <cell r="P118">
            <v>2008.77</v>
          </cell>
          <cell r="Q118">
            <v>2072.2049999999999</v>
          </cell>
          <cell r="R118">
            <v>2093.355</v>
          </cell>
          <cell r="S118">
            <v>23364.820000000003</v>
          </cell>
        </row>
        <row r="119">
          <cell r="A119" t="str">
            <v>VashonCommercialR1YDTPU</v>
          </cell>
          <cell r="B119" t="str">
            <v>R1YDTPU</v>
          </cell>
          <cell r="C119" t="str">
            <v>1YD TEMP CONT</v>
          </cell>
          <cell r="D119">
            <v>86.44</v>
          </cell>
          <cell r="E119">
            <v>86.44</v>
          </cell>
          <cell r="F119"/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43.22</v>
          </cell>
          <cell r="P119">
            <v>43.22</v>
          </cell>
          <cell r="Q119">
            <v>64.83</v>
          </cell>
          <cell r="R119">
            <v>0</v>
          </cell>
          <cell r="S119">
            <v>151.26999999999998</v>
          </cell>
        </row>
        <row r="120">
          <cell r="A120" t="str">
            <v>VashonCommercialF1.5YD1W</v>
          </cell>
          <cell r="B120" t="str">
            <v>F1.5YD1W</v>
          </cell>
          <cell r="C120" t="str">
            <v>1.5YD CONT 1X WEEKLY</v>
          </cell>
          <cell r="D120">
            <v>0</v>
          </cell>
          <cell r="E120">
            <v>0</v>
          </cell>
          <cell r="F120"/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A121" t="str">
            <v>VashonCommercialR1.5YD1W</v>
          </cell>
          <cell r="B121" t="str">
            <v>R1.5YD1W</v>
          </cell>
          <cell r="C121" t="str">
            <v>1.5YD CONT 1xWEEKLY</v>
          </cell>
          <cell r="D121">
            <v>107.12</v>
          </cell>
          <cell r="E121">
            <v>107.12</v>
          </cell>
          <cell r="F121"/>
          <cell r="G121">
            <v>1928.16</v>
          </cell>
          <cell r="H121">
            <v>1713.92</v>
          </cell>
          <cell r="I121">
            <v>1713.92</v>
          </cell>
          <cell r="J121">
            <v>1713.92</v>
          </cell>
          <cell r="K121">
            <v>1713.92</v>
          </cell>
          <cell r="L121">
            <v>1687.14</v>
          </cell>
          <cell r="M121">
            <v>1821.04</v>
          </cell>
          <cell r="N121">
            <v>1821.04</v>
          </cell>
          <cell r="O121">
            <v>1821.04</v>
          </cell>
          <cell r="P121">
            <v>1713.92</v>
          </cell>
          <cell r="Q121">
            <v>1767.48</v>
          </cell>
          <cell r="R121">
            <v>1580.02</v>
          </cell>
          <cell r="S121">
            <v>20995.520000000004</v>
          </cell>
        </row>
        <row r="122">
          <cell r="A122" t="str">
            <v>VashonCommercialR1.5YD2W</v>
          </cell>
          <cell r="B122" t="str">
            <v>R1.5YD2W</v>
          </cell>
          <cell r="C122" t="str">
            <v>1.5YD CONT 2xWEEKLY</v>
          </cell>
          <cell r="D122">
            <v>214.24</v>
          </cell>
          <cell r="E122">
            <v>214.24</v>
          </cell>
          <cell r="F122"/>
          <cell r="G122">
            <v>428.48</v>
          </cell>
          <cell r="H122">
            <v>428.48</v>
          </cell>
          <cell r="I122">
            <v>428.48</v>
          </cell>
          <cell r="J122">
            <v>428.48</v>
          </cell>
          <cell r="K122">
            <v>428.48</v>
          </cell>
          <cell r="L122">
            <v>428.48</v>
          </cell>
          <cell r="M122">
            <v>428.48</v>
          </cell>
          <cell r="N122">
            <v>428.48</v>
          </cell>
          <cell r="O122">
            <v>428.48</v>
          </cell>
          <cell r="P122">
            <v>428.48</v>
          </cell>
          <cell r="Q122">
            <v>428.48</v>
          </cell>
          <cell r="R122">
            <v>428.48</v>
          </cell>
          <cell r="S122">
            <v>5141.76</v>
          </cell>
        </row>
        <row r="123">
          <cell r="A123" t="str">
            <v>VashonCommercialR1.5YD3W</v>
          </cell>
          <cell r="B123" t="str">
            <v>R1.5YD3W</v>
          </cell>
          <cell r="C123" t="str">
            <v>1.5YD CONT 3xWEEKLY</v>
          </cell>
          <cell r="D123">
            <v>321.37</v>
          </cell>
          <cell r="E123">
            <v>321.37</v>
          </cell>
          <cell r="F123"/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A124" t="str">
            <v>VashonCommercialR1.5YDEOW</v>
          </cell>
          <cell r="B124" t="str">
            <v>R1.5YDEOW</v>
          </cell>
          <cell r="C124" t="str">
            <v>1.5YD CONT EOW</v>
          </cell>
          <cell r="D124">
            <v>53.68</v>
          </cell>
          <cell r="E124">
            <v>53.68</v>
          </cell>
          <cell r="F124"/>
          <cell r="G124">
            <v>268.39999999999998</v>
          </cell>
          <cell r="H124">
            <v>268.39999999999998</v>
          </cell>
          <cell r="I124">
            <v>241.56</v>
          </cell>
          <cell r="J124">
            <v>268.39999999999998</v>
          </cell>
          <cell r="K124">
            <v>241.56</v>
          </cell>
          <cell r="L124">
            <v>214.72</v>
          </cell>
          <cell r="M124">
            <v>161.04</v>
          </cell>
          <cell r="N124">
            <v>147.62</v>
          </cell>
          <cell r="O124">
            <v>161.04</v>
          </cell>
          <cell r="P124">
            <v>161.04</v>
          </cell>
          <cell r="Q124">
            <v>134.19999999999999</v>
          </cell>
          <cell r="R124">
            <v>214.72</v>
          </cell>
          <cell r="S124">
            <v>2482.6999999999994</v>
          </cell>
        </row>
        <row r="125">
          <cell r="A125" t="str">
            <v>VashonCommercialR1.5YDTPU</v>
          </cell>
          <cell r="B125" t="str">
            <v>R1.5YDTPU</v>
          </cell>
          <cell r="C125" t="str">
            <v>1.5YD TEMP CONTAINER</v>
          </cell>
          <cell r="D125">
            <v>107.4</v>
          </cell>
          <cell r="E125">
            <v>107.4</v>
          </cell>
          <cell r="F125"/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A126" t="str">
            <v>VashonCommercialF2YD1W</v>
          </cell>
          <cell r="B126" t="str">
            <v>F2YD1W</v>
          </cell>
          <cell r="C126" t="str">
            <v>2YD CONT 1X WEEKLY</v>
          </cell>
          <cell r="D126">
            <v>0</v>
          </cell>
          <cell r="E126">
            <v>0</v>
          </cell>
          <cell r="F126"/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 t="str">
            <v>VashonCommercialR2YD1W</v>
          </cell>
          <cell r="B127" t="str">
            <v>R2YD1W</v>
          </cell>
          <cell r="C127" t="str">
            <v>2YD CONT 1xWEEKLY</v>
          </cell>
          <cell r="D127">
            <v>148.72999999999999</v>
          </cell>
          <cell r="E127">
            <v>148.72999999999999</v>
          </cell>
          <cell r="F127"/>
          <cell r="G127">
            <v>7752.5549999999994</v>
          </cell>
          <cell r="H127">
            <v>7919.875</v>
          </cell>
          <cell r="I127">
            <v>7548.0450000000001</v>
          </cell>
          <cell r="J127">
            <v>7027.4950000000008</v>
          </cell>
          <cell r="K127">
            <v>7287.7550000000001</v>
          </cell>
          <cell r="L127">
            <v>7529.43</v>
          </cell>
          <cell r="M127">
            <v>7752.55</v>
          </cell>
          <cell r="N127">
            <v>7994.2349999999997</v>
          </cell>
          <cell r="O127">
            <v>7901.2749999999996</v>
          </cell>
          <cell r="P127">
            <v>7919.8649999999998</v>
          </cell>
          <cell r="Q127">
            <v>8031.4049999999997</v>
          </cell>
          <cell r="R127">
            <v>7436.5</v>
          </cell>
          <cell r="S127">
            <v>92100.985000000001</v>
          </cell>
        </row>
        <row r="128">
          <cell r="A128" t="str">
            <v>VashonCommercialR2YD2W</v>
          </cell>
          <cell r="B128" t="str">
            <v>R2YD2W</v>
          </cell>
          <cell r="C128" t="str">
            <v>2YD CONT 2xWEEKLY</v>
          </cell>
          <cell r="D128">
            <v>297.47000000000003</v>
          </cell>
          <cell r="E128">
            <v>297.47000000000003</v>
          </cell>
          <cell r="F128"/>
          <cell r="G128">
            <v>5354.46</v>
          </cell>
          <cell r="H128">
            <v>5651.93</v>
          </cell>
          <cell r="I128">
            <v>5949.4</v>
          </cell>
          <cell r="J128">
            <v>7197.11</v>
          </cell>
          <cell r="K128">
            <v>7882.95</v>
          </cell>
          <cell r="L128">
            <v>8031.69</v>
          </cell>
          <cell r="M128">
            <v>8031.69</v>
          </cell>
          <cell r="N128">
            <v>8031.69</v>
          </cell>
          <cell r="O128">
            <v>8143.24</v>
          </cell>
          <cell r="P128">
            <v>8329.16</v>
          </cell>
          <cell r="Q128">
            <v>8329.16</v>
          </cell>
          <cell r="R128">
            <v>8143.23</v>
          </cell>
          <cell r="S128">
            <v>89075.71</v>
          </cell>
        </row>
        <row r="129">
          <cell r="A129" t="str">
            <v>VashonCommercialF2YD2W</v>
          </cell>
          <cell r="B129" t="str">
            <v>F2YD2W</v>
          </cell>
          <cell r="C129" t="str">
            <v>2YD CONT 2X WEEKLY</v>
          </cell>
          <cell r="D129">
            <v>0</v>
          </cell>
          <cell r="E129">
            <v>0</v>
          </cell>
          <cell r="F129"/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 t="str">
            <v>VashonCommercialF2YD3W</v>
          </cell>
          <cell r="B130" t="str">
            <v>F2YD3W</v>
          </cell>
          <cell r="C130" t="str">
            <v>2YD CONT 3X WEEKLY</v>
          </cell>
          <cell r="D130">
            <v>0</v>
          </cell>
          <cell r="E130">
            <v>0</v>
          </cell>
          <cell r="F130"/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A131" t="str">
            <v>VashonCommercialR2YD3W</v>
          </cell>
          <cell r="B131" t="str">
            <v>R2YD3W</v>
          </cell>
          <cell r="C131" t="str">
            <v>2YD CONT 3xWEEKLY</v>
          </cell>
          <cell r="D131">
            <v>446.2</v>
          </cell>
          <cell r="E131">
            <v>446.2</v>
          </cell>
          <cell r="F131"/>
          <cell r="G131">
            <v>3123.4</v>
          </cell>
          <cell r="H131">
            <v>3123.4</v>
          </cell>
          <cell r="I131">
            <v>3123.4</v>
          </cell>
          <cell r="J131">
            <v>3123.4</v>
          </cell>
          <cell r="K131">
            <v>4015.8</v>
          </cell>
          <cell r="L131">
            <v>4015.8</v>
          </cell>
          <cell r="M131">
            <v>4015.8</v>
          </cell>
          <cell r="N131">
            <v>4015.8</v>
          </cell>
          <cell r="O131">
            <v>4015.8</v>
          </cell>
          <cell r="P131">
            <v>4015.8</v>
          </cell>
          <cell r="Q131">
            <v>4015.8</v>
          </cell>
          <cell r="R131">
            <v>4015.8</v>
          </cell>
          <cell r="S131">
            <v>44620.000000000007</v>
          </cell>
        </row>
        <row r="132">
          <cell r="A132" t="str">
            <v>VashonCommercialR2YD4W</v>
          </cell>
          <cell r="B132" t="str">
            <v>R2YD4W</v>
          </cell>
          <cell r="C132" t="str">
            <v>2YD CONT 4xWEEKLY</v>
          </cell>
          <cell r="D132">
            <v>594.94000000000005</v>
          </cell>
          <cell r="E132">
            <v>594.94000000000005</v>
          </cell>
          <cell r="F132"/>
          <cell r="G132">
            <v>594.94000000000005</v>
          </cell>
          <cell r="H132">
            <v>594.94000000000005</v>
          </cell>
          <cell r="I132">
            <v>594.94000000000005</v>
          </cell>
          <cell r="J132">
            <v>594.94000000000005</v>
          </cell>
          <cell r="K132">
            <v>594.94000000000005</v>
          </cell>
          <cell r="L132">
            <v>594.94000000000005</v>
          </cell>
          <cell r="M132">
            <v>594.94000000000005</v>
          </cell>
          <cell r="N132">
            <v>594.94000000000005</v>
          </cell>
          <cell r="O132">
            <v>594.94000000000005</v>
          </cell>
          <cell r="P132">
            <v>594.94000000000005</v>
          </cell>
          <cell r="Q132">
            <v>594.94000000000005</v>
          </cell>
          <cell r="R132">
            <v>594.94000000000005</v>
          </cell>
          <cell r="S132">
            <v>7139.2800000000025</v>
          </cell>
        </row>
        <row r="133">
          <cell r="A133" t="str">
            <v>VashonCommercialR2YD5W</v>
          </cell>
          <cell r="B133" t="str">
            <v>R2YD5W</v>
          </cell>
          <cell r="C133" t="str">
            <v>2YD CONT 5xWEEKLY</v>
          </cell>
          <cell r="D133">
            <v>743.67</v>
          </cell>
          <cell r="E133">
            <v>743.67</v>
          </cell>
          <cell r="F133"/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A134" t="str">
            <v>VashonCommercialR2YDEOW</v>
          </cell>
          <cell r="B134" t="str">
            <v>R2YDEOW</v>
          </cell>
          <cell r="C134" t="str">
            <v>2YD CONT EOW</v>
          </cell>
          <cell r="D134">
            <v>74.53</v>
          </cell>
          <cell r="E134">
            <v>74.53</v>
          </cell>
          <cell r="F134"/>
          <cell r="G134">
            <v>1043.42</v>
          </cell>
          <cell r="H134">
            <v>1043.42</v>
          </cell>
          <cell r="I134">
            <v>1117.95</v>
          </cell>
          <cell r="J134">
            <v>1080.68</v>
          </cell>
          <cell r="K134">
            <v>1043.42</v>
          </cell>
          <cell r="L134">
            <v>1117.95</v>
          </cell>
          <cell r="M134">
            <v>1080.68</v>
          </cell>
          <cell r="N134">
            <v>1267.01</v>
          </cell>
          <cell r="O134">
            <v>1192.48</v>
          </cell>
          <cell r="P134">
            <v>1062.05</v>
          </cell>
          <cell r="Q134">
            <v>1043.42</v>
          </cell>
          <cell r="R134">
            <v>1267.01</v>
          </cell>
          <cell r="S134">
            <v>13359.49</v>
          </cell>
        </row>
        <row r="135">
          <cell r="A135" t="str">
            <v>VashonCommercialR2YDTPU</v>
          </cell>
          <cell r="B135" t="str">
            <v>R2YDTPU</v>
          </cell>
          <cell r="C135" t="str">
            <v>2YD TEMP CONTAINER</v>
          </cell>
          <cell r="D135">
            <v>145.84</v>
          </cell>
          <cell r="E135">
            <v>145.84</v>
          </cell>
          <cell r="F135"/>
          <cell r="G135">
            <v>36.46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72.92</v>
          </cell>
          <cell r="P135">
            <v>0</v>
          </cell>
          <cell r="Q135">
            <v>109.38</v>
          </cell>
          <cell r="R135">
            <v>0</v>
          </cell>
          <cell r="S135">
            <v>218.76</v>
          </cell>
        </row>
        <row r="136">
          <cell r="A136" t="str">
            <v>VashonCommercialF4YD1W</v>
          </cell>
          <cell r="B136" t="str">
            <v>F4YD1W</v>
          </cell>
          <cell r="C136" t="str">
            <v>4YD CONT 1X WEEKLY</v>
          </cell>
          <cell r="D136">
            <v>0</v>
          </cell>
          <cell r="E136">
            <v>0</v>
          </cell>
          <cell r="F136"/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A137" t="str">
            <v>VashonCommercialF4YD2W</v>
          </cell>
          <cell r="B137" t="str">
            <v>F4YD2W</v>
          </cell>
          <cell r="C137" t="str">
            <v>4YD CONT 2X WEEKLY</v>
          </cell>
          <cell r="D137">
            <v>0</v>
          </cell>
          <cell r="E137">
            <v>0</v>
          </cell>
          <cell r="F137"/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A138" t="str">
            <v>VashonCommercialF4YD3W</v>
          </cell>
          <cell r="B138" t="str">
            <v>F4YD3W</v>
          </cell>
          <cell r="C138" t="str">
            <v>4YD CONT 3X WEEKLY</v>
          </cell>
          <cell r="D138">
            <v>0</v>
          </cell>
          <cell r="E138">
            <v>0</v>
          </cell>
          <cell r="F138"/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 t="str">
            <v>VashonCommercialF4YD4W</v>
          </cell>
          <cell r="B139" t="str">
            <v>F4YD4W</v>
          </cell>
          <cell r="C139" t="str">
            <v>4YD CONT 4X WEEKLY SVC</v>
          </cell>
          <cell r="D139">
            <v>0</v>
          </cell>
          <cell r="E139">
            <v>0</v>
          </cell>
          <cell r="F139"/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A140" t="str">
            <v>VashonCommercialF6YD1W</v>
          </cell>
          <cell r="B140" t="str">
            <v>F6YD1W</v>
          </cell>
          <cell r="C140" t="str">
            <v>6YD CONT 1X WEEKLY</v>
          </cell>
          <cell r="D140">
            <v>0</v>
          </cell>
          <cell r="E140">
            <v>0</v>
          </cell>
          <cell r="F140"/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A141" t="str">
            <v>VashonCommercialF6YD2W</v>
          </cell>
          <cell r="B141" t="str">
            <v>F6YD2W</v>
          </cell>
          <cell r="C141" t="str">
            <v>6YD CONT 2X WEEKLY</v>
          </cell>
          <cell r="D141">
            <v>0</v>
          </cell>
          <cell r="E141">
            <v>0</v>
          </cell>
          <cell r="F141"/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A142" t="str">
            <v>VashonCommercialF6YD3W</v>
          </cell>
          <cell r="B142" t="str">
            <v>F6YD3W</v>
          </cell>
          <cell r="C142" t="str">
            <v>6YD CONT 3X WEEKLY</v>
          </cell>
          <cell r="D142">
            <v>0</v>
          </cell>
          <cell r="E142">
            <v>0</v>
          </cell>
          <cell r="F142"/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A143" t="str">
            <v>VashonCommercialF6YD4W</v>
          </cell>
          <cell r="B143" t="str">
            <v>F6YD4W</v>
          </cell>
          <cell r="C143" t="str">
            <v>6YD CONT 4X WEEKLY</v>
          </cell>
          <cell r="D143">
            <v>0</v>
          </cell>
          <cell r="E143">
            <v>0</v>
          </cell>
          <cell r="F143"/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A144" t="str">
            <v>VashonCommercialF6YD5W</v>
          </cell>
          <cell r="B144" t="str">
            <v>F6YD5W</v>
          </cell>
          <cell r="C144" t="str">
            <v>6YD CONT 5X WEEKLY</v>
          </cell>
          <cell r="D144">
            <v>0</v>
          </cell>
          <cell r="E144">
            <v>0</v>
          </cell>
          <cell r="F144"/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A145" t="str">
            <v>VashonCommercialF8YD2W</v>
          </cell>
          <cell r="B145" t="str">
            <v>F8YD2W</v>
          </cell>
          <cell r="C145" t="str">
            <v>8 YD CONT 2X WKLY</v>
          </cell>
          <cell r="D145">
            <v>0</v>
          </cell>
          <cell r="E145">
            <v>0</v>
          </cell>
          <cell r="F145"/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A146" t="str">
            <v>VashonCommercialFCP2YD1W2.25-1</v>
          </cell>
          <cell r="B146" t="str">
            <v>FCP2YD1W2.25-1</v>
          </cell>
          <cell r="C146" t="str">
            <v>2 YD 2.25-1 COMP 1X WK</v>
          </cell>
          <cell r="D146">
            <v>0</v>
          </cell>
          <cell r="E146">
            <v>0</v>
          </cell>
          <cell r="F146"/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A147" t="str">
            <v>VashonCommercialFCP2YD1W4-1</v>
          </cell>
          <cell r="B147" t="str">
            <v>FCP2YD1W4-1</v>
          </cell>
          <cell r="C147" t="str">
            <v>2 YD 4-1 COMP 1X WK</v>
          </cell>
          <cell r="D147">
            <v>0</v>
          </cell>
          <cell r="E147">
            <v>0</v>
          </cell>
          <cell r="F147"/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A148" t="str">
            <v>VashonCommercialFCP2YD2W</v>
          </cell>
          <cell r="B148" t="str">
            <v>FCP2YD2W</v>
          </cell>
          <cell r="C148" t="str">
            <v>2 YD COMPACTOR 2X WKLY</v>
          </cell>
          <cell r="D148">
            <v>0</v>
          </cell>
          <cell r="E148">
            <v>0</v>
          </cell>
          <cell r="F148"/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A149" t="str">
            <v>VashonCommercialFCP4YD1W2.25-1</v>
          </cell>
          <cell r="B149" t="str">
            <v>FCP4YD1W2.25-1</v>
          </cell>
          <cell r="C149" t="str">
            <v>4 YD 2.25-1 COMP 1X WK</v>
          </cell>
          <cell r="D149">
            <v>0</v>
          </cell>
          <cell r="E149">
            <v>0</v>
          </cell>
          <cell r="F149"/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A150" t="str">
            <v>VashonCommercialFCP4YD1W4-1</v>
          </cell>
          <cell r="B150" t="str">
            <v>FCP4YD1W4-1</v>
          </cell>
          <cell r="C150" t="str">
            <v>4YD 4-1 COMP 1X WK</v>
          </cell>
          <cell r="D150">
            <v>0</v>
          </cell>
          <cell r="E150">
            <v>0</v>
          </cell>
          <cell r="F150"/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A151" t="str">
            <v>VashonCommercialFCP4YD1W5-1</v>
          </cell>
          <cell r="B151" t="str">
            <v>FCP4YD1W5-1</v>
          </cell>
          <cell r="C151" t="str">
            <v>4 YD 5-1 COMP 1X WK</v>
          </cell>
          <cell r="D151">
            <v>0</v>
          </cell>
          <cell r="E151">
            <v>0</v>
          </cell>
          <cell r="F151"/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 t="str">
            <v>VashonCommercialFCP4YDEOW5-1</v>
          </cell>
          <cell r="B152" t="str">
            <v>FCP4YDEOW5-1</v>
          </cell>
          <cell r="C152" t="str">
            <v>4 YD 5-1 COMP EOW</v>
          </cell>
          <cell r="D152">
            <v>0</v>
          </cell>
          <cell r="E152">
            <v>0</v>
          </cell>
          <cell r="F152"/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 t="str">
            <v>VashonCommercialFCP4YDOC5-1</v>
          </cell>
          <cell r="B153" t="str">
            <v>FCP4YDOC5-1</v>
          </cell>
          <cell r="C153" t="str">
            <v>4 YD 5-1 COMP ON CALL</v>
          </cell>
          <cell r="D153">
            <v>0</v>
          </cell>
          <cell r="E153">
            <v>0</v>
          </cell>
          <cell r="F153"/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A154" t="str">
            <v>VashonCommercialFCP6YD2W</v>
          </cell>
          <cell r="B154" t="str">
            <v>FCP6YD2W</v>
          </cell>
          <cell r="C154" t="str">
            <v>6YD COMPACTOR 2X WKLY</v>
          </cell>
          <cell r="D154">
            <v>0</v>
          </cell>
          <cell r="E154">
            <v>0</v>
          </cell>
          <cell r="F154"/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A155" t="str">
            <v>VashonCommercialFCP6YD2W3-1</v>
          </cell>
          <cell r="B155" t="str">
            <v>FCP6YD2W3-1</v>
          </cell>
          <cell r="C155" t="str">
            <v>6 YD 3-1 COMP 2X WK</v>
          </cell>
          <cell r="D155">
            <v>0</v>
          </cell>
          <cell r="E155">
            <v>0</v>
          </cell>
          <cell r="F155"/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A156" t="str">
            <v>VashonCommercialFCP6YD2W4-1</v>
          </cell>
          <cell r="B156" t="str">
            <v>FCP6YD2W4-1</v>
          </cell>
          <cell r="C156" t="str">
            <v>6 YD 4-1 COMP 2X WK</v>
          </cell>
          <cell r="D156">
            <v>0</v>
          </cell>
          <cell r="E156">
            <v>0</v>
          </cell>
          <cell r="F156"/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A157" t="str">
            <v>VashonCommercialF1YDEX</v>
          </cell>
          <cell r="B157" t="str">
            <v>F1YDEX</v>
          </cell>
          <cell r="C157" t="str">
            <v>1YD CONT EXTRA</v>
          </cell>
          <cell r="D157">
            <v>0</v>
          </cell>
          <cell r="E157">
            <v>0</v>
          </cell>
          <cell r="F157"/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19.440000000000001</v>
          </cell>
          <cell r="P157">
            <v>0</v>
          </cell>
          <cell r="Q157">
            <v>0</v>
          </cell>
          <cell r="R157">
            <v>0</v>
          </cell>
          <cell r="S157">
            <v>19.440000000000001</v>
          </cell>
        </row>
        <row r="158">
          <cell r="A158" t="str">
            <v>VashonCommercialR1YDEX</v>
          </cell>
          <cell r="B158" t="str">
            <v>R1YDEX</v>
          </cell>
          <cell r="C158" t="str">
            <v>1YD CONTAINER EXTRA</v>
          </cell>
          <cell r="D158">
            <v>19.489999999999998</v>
          </cell>
          <cell r="E158">
            <v>19.489999999999998</v>
          </cell>
          <cell r="F158"/>
          <cell r="G158">
            <v>0</v>
          </cell>
          <cell r="H158">
            <v>19.489999999999998</v>
          </cell>
          <cell r="I158">
            <v>19.489999999999998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19.489999999999998</v>
          </cell>
          <cell r="P158">
            <v>19.489999999999998</v>
          </cell>
          <cell r="Q158">
            <v>19.489999999999998</v>
          </cell>
          <cell r="R158">
            <v>0</v>
          </cell>
          <cell r="S158">
            <v>97.449999999999989</v>
          </cell>
        </row>
        <row r="159">
          <cell r="A159" t="str">
            <v>VashonCommercialR1.5YDEX</v>
          </cell>
          <cell r="B159" t="str">
            <v>R1.5YDEX</v>
          </cell>
          <cell r="C159" t="str">
            <v>1.5YD CONTAINER EXTRA</v>
          </cell>
          <cell r="D159">
            <v>24.74</v>
          </cell>
          <cell r="E159">
            <v>24.74</v>
          </cell>
          <cell r="F159"/>
          <cell r="G159">
            <v>0</v>
          </cell>
          <cell r="H159">
            <v>24.74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24.74</v>
          </cell>
          <cell r="P159">
            <v>0</v>
          </cell>
          <cell r="Q159">
            <v>0</v>
          </cell>
          <cell r="R159">
            <v>0</v>
          </cell>
          <cell r="S159">
            <v>49.48</v>
          </cell>
        </row>
        <row r="160">
          <cell r="A160" t="str">
            <v>VashonCommercialR2YDEX</v>
          </cell>
          <cell r="B160" t="str">
            <v>R2YDEX</v>
          </cell>
          <cell r="C160" t="str">
            <v>2YD CONTAINER EXTRA</v>
          </cell>
          <cell r="D160">
            <v>34.35</v>
          </cell>
          <cell r="E160">
            <v>34.35</v>
          </cell>
          <cell r="F160"/>
          <cell r="G160">
            <v>34.35</v>
          </cell>
          <cell r="H160">
            <v>34.35</v>
          </cell>
          <cell r="I160">
            <v>34.35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68.7</v>
          </cell>
          <cell r="Q160">
            <v>68.7</v>
          </cell>
          <cell r="R160">
            <v>0</v>
          </cell>
          <cell r="S160">
            <v>240.45</v>
          </cell>
        </row>
        <row r="161">
          <cell r="A161" t="str">
            <v>VashonCommercialF2YDEX</v>
          </cell>
          <cell r="B161" t="str">
            <v>F2YDEX</v>
          </cell>
          <cell r="C161" t="str">
            <v>2YD CONT EXTRA</v>
          </cell>
          <cell r="D161">
            <v>0</v>
          </cell>
          <cell r="E161">
            <v>0</v>
          </cell>
          <cell r="F161"/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A162" t="str">
            <v>VashonCommercialF4YDEX</v>
          </cell>
          <cell r="B162" t="str">
            <v>F4YDEX</v>
          </cell>
          <cell r="C162" t="str">
            <v>4YD CONT EXTRA PICKUP</v>
          </cell>
          <cell r="D162">
            <v>0</v>
          </cell>
          <cell r="E162">
            <v>0</v>
          </cell>
          <cell r="F162"/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 t="str">
            <v>VashonCommercialF6YDEX</v>
          </cell>
          <cell r="B163" t="str">
            <v>F6YDEX</v>
          </cell>
          <cell r="C163" t="str">
            <v>6YD CONT EXTRA PICKUP</v>
          </cell>
          <cell r="D163">
            <v>0</v>
          </cell>
          <cell r="E163">
            <v>0</v>
          </cell>
          <cell r="F163"/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 t="str">
            <v>VashonCommercialIMPCNC</v>
          </cell>
          <cell r="B164" t="str">
            <v>IMPCNC</v>
          </cell>
          <cell r="C164" t="str">
            <v>1 IMPROPER CAN - CMML</v>
          </cell>
          <cell r="D164">
            <v>0</v>
          </cell>
          <cell r="E164">
            <v>0</v>
          </cell>
          <cell r="F164"/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A165" t="str">
            <v>VashonCommercialPACKC</v>
          </cell>
          <cell r="B165" t="str">
            <v>PACKC</v>
          </cell>
          <cell r="C165" t="str">
            <v>CARRY-OUT COMMERCIAL</v>
          </cell>
          <cell r="D165">
            <v>0</v>
          </cell>
          <cell r="E165">
            <v>0</v>
          </cell>
          <cell r="F165"/>
          <cell r="G165">
            <v>3.47</v>
          </cell>
          <cell r="H165">
            <v>3.47</v>
          </cell>
          <cell r="I165">
            <v>3.47</v>
          </cell>
          <cell r="J165">
            <v>3.47</v>
          </cell>
          <cell r="K165">
            <v>3.47</v>
          </cell>
          <cell r="L165">
            <v>3.47</v>
          </cell>
          <cell r="M165">
            <v>2.77</v>
          </cell>
          <cell r="N165">
            <v>2.08</v>
          </cell>
          <cell r="O165">
            <v>2.08</v>
          </cell>
          <cell r="P165">
            <v>2.08</v>
          </cell>
          <cell r="Q165">
            <v>2.08</v>
          </cell>
          <cell r="R165">
            <v>2.08</v>
          </cell>
          <cell r="S165">
            <v>33.989999999999995</v>
          </cell>
        </row>
        <row r="166">
          <cell r="A166" t="str">
            <v>VashonCommercialADJCOM</v>
          </cell>
          <cell r="B166" t="str">
            <v>ADJCOM</v>
          </cell>
          <cell r="C166" t="str">
            <v>SERVICE ADJ-COMMERCIAL</v>
          </cell>
          <cell r="D166">
            <v>0</v>
          </cell>
          <cell r="E166">
            <v>0</v>
          </cell>
          <cell r="F166"/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 t="str">
            <v>VashonCommercialCCONNECT</v>
          </cell>
          <cell r="B167" t="str">
            <v>CCONNECT</v>
          </cell>
          <cell r="C167" t="str">
            <v>CMML CONNECT/RECONNECT</v>
          </cell>
          <cell r="D167">
            <v>0</v>
          </cell>
          <cell r="E167">
            <v>0</v>
          </cell>
          <cell r="F167"/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A168" t="str">
            <v>VashonCommercialCDEL</v>
          </cell>
          <cell r="B168" t="str">
            <v>CDEL</v>
          </cell>
          <cell r="C168" t="str">
            <v>CONTAINER DELIVERY CHARGE</v>
          </cell>
          <cell r="D168">
            <v>0</v>
          </cell>
          <cell r="E168">
            <v>0</v>
          </cell>
          <cell r="F168"/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 t="str">
            <v>VashonCommercialCEX</v>
          </cell>
          <cell r="B169" t="str">
            <v>CEX</v>
          </cell>
          <cell r="C169" t="str">
            <v>EXTRA CANS</v>
          </cell>
          <cell r="D169">
            <v>4.08</v>
          </cell>
          <cell r="E169">
            <v>4.08</v>
          </cell>
          <cell r="F169"/>
          <cell r="G169">
            <v>518.88</v>
          </cell>
          <cell r="H169">
            <v>445.44</v>
          </cell>
          <cell r="I169">
            <v>754.98</v>
          </cell>
          <cell r="J169">
            <v>612</v>
          </cell>
          <cell r="K169">
            <v>436.56</v>
          </cell>
          <cell r="L169">
            <v>636.48</v>
          </cell>
          <cell r="M169">
            <v>669.12</v>
          </cell>
          <cell r="N169">
            <v>856.80000000000007</v>
          </cell>
          <cell r="O169">
            <v>501.84</v>
          </cell>
          <cell r="P169">
            <v>412.08</v>
          </cell>
          <cell r="Q169">
            <v>346.8</v>
          </cell>
          <cell r="R169">
            <v>212.16</v>
          </cell>
          <cell r="S169">
            <v>6403.14</v>
          </cell>
        </row>
        <row r="170">
          <cell r="A170" t="str">
            <v>VashonCommercialCEXYD</v>
          </cell>
          <cell r="B170" t="str">
            <v>CEXYD</v>
          </cell>
          <cell r="C170" t="str">
            <v>CMML EXTRA YARDAGE</v>
          </cell>
          <cell r="D170">
            <v>15.67</v>
          </cell>
          <cell r="E170">
            <v>15.67</v>
          </cell>
          <cell r="F170"/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15.67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15.67</v>
          </cell>
          <cell r="S170">
            <v>31.34</v>
          </cell>
        </row>
        <row r="171">
          <cell r="A171" t="str">
            <v>VashonCommercialCLOCK</v>
          </cell>
          <cell r="B171" t="str">
            <v>CLOCK</v>
          </cell>
          <cell r="C171" t="str">
            <v>LOCK CHARGE-CONTAINER</v>
          </cell>
          <cell r="D171">
            <v>4.84</v>
          </cell>
          <cell r="E171">
            <v>4.84</v>
          </cell>
          <cell r="F171"/>
          <cell r="G171">
            <v>65.349999999999994</v>
          </cell>
          <cell r="H171">
            <v>68.98</v>
          </cell>
          <cell r="I171">
            <v>70.19</v>
          </cell>
          <cell r="J171">
            <v>70.19</v>
          </cell>
          <cell r="K171">
            <v>84.71</v>
          </cell>
          <cell r="L171">
            <v>91.97</v>
          </cell>
          <cell r="M171">
            <v>94.39</v>
          </cell>
          <cell r="N171">
            <v>94.39</v>
          </cell>
          <cell r="O171">
            <v>89.55</v>
          </cell>
          <cell r="P171">
            <v>89.55</v>
          </cell>
          <cell r="Q171">
            <v>94.39</v>
          </cell>
          <cell r="R171">
            <v>94.39</v>
          </cell>
          <cell r="S171">
            <v>1008.0499999999998</v>
          </cell>
        </row>
        <row r="172">
          <cell r="A172" t="str">
            <v>VashonCommercialCROLL</v>
          </cell>
          <cell r="B172" t="str">
            <v>CROLL</v>
          </cell>
          <cell r="C172" t="str">
            <v>ROLLOUT CHARGE - CMML</v>
          </cell>
          <cell r="D172">
            <v>24.33</v>
          </cell>
          <cell r="E172">
            <v>24.33</v>
          </cell>
          <cell r="F172"/>
          <cell r="G172">
            <v>24.33</v>
          </cell>
          <cell r="H172">
            <v>24.33</v>
          </cell>
          <cell r="I172">
            <v>24.33</v>
          </cell>
          <cell r="J172">
            <v>24.33</v>
          </cell>
          <cell r="K172">
            <v>24.33</v>
          </cell>
          <cell r="L172">
            <v>24.33</v>
          </cell>
          <cell r="M172">
            <v>24.33</v>
          </cell>
          <cell r="N172">
            <v>24.33</v>
          </cell>
          <cell r="O172">
            <v>24.33</v>
          </cell>
          <cell r="P172">
            <v>24.33</v>
          </cell>
          <cell r="Q172">
            <v>24.33</v>
          </cell>
          <cell r="R172">
            <v>24.33</v>
          </cell>
          <cell r="S172">
            <v>291.95999999999992</v>
          </cell>
        </row>
        <row r="173">
          <cell r="A173" t="str">
            <v>VashonCommercialCTDEL</v>
          </cell>
          <cell r="B173" t="str">
            <v>CTDEL</v>
          </cell>
          <cell r="C173" t="str">
            <v>TEMP CONTAINER DELIVERY</v>
          </cell>
          <cell r="D173">
            <v>28.08</v>
          </cell>
          <cell r="E173">
            <v>28.08</v>
          </cell>
          <cell r="F173"/>
          <cell r="G173">
            <v>28.08</v>
          </cell>
          <cell r="H173">
            <v>0</v>
          </cell>
          <cell r="I173">
            <v>0</v>
          </cell>
          <cell r="J173">
            <v>0</v>
          </cell>
          <cell r="K173">
            <v>28.08</v>
          </cell>
          <cell r="L173">
            <v>0</v>
          </cell>
          <cell r="M173">
            <v>0</v>
          </cell>
          <cell r="N173">
            <v>0</v>
          </cell>
          <cell r="O173">
            <v>56.16</v>
          </cell>
          <cell r="P173">
            <v>0</v>
          </cell>
          <cell r="Q173">
            <v>56.16</v>
          </cell>
          <cell r="R173">
            <v>28.08</v>
          </cell>
          <cell r="S173">
            <v>196.56</v>
          </cell>
        </row>
        <row r="174">
          <cell r="A174" t="str">
            <v>VashonCommercialCTRIP</v>
          </cell>
          <cell r="B174" t="str">
            <v>CTRIP</v>
          </cell>
          <cell r="C174" t="str">
            <v>RETURN TRIP CHARGE - CONT</v>
          </cell>
          <cell r="D174">
            <v>5.62</v>
          </cell>
          <cell r="E174">
            <v>5.62</v>
          </cell>
          <cell r="F174"/>
          <cell r="G174">
            <v>5.62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5.62</v>
          </cell>
          <cell r="R174">
            <v>0</v>
          </cell>
          <cell r="S174">
            <v>11.24</v>
          </cell>
        </row>
        <row r="175">
          <cell r="A175" t="str">
            <v>VashonCommercialCUNLOCK</v>
          </cell>
          <cell r="B175" t="str">
            <v>CUNLOCK</v>
          </cell>
          <cell r="C175" t="str">
            <v>COMM UNLOCK GATE OR CONT</v>
          </cell>
          <cell r="D175">
            <v>0</v>
          </cell>
          <cell r="E175">
            <v>0</v>
          </cell>
          <cell r="F175"/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 t="str">
            <v>VashonCommercialDRIVEDWAY-COMM</v>
          </cell>
          <cell r="B176" t="str">
            <v>DRIVEDWAY-COMM</v>
          </cell>
          <cell r="C176" t="str">
            <v>DRIVE IN DRIVEWAY - COMM</v>
          </cell>
          <cell r="D176">
            <v>2.9</v>
          </cell>
          <cell r="E176">
            <v>2.9</v>
          </cell>
          <cell r="F176"/>
          <cell r="G176">
            <v>7.19</v>
          </cell>
          <cell r="H176">
            <v>7.19</v>
          </cell>
          <cell r="I176">
            <v>4.29</v>
          </cell>
          <cell r="J176">
            <v>4.29</v>
          </cell>
          <cell r="K176">
            <v>4.29</v>
          </cell>
          <cell r="L176">
            <v>4.29</v>
          </cell>
          <cell r="M176">
            <v>4.29</v>
          </cell>
          <cell r="N176">
            <v>4.29</v>
          </cell>
          <cell r="O176">
            <v>4.29</v>
          </cell>
          <cell r="P176">
            <v>4.29</v>
          </cell>
          <cell r="Q176">
            <v>2.9</v>
          </cell>
          <cell r="R176">
            <v>2.9</v>
          </cell>
          <cell r="S176">
            <v>54.499999999999993</v>
          </cell>
        </row>
        <row r="177">
          <cell r="A177" t="str">
            <v>VashonCommercialDRIVEPVT-COMM</v>
          </cell>
          <cell r="B177" t="str">
            <v>DRIVEPVT-COMM</v>
          </cell>
          <cell r="C177" t="str">
            <v>DRIVE IN PRIVATE RD - COMM</v>
          </cell>
          <cell r="D177">
            <v>6.06</v>
          </cell>
          <cell r="E177">
            <v>6.06</v>
          </cell>
          <cell r="F177"/>
          <cell r="G177">
            <v>6.06</v>
          </cell>
          <cell r="H177">
            <v>6.06</v>
          </cell>
          <cell r="I177">
            <v>6.06</v>
          </cell>
          <cell r="J177">
            <v>6.06</v>
          </cell>
          <cell r="K177">
            <v>6.06</v>
          </cell>
          <cell r="L177">
            <v>6.06</v>
          </cell>
          <cell r="M177">
            <v>6.06</v>
          </cell>
          <cell r="N177">
            <v>6.06</v>
          </cell>
          <cell r="O177">
            <v>6.06</v>
          </cell>
          <cell r="P177">
            <v>6.06</v>
          </cell>
          <cell r="Q177">
            <v>6.06</v>
          </cell>
          <cell r="R177">
            <v>6.06</v>
          </cell>
          <cell r="S177">
            <v>72.720000000000013</v>
          </cell>
        </row>
        <row r="178">
          <cell r="A178" t="str">
            <v>VashonCommercialDRVNC</v>
          </cell>
          <cell r="B178" t="str">
            <v>DRVNC</v>
          </cell>
          <cell r="C178" t="str">
            <v>DRIVE IN - CMML</v>
          </cell>
          <cell r="D178">
            <v>0</v>
          </cell>
          <cell r="E178">
            <v>0</v>
          </cell>
          <cell r="F178"/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A179" t="str">
            <v>VashonCommercialTIMEC</v>
          </cell>
          <cell r="B179" t="str">
            <v>TIMEC</v>
          </cell>
          <cell r="C179" t="str">
            <v>CMML TIME CHARGE</v>
          </cell>
          <cell r="D179">
            <v>79.28</v>
          </cell>
          <cell r="E179">
            <v>79.28</v>
          </cell>
          <cell r="F179"/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</row>
        <row r="181">
          <cell r="C181" t="str">
            <v>TOTAL COMMERCIAL GARBAGE</v>
          </cell>
          <cell r="D181"/>
          <cell r="E181"/>
          <cell r="F181"/>
          <cell r="G181">
            <v>27901.235000000001</v>
          </cell>
          <cell r="H181">
            <v>28093.375000000007</v>
          </cell>
          <cell r="I181">
            <v>28355.555</v>
          </cell>
          <cell r="J181">
            <v>28919.600000000006</v>
          </cell>
          <cell r="K181">
            <v>30492.290000000008</v>
          </cell>
          <cell r="L181">
            <v>31256.46</v>
          </cell>
          <cell r="M181">
            <v>31543.82</v>
          </cell>
          <cell r="N181">
            <v>31957.785</v>
          </cell>
          <cell r="O181">
            <v>31762.175000000003</v>
          </cell>
          <cell r="P181">
            <v>31533.155000000006</v>
          </cell>
          <cell r="Q181">
            <v>31842.590000000007</v>
          </cell>
          <cell r="R181">
            <v>30682.560000000001</v>
          </cell>
          <cell r="S181">
            <v>364340.60000000003</v>
          </cell>
        </row>
        <row r="182"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</row>
        <row r="183">
          <cell r="B183" t="str">
            <v>COMMERCIAL RECYCLING</v>
          </cell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</row>
        <row r="184">
          <cell r="A184" t="str">
            <v>VashonCommercial1.5YDCOM1W</v>
          </cell>
          <cell r="B184" t="str">
            <v>1.5YDCOM1W</v>
          </cell>
          <cell r="C184" t="str">
            <v>1.5YD COMMINGLED 1X WK</v>
          </cell>
          <cell r="D184">
            <v>0</v>
          </cell>
          <cell r="E184">
            <v>0</v>
          </cell>
          <cell r="F184"/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A185" t="str">
            <v>VashonCommercial1.5YDFOOD1W</v>
          </cell>
          <cell r="B185" t="str">
            <v>1.5YDFOOD1W</v>
          </cell>
          <cell r="C185" t="str">
            <v>1.5 YD FOOD WASTE 1X WK</v>
          </cell>
          <cell r="D185">
            <v>0</v>
          </cell>
          <cell r="E185">
            <v>0</v>
          </cell>
          <cell r="F185"/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 t="str">
            <v>VashonCommercial2YDCOM1W</v>
          </cell>
          <cell r="B186" t="str">
            <v>2YDCOM1W</v>
          </cell>
          <cell r="C186" t="str">
            <v>2YDCOMMINGLED 1X WK</v>
          </cell>
          <cell r="D186">
            <v>0</v>
          </cell>
          <cell r="E186">
            <v>0</v>
          </cell>
          <cell r="F186"/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 t="str">
            <v>VashonCommercial2YDCOM2W</v>
          </cell>
          <cell r="B187" t="str">
            <v>2YDCOM2W</v>
          </cell>
          <cell r="C187" t="str">
            <v>2YDCOMMINGLED 2X WK</v>
          </cell>
          <cell r="D187">
            <v>0</v>
          </cell>
          <cell r="E187">
            <v>0</v>
          </cell>
          <cell r="F187"/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A188" t="str">
            <v>VashonCommercial2YDCOM3W</v>
          </cell>
          <cell r="B188" t="str">
            <v>2YDCOM3W</v>
          </cell>
          <cell r="C188" t="str">
            <v>2YDCOMMINGLED 3X WK</v>
          </cell>
          <cell r="D188">
            <v>0</v>
          </cell>
          <cell r="E188">
            <v>0</v>
          </cell>
          <cell r="F188"/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A189" t="str">
            <v>VashonCommercial2YDCOM4W</v>
          </cell>
          <cell r="B189" t="str">
            <v>2YDCOM4W</v>
          </cell>
          <cell r="C189" t="str">
            <v>2 YD COMMINGLE 4X WK</v>
          </cell>
          <cell r="D189">
            <v>0</v>
          </cell>
          <cell r="E189">
            <v>0</v>
          </cell>
          <cell r="F189"/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A190" t="str">
            <v>VashonCommercial2YDCOMEW</v>
          </cell>
          <cell r="B190" t="str">
            <v>2YDCOMEW</v>
          </cell>
          <cell r="C190" t="str">
            <v>2yd COMMINGLE EOW</v>
          </cell>
          <cell r="D190">
            <v>0</v>
          </cell>
          <cell r="E190">
            <v>0</v>
          </cell>
          <cell r="F190"/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A191" t="str">
            <v>VashonCommercial2YDFOOD1W</v>
          </cell>
          <cell r="B191" t="str">
            <v>2YDFOOD1W</v>
          </cell>
          <cell r="C191" t="str">
            <v>2 YD FOOD WASTE 1X WK</v>
          </cell>
          <cell r="D191">
            <v>0</v>
          </cell>
          <cell r="E191">
            <v>0</v>
          </cell>
          <cell r="F191"/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 t="str">
            <v>VashonCommercial2YDOCC1W</v>
          </cell>
          <cell r="B192" t="str">
            <v>2YDOCC1W</v>
          </cell>
          <cell r="C192" t="str">
            <v>2YD OCC CAGE 1X WEEKLY</v>
          </cell>
          <cell r="D192">
            <v>0</v>
          </cell>
          <cell r="E192">
            <v>0</v>
          </cell>
          <cell r="F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A193" t="str">
            <v>VashonCommercial2YDOCC2W</v>
          </cell>
          <cell r="B193" t="str">
            <v>2YDOCC2W</v>
          </cell>
          <cell r="C193" t="str">
            <v>2YD OCC CAGE 2X WEEKLY</v>
          </cell>
          <cell r="D193">
            <v>0</v>
          </cell>
          <cell r="E193">
            <v>0</v>
          </cell>
          <cell r="F193"/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 t="str">
            <v>VashonCommercial2YDOCC3W</v>
          </cell>
          <cell r="B194" t="str">
            <v>2YDOCC3W</v>
          </cell>
          <cell r="C194" t="str">
            <v>2YD OCC CAGE 3X WEEKLY</v>
          </cell>
          <cell r="D194">
            <v>0</v>
          </cell>
          <cell r="E194">
            <v>0</v>
          </cell>
          <cell r="F194"/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 t="str">
            <v>VashonCommercial2YDOCC4W</v>
          </cell>
          <cell r="B195" t="str">
            <v>2YDOCC4W</v>
          </cell>
          <cell r="C195" t="str">
            <v>2YD OCC CAGE 4X WEEKLY</v>
          </cell>
          <cell r="D195">
            <v>0</v>
          </cell>
          <cell r="E195">
            <v>0</v>
          </cell>
          <cell r="F195"/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 t="str">
            <v>VashonCommercial2YDOCCEW</v>
          </cell>
          <cell r="B196" t="str">
            <v>2YDOCCEW</v>
          </cell>
          <cell r="C196" t="str">
            <v>2yd OCC CAGE EOW</v>
          </cell>
          <cell r="D196">
            <v>0</v>
          </cell>
          <cell r="E196">
            <v>0</v>
          </cell>
          <cell r="F196"/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 t="str">
            <v>VashonCommercial64FOOD1W</v>
          </cell>
          <cell r="B197" t="str">
            <v>64FOOD1W</v>
          </cell>
          <cell r="C197" t="str">
            <v>64 GL FOOD WASTE 1X WK</v>
          </cell>
          <cell r="D197">
            <v>0</v>
          </cell>
          <cell r="E197">
            <v>0</v>
          </cell>
          <cell r="F197"/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 t="str">
            <v>VashonCommercial6YDCOM1W</v>
          </cell>
          <cell r="B198" t="str">
            <v>6YDCOM1W</v>
          </cell>
          <cell r="C198" t="str">
            <v>6YDCOMMINGLED 1X WK</v>
          </cell>
          <cell r="D198">
            <v>0</v>
          </cell>
          <cell r="E198">
            <v>0</v>
          </cell>
          <cell r="F198"/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A199" t="str">
            <v>VashonCommercial6YDCOM2W</v>
          </cell>
          <cell r="B199" t="str">
            <v>6YDCOM2W</v>
          </cell>
          <cell r="C199" t="str">
            <v>6YDCOMMINGLED 2X WK</v>
          </cell>
          <cell r="D199">
            <v>0</v>
          </cell>
          <cell r="E199">
            <v>0</v>
          </cell>
          <cell r="F199"/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A200" t="str">
            <v>VashonCommercial6YDCOM3W</v>
          </cell>
          <cell r="B200" t="str">
            <v>6YDCOM3W</v>
          </cell>
          <cell r="C200" t="str">
            <v>6YDCOMMINGLED 3X WK</v>
          </cell>
          <cell r="D200">
            <v>0</v>
          </cell>
          <cell r="E200">
            <v>0</v>
          </cell>
          <cell r="F200"/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A201" t="str">
            <v>VashonCommercial6YDCOM4W</v>
          </cell>
          <cell r="B201" t="str">
            <v>6YDCOM4W</v>
          </cell>
          <cell r="C201" t="str">
            <v>6 YD COMMINGLED 4X WK</v>
          </cell>
          <cell r="D201">
            <v>0</v>
          </cell>
          <cell r="E201">
            <v>0</v>
          </cell>
          <cell r="F201"/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A202" t="str">
            <v>VashonCommercial6YDCOM5W</v>
          </cell>
          <cell r="B202" t="str">
            <v>6YDCOM5W</v>
          </cell>
          <cell r="C202" t="str">
            <v>6YD COMMINGLED 5X WK</v>
          </cell>
          <cell r="D202">
            <v>0</v>
          </cell>
          <cell r="E202">
            <v>0</v>
          </cell>
          <cell r="F202"/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A203" t="str">
            <v>VashonCommercial6YDCOMEW</v>
          </cell>
          <cell r="B203" t="str">
            <v>6YDCOMEW</v>
          </cell>
          <cell r="C203" t="str">
            <v>6YD COMMINGLE EOW</v>
          </cell>
          <cell r="D203">
            <v>0</v>
          </cell>
          <cell r="E203">
            <v>0</v>
          </cell>
          <cell r="F203"/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A204" t="str">
            <v>VashonCommercial6YDOCC1W</v>
          </cell>
          <cell r="B204" t="str">
            <v>6YDOCC1W</v>
          </cell>
          <cell r="C204" t="str">
            <v>6YD OCC CAGE 1X WEEKLY</v>
          </cell>
          <cell r="D204">
            <v>0</v>
          </cell>
          <cell r="E204">
            <v>0</v>
          </cell>
          <cell r="F204"/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A205" t="str">
            <v>VashonCommercial6YDOCC2W</v>
          </cell>
          <cell r="B205" t="str">
            <v>6YDOCC2W</v>
          </cell>
          <cell r="C205" t="str">
            <v>6YD OCC CAGE 2X WEEKLY</v>
          </cell>
          <cell r="D205">
            <v>0</v>
          </cell>
          <cell r="E205">
            <v>0</v>
          </cell>
          <cell r="F205"/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A206" t="str">
            <v>VashonCommercial6YDOCC3W</v>
          </cell>
          <cell r="B206" t="str">
            <v>6YDOCC3W</v>
          </cell>
          <cell r="C206" t="str">
            <v>6YD OCC CAGE 3X WEEKLY</v>
          </cell>
          <cell r="D206">
            <v>0</v>
          </cell>
          <cell r="E206">
            <v>0</v>
          </cell>
          <cell r="F206"/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A207" t="str">
            <v>VashonCommercial6YDOCC4W</v>
          </cell>
          <cell r="B207" t="str">
            <v>6YDOCC4W</v>
          </cell>
          <cell r="C207" t="str">
            <v>6YD OCC CAGE 4X WEEKLY</v>
          </cell>
          <cell r="D207">
            <v>0</v>
          </cell>
          <cell r="E207">
            <v>0</v>
          </cell>
          <cell r="F207"/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A208" t="str">
            <v>VashonCommercial6YDOCC5W</v>
          </cell>
          <cell r="B208" t="str">
            <v>6YDOCC5W</v>
          </cell>
          <cell r="C208" t="str">
            <v>6YD OCC CAGE 5X WEEKLY</v>
          </cell>
          <cell r="D208">
            <v>0</v>
          </cell>
          <cell r="E208">
            <v>0</v>
          </cell>
          <cell r="F208"/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A209" t="str">
            <v>VashonCommercial6YDOCCEW</v>
          </cell>
          <cell r="B209" t="str">
            <v>6YDOCCEW</v>
          </cell>
          <cell r="C209" t="str">
            <v>6YD OCC CAGE EOW</v>
          </cell>
          <cell r="D209">
            <v>0</v>
          </cell>
          <cell r="E209">
            <v>0</v>
          </cell>
          <cell r="F209"/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A210" t="str">
            <v>VashonCommercial90COM1E</v>
          </cell>
          <cell r="B210" t="str">
            <v>90COM1E</v>
          </cell>
          <cell r="C210" t="str">
            <v>90 GAL COMMINGLED EOW</v>
          </cell>
          <cell r="D210">
            <v>0</v>
          </cell>
          <cell r="E210">
            <v>0</v>
          </cell>
          <cell r="F210"/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A211" t="str">
            <v>VashonCommercial90COM1W</v>
          </cell>
          <cell r="B211" t="str">
            <v>90COM1W</v>
          </cell>
          <cell r="C211" t="str">
            <v>90 GAL COMMINGLED 1 X WK</v>
          </cell>
          <cell r="D211">
            <v>0</v>
          </cell>
          <cell r="E211">
            <v>0</v>
          </cell>
          <cell r="F211"/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A212" t="str">
            <v>VashonCommercial90COM2W</v>
          </cell>
          <cell r="B212" t="str">
            <v>90COM2W</v>
          </cell>
          <cell r="C212" t="str">
            <v>90 GL COMMINGLE 2X WK</v>
          </cell>
          <cell r="D212">
            <v>0</v>
          </cell>
          <cell r="E212">
            <v>0</v>
          </cell>
          <cell r="F212"/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A213" t="str">
            <v>VashonCommercial90FOOD1E</v>
          </cell>
          <cell r="B213" t="str">
            <v>90FOOD1E</v>
          </cell>
          <cell r="C213" t="str">
            <v>90GAL FOOD WASTE EOW</v>
          </cell>
          <cell r="D213">
            <v>0</v>
          </cell>
          <cell r="E213">
            <v>0</v>
          </cell>
          <cell r="F213"/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A214" t="str">
            <v>VashonCommercial96FOOD1W</v>
          </cell>
          <cell r="B214" t="str">
            <v>96FOOD1W</v>
          </cell>
          <cell r="C214" t="str">
            <v>96 GAL FOOD WASTE 1X WK</v>
          </cell>
          <cell r="D214">
            <v>0</v>
          </cell>
          <cell r="E214">
            <v>0</v>
          </cell>
          <cell r="F214"/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A215" t="str">
            <v>VashonCommercialRECYCOMPHR</v>
          </cell>
          <cell r="B215" t="str">
            <v>RECYCOMPHR</v>
          </cell>
          <cell r="C215" t="str">
            <v>RECY COMPACTOR HRLY HAUL</v>
          </cell>
          <cell r="D215">
            <v>0</v>
          </cell>
          <cell r="E215">
            <v>0</v>
          </cell>
          <cell r="F215"/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A216" t="str">
            <v>VashonCommercialRECYSVC</v>
          </cell>
          <cell r="B216" t="str">
            <v>RECYSVC</v>
          </cell>
          <cell r="C216" t="str">
            <v>COMM RECYCLE</v>
          </cell>
          <cell r="D216">
            <v>0</v>
          </cell>
          <cell r="E216">
            <v>0</v>
          </cell>
          <cell r="F216"/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</row>
        <row r="218">
          <cell r="C218" t="str">
            <v>TOTAL COMMERCIAL RECYCLING</v>
          </cell>
          <cell r="D218"/>
          <cell r="E218"/>
          <cell r="F218"/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</row>
        <row r="220">
          <cell r="A220" t="str">
            <v>Multi-Family</v>
          </cell>
          <cell r="B220" t="str">
            <v>MULTI-FAMILY GARBAGE</v>
          </cell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</row>
        <row r="221">
          <cell r="A221" t="str">
            <v>VashonMulti-Family32MW1</v>
          </cell>
          <cell r="B221" t="str">
            <v>32MW1</v>
          </cell>
          <cell r="C221" t="str">
            <v>1-32 GAL CAN MULTI-FAMILY</v>
          </cell>
          <cell r="D221">
            <v>0</v>
          </cell>
          <cell r="E221">
            <v>0</v>
          </cell>
          <cell r="F221"/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A222" t="str">
            <v>VashonMulti-Family32MW1NR</v>
          </cell>
          <cell r="B222" t="str">
            <v>32MW1NR</v>
          </cell>
          <cell r="C222" t="str">
            <v>MF 1 CAN NON RECY</v>
          </cell>
          <cell r="D222">
            <v>0</v>
          </cell>
          <cell r="E222">
            <v>0</v>
          </cell>
          <cell r="F222"/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A223" t="str">
            <v>VashonMulti-Family32MW2</v>
          </cell>
          <cell r="B223" t="str">
            <v>32MW2</v>
          </cell>
          <cell r="C223" t="str">
            <v>2-32 GAL CANS MULTI-FAMILY</v>
          </cell>
          <cell r="D223">
            <v>0</v>
          </cell>
          <cell r="E223">
            <v>0</v>
          </cell>
          <cell r="F223"/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A224" t="str">
            <v>VashonMulti-Family32MW3</v>
          </cell>
          <cell r="B224" t="str">
            <v>32MW3</v>
          </cell>
          <cell r="C224" t="str">
            <v>3-32 GAL CANS MULTI-FAMILY</v>
          </cell>
          <cell r="D224">
            <v>0</v>
          </cell>
          <cell r="E224">
            <v>0</v>
          </cell>
          <cell r="F224"/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A225" t="str">
            <v>VashonMulti-Family32MW3NR</v>
          </cell>
          <cell r="B225" t="str">
            <v>32MW3NR</v>
          </cell>
          <cell r="C225" t="str">
            <v>MF 3 CAN NON RECY</v>
          </cell>
          <cell r="D225">
            <v>0</v>
          </cell>
          <cell r="E225">
            <v>0</v>
          </cell>
          <cell r="F225"/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A226" t="str">
            <v>VashonMulti-Family32MW4</v>
          </cell>
          <cell r="B226" t="str">
            <v>32MW4</v>
          </cell>
          <cell r="C226" t="str">
            <v>4-32 GAL CANS MULTI-FAMILY</v>
          </cell>
          <cell r="D226">
            <v>0</v>
          </cell>
          <cell r="E226">
            <v>0</v>
          </cell>
          <cell r="F226"/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A227" t="str">
            <v>VashonMulti-Family32MW4NR</v>
          </cell>
          <cell r="B227" t="str">
            <v>32MW4NR</v>
          </cell>
          <cell r="C227" t="str">
            <v>MF 4 CAN NON RECY</v>
          </cell>
          <cell r="D227">
            <v>0</v>
          </cell>
          <cell r="E227">
            <v>0</v>
          </cell>
          <cell r="F227"/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A228" t="str">
            <v>VashonMulti-Family32MW5</v>
          </cell>
          <cell r="B228" t="str">
            <v>32MW5</v>
          </cell>
          <cell r="C228" t="str">
            <v>5-32 GAL CANS MULTI-FAMILY</v>
          </cell>
          <cell r="D228">
            <v>0</v>
          </cell>
          <cell r="E228">
            <v>0</v>
          </cell>
          <cell r="F228"/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A229" t="str">
            <v>VashonMulti-FamilyMIMPCN</v>
          </cell>
          <cell r="B229" t="str">
            <v>MIMPCN</v>
          </cell>
          <cell r="C229" t="str">
            <v>MF 1 IMPROPER CAN W/ RECY</v>
          </cell>
          <cell r="D229">
            <v>0</v>
          </cell>
          <cell r="E229">
            <v>0</v>
          </cell>
          <cell r="F229"/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A230" t="str">
            <v>VashonMulti-Family35MW1</v>
          </cell>
          <cell r="B230" t="str">
            <v>35MW1</v>
          </cell>
          <cell r="C230" t="str">
            <v>MF 1-35 GAL CART</v>
          </cell>
          <cell r="D230">
            <v>0</v>
          </cell>
          <cell r="E230">
            <v>0</v>
          </cell>
          <cell r="F230"/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A231" t="str">
            <v>VashonMulti-Family35MW1N</v>
          </cell>
          <cell r="B231" t="str">
            <v>35MW1N</v>
          </cell>
          <cell r="C231" t="str">
            <v>MF 1-35 GAL CART NONREC</v>
          </cell>
          <cell r="D231">
            <v>0</v>
          </cell>
          <cell r="E231">
            <v>0</v>
          </cell>
          <cell r="F231"/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A232" t="str">
            <v>VashonMulti-Family65MW1</v>
          </cell>
          <cell r="B232" t="str">
            <v>65MW1</v>
          </cell>
          <cell r="C232" t="str">
            <v>MF 1-65 GAL CART</v>
          </cell>
          <cell r="D232">
            <v>0</v>
          </cell>
          <cell r="E232">
            <v>0</v>
          </cell>
          <cell r="F232"/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 t="str">
            <v>VashonMulti-Family65MW1N</v>
          </cell>
          <cell r="B233" t="str">
            <v>65MW1N</v>
          </cell>
          <cell r="C233" t="str">
            <v>MF 1-65 GAL CART NONREC</v>
          </cell>
          <cell r="D233">
            <v>0</v>
          </cell>
          <cell r="E233">
            <v>0</v>
          </cell>
          <cell r="F233"/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A234" t="str">
            <v>VashonMulti-Family95MW1</v>
          </cell>
          <cell r="B234" t="str">
            <v>95MW1</v>
          </cell>
          <cell r="C234" t="str">
            <v>MF 1-95 GAL CART</v>
          </cell>
          <cell r="D234">
            <v>0</v>
          </cell>
          <cell r="E234">
            <v>0</v>
          </cell>
          <cell r="F234"/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A235" t="str">
            <v>VashonMulti-Family95MW1N</v>
          </cell>
          <cell r="B235" t="str">
            <v>95MW1N</v>
          </cell>
          <cell r="C235" t="str">
            <v>MF 1-95 GAL CART NONREC</v>
          </cell>
          <cell r="D235">
            <v>0</v>
          </cell>
          <cell r="E235">
            <v>0</v>
          </cell>
          <cell r="F235"/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A236" t="str">
            <v>VashonMulti-FamilyM1.5YD1W</v>
          </cell>
          <cell r="B236" t="str">
            <v>M1.5YD1W</v>
          </cell>
          <cell r="C236" t="str">
            <v>MF 1.5YD CONT 1X WKLY</v>
          </cell>
          <cell r="D236">
            <v>0</v>
          </cell>
          <cell r="E236">
            <v>0</v>
          </cell>
          <cell r="F236"/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A237" t="str">
            <v>VashonMulti-FamilyM1.5YD2W</v>
          </cell>
          <cell r="B237" t="str">
            <v>M1.5YD2W</v>
          </cell>
          <cell r="C237" t="str">
            <v>MF 1.5YD CONT 2X WKLY</v>
          </cell>
          <cell r="D237">
            <v>0</v>
          </cell>
          <cell r="E237">
            <v>0</v>
          </cell>
          <cell r="F237"/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A238" t="str">
            <v>VashonMulti-FamilyM1.5YD3W</v>
          </cell>
          <cell r="B238" t="str">
            <v>M1.5YD3W</v>
          </cell>
          <cell r="C238" t="str">
            <v>MF 1.5YD CONT 3X WKLY</v>
          </cell>
          <cell r="D238">
            <v>0</v>
          </cell>
          <cell r="E238">
            <v>0</v>
          </cell>
          <cell r="F238"/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A239" t="str">
            <v>VashonMulti-FamilyM1.5YDEX</v>
          </cell>
          <cell r="B239" t="str">
            <v>M1.5YDEX</v>
          </cell>
          <cell r="C239" t="str">
            <v>MF 1.5YD CONT EXTRA</v>
          </cell>
          <cell r="D239">
            <v>0</v>
          </cell>
          <cell r="E239">
            <v>0</v>
          </cell>
          <cell r="F239"/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 t="str">
            <v>VashonMulti-FamilyM1YD1W</v>
          </cell>
          <cell r="B240" t="str">
            <v>M1YD1W</v>
          </cell>
          <cell r="C240" t="str">
            <v>MF 1YD CONT 1X WKLY</v>
          </cell>
          <cell r="D240">
            <v>0</v>
          </cell>
          <cell r="E240">
            <v>0</v>
          </cell>
          <cell r="F240"/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>VashonMulti-FamilyM1YD2W</v>
          </cell>
          <cell r="B241" t="str">
            <v>M1YD2W</v>
          </cell>
          <cell r="C241" t="str">
            <v>MF 1YD CONT 2X WKLY</v>
          </cell>
          <cell r="D241">
            <v>0</v>
          </cell>
          <cell r="E241">
            <v>0</v>
          </cell>
          <cell r="F241"/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A242" t="str">
            <v>VashonMulti-FamilyM1YDEX</v>
          </cell>
          <cell r="B242" t="str">
            <v>M1YDEX</v>
          </cell>
          <cell r="C242" t="str">
            <v>MF 1YD CONT EXTRA</v>
          </cell>
          <cell r="D242">
            <v>0</v>
          </cell>
          <cell r="E242">
            <v>0</v>
          </cell>
          <cell r="F242"/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A243" t="str">
            <v>VashonMulti-FamilyM1YDTPU</v>
          </cell>
          <cell r="B243" t="str">
            <v>M1YDTPU</v>
          </cell>
          <cell r="C243" t="str">
            <v>MF 1YD TEMP CONT</v>
          </cell>
          <cell r="D243">
            <v>0</v>
          </cell>
          <cell r="E243">
            <v>0</v>
          </cell>
          <cell r="F243"/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A244" t="str">
            <v>VashonMulti-FamilyM2YD1W</v>
          </cell>
          <cell r="B244" t="str">
            <v>M2YD1W</v>
          </cell>
          <cell r="C244" t="str">
            <v>MF 2YD CONT 1X WKLY</v>
          </cell>
          <cell r="D244">
            <v>0</v>
          </cell>
          <cell r="E244">
            <v>0</v>
          </cell>
          <cell r="F244"/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A245" t="str">
            <v>VashonMulti-FamilyM2YD2W</v>
          </cell>
          <cell r="B245" t="str">
            <v>M2YD2W</v>
          </cell>
          <cell r="C245" t="str">
            <v>MF 2YD CONT 2X WKLY</v>
          </cell>
          <cell r="D245">
            <v>0</v>
          </cell>
          <cell r="E245">
            <v>0</v>
          </cell>
          <cell r="F245"/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A246" t="str">
            <v>VashonMulti-FamilyM2YD3W</v>
          </cell>
          <cell r="B246" t="str">
            <v>M2YD3W</v>
          </cell>
          <cell r="C246" t="str">
            <v>MF 2YD CONT 3X WKLY</v>
          </cell>
          <cell r="D246">
            <v>0</v>
          </cell>
          <cell r="E246">
            <v>0</v>
          </cell>
          <cell r="F246"/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A247" t="str">
            <v>VashonMulti-FamilyM2YDEX</v>
          </cell>
          <cell r="B247" t="str">
            <v>M2YDEX</v>
          </cell>
          <cell r="C247" t="str">
            <v>MF 2YD CONT EXTRA</v>
          </cell>
          <cell r="D247">
            <v>0</v>
          </cell>
          <cell r="E247">
            <v>0</v>
          </cell>
          <cell r="F247"/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A248" t="str">
            <v>VashonMulti-FamilyM2YDTPU</v>
          </cell>
          <cell r="B248" t="str">
            <v>M2YDTPU</v>
          </cell>
          <cell r="C248" t="str">
            <v>MF 2YD TEMP CONT</v>
          </cell>
          <cell r="D248">
            <v>0</v>
          </cell>
          <cell r="E248">
            <v>0</v>
          </cell>
          <cell r="F248"/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A249" t="str">
            <v>VashonMulti-FamilyM4YD1W</v>
          </cell>
          <cell r="B249" t="str">
            <v>M4YD1W</v>
          </cell>
          <cell r="C249" t="str">
            <v>MF 4YD CONT 1X WKLY</v>
          </cell>
          <cell r="D249">
            <v>0</v>
          </cell>
          <cell r="E249">
            <v>0</v>
          </cell>
          <cell r="F249"/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 t="str">
            <v>VashonMulti-FamilyM4YD2W</v>
          </cell>
          <cell r="B250" t="str">
            <v>M4YD2W</v>
          </cell>
          <cell r="C250" t="str">
            <v>MF 4YD CONT 2X WKLY</v>
          </cell>
          <cell r="D250">
            <v>0</v>
          </cell>
          <cell r="E250">
            <v>0</v>
          </cell>
          <cell r="F250"/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 t="str">
            <v>VashonMulti-FamilyM4YDEX</v>
          </cell>
          <cell r="B251" t="str">
            <v>M4YDEX</v>
          </cell>
          <cell r="C251" t="str">
            <v>MF 4YD CONT EXTRA</v>
          </cell>
          <cell r="D251">
            <v>0</v>
          </cell>
          <cell r="E251">
            <v>0</v>
          </cell>
          <cell r="F251"/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 t="str">
            <v>VashonMulti-FamilyM6YD1W</v>
          </cell>
          <cell r="B252" t="str">
            <v>M6YD1W</v>
          </cell>
          <cell r="C252" t="str">
            <v>MF 6YD CONT 1X WKLY</v>
          </cell>
          <cell r="D252">
            <v>0</v>
          </cell>
          <cell r="E252">
            <v>0</v>
          </cell>
          <cell r="F252"/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 t="str">
            <v>VashonMulti-FamilyM6YD2W</v>
          </cell>
          <cell r="B253" t="str">
            <v>M6YD2W</v>
          </cell>
          <cell r="C253" t="str">
            <v>MF 6YD CONT 2X WKLY</v>
          </cell>
          <cell r="D253">
            <v>0</v>
          </cell>
          <cell r="E253">
            <v>0</v>
          </cell>
          <cell r="F253"/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A254" t="str">
            <v>VashonMulti-FamilyM6YD3W</v>
          </cell>
          <cell r="B254" t="str">
            <v>M6YD3W</v>
          </cell>
          <cell r="C254" t="str">
            <v>MF 6YD CONT 3X WKLY</v>
          </cell>
          <cell r="D254">
            <v>0</v>
          </cell>
          <cell r="E254">
            <v>0</v>
          </cell>
          <cell r="F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A255" t="str">
            <v>VashonMulti-FamilyM6YDEX</v>
          </cell>
          <cell r="B255" t="str">
            <v>M6YDEX</v>
          </cell>
          <cell r="C255" t="str">
            <v>MF 6YD CONT EXTRA</v>
          </cell>
          <cell r="D255">
            <v>0</v>
          </cell>
          <cell r="E255">
            <v>0</v>
          </cell>
          <cell r="F255"/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A256" t="str">
            <v>VashonMulti-FamilyMCCWR1</v>
          </cell>
          <cell r="B256" t="str">
            <v>MCCWR1</v>
          </cell>
          <cell r="C256" t="str">
            <v>MF CAN COUNT W/RECYCLING</v>
          </cell>
          <cell r="D256">
            <v>0</v>
          </cell>
          <cell r="E256">
            <v>0</v>
          </cell>
          <cell r="F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A257" t="str">
            <v>VashonMulti-FamilyMCCWR35</v>
          </cell>
          <cell r="B257" t="str">
            <v>MCCWR35</v>
          </cell>
          <cell r="C257" t="str">
            <v>MF 1-35 GL CART COUNT</v>
          </cell>
          <cell r="D257">
            <v>0</v>
          </cell>
          <cell r="E257">
            <v>0</v>
          </cell>
          <cell r="F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A258" t="str">
            <v>VashonMulti-FamilyMCCWR65</v>
          </cell>
          <cell r="B258" t="str">
            <v>MCCWR65</v>
          </cell>
          <cell r="C258" t="str">
            <v>MF 1-65 GL CART COUNT</v>
          </cell>
          <cell r="D258">
            <v>0</v>
          </cell>
          <cell r="E258">
            <v>0</v>
          </cell>
          <cell r="F258"/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 t="str">
            <v>VashonMulti-FamilyMCCWR95</v>
          </cell>
          <cell r="B259" t="str">
            <v>MCCWR95</v>
          </cell>
          <cell r="C259" t="str">
            <v xml:space="preserve">MF 1-95 GL CART COUNT </v>
          </cell>
          <cell r="D259">
            <v>0</v>
          </cell>
          <cell r="E259">
            <v>0</v>
          </cell>
          <cell r="F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A260" t="str">
            <v>VashonMulti-FamilyMCCWRA</v>
          </cell>
          <cell r="B260" t="str">
            <v>MCCWRA</v>
          </cell>
          <cell r="C260" t="str">
            <v>MF CAN COUNT W/ RECY ADDT</v>
          </cell>
          <cell r="D260">
            <v>0</v>
          </cell>
          <cell r="E260">
            <v>0</v>
          </cell>
          <cell r="F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A261" t="str">
            <v>VashonMulti-FamilyMSRTOT</v>
          </cell>
          <cell r="B261" t="str">
            <v>MSRTOT</v>
          </cell>
          <cell r="C261" t="str">
            <v>MF TOTER SERVICE</v>
          </cell>
          <cell r="D261">
            <v>0</v>
          </cell>
          <cell r="E261">
            <v>0</v>
          </cell>
          <cell r="F261"/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A262" t="str">
            <v>VashonMulti-FamilyMYDW90</v>
          </cell>
          <cell r="B262" t="str">
            <v>MYDW90</v>
          </cell>
          <cell r="C262" t="str">
            <v>MF YARDWASTE</v>
          </cell>
          <cell r="D262">
            <v>0</v>
          </cell>
          <cell r="E262">
            <v>0</v>
          </cell>
          <cell r="F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A263" t="str">
            <v>VashonMulti-FamilyMCONNECT</v>
          </cell>
          <cell r="B263" t="str">
            <v>MCONNECT</v>
          </cell>
          <cell r="C263" t="str">
            <v>MF CONNECT/RECONNECT</v>
          </cell>
          <cell r="D263">
            <v>0</v>
          </cell>
          <cell r="E263">
            <v>0</v>
          </cell>
          <cell r="F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 t="str">
            <v>VashonMulti-FamilyMRENT90</v>
          </cell>
          <cell r="B264" t="str">
            <v>MRENT90</v>
          </cell>
          <cell r="C264" t="str">
            <v>MF 90GAL TOTER RENT</v>
          </cell>
          <cell r="D264">
            <v>0</v>
          </cell>
          <cell r="E264">
            <v>0</v>
          </cell>
          <cell r="F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A265" t="str">
            <v>VashonMulti-FamilyMROLL</v>
          </cell>
          <cell r="B265" t="str">
            <v>MROLL</v>
          </cell>
          <cell r="C265" t="str">
            <v>ROLLOUT CHARGE - MF</v>
          </cell>
          <cell r="D265">
            <v>0</v>
          </cell>
          <cell r="E265">
            <v>0</v>
          </cell>
          <cell r="F265"/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A266" t="str">
            <v>VashonMulti-FamilyPACKM</v>
          </cell>
          <cell r="B266" t="str">
            <v>PACKM</v>
          </cell>
          <cell r="C266" t="str">
            <v>CARRY-OUT MULTI FAMILY</v>
          </cell>
          <cell r="D266">
            <v>0</v>
          </cell>
          <cell r="E266">
            <v>0</v>
          </cell>
          <cell r="F266"/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A267" t="str">
            <v>VashonMulti-FamilyADJMF</v>
          </cell>
          <cell r="B267" t="str">
            <v>ADJMF</v>
          </cell>
          <cell r="C267" t="str">
            <v>SERVICE ADJ MULTI FAMILY</v>
          </cell>
          <cell r="D267">
            <v>0</v>
          </cell>
          <cell r="E267">
            <v>0</v>
          </cell>
          <cell r="F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A268" t="str">
            <v>VashonMulti-FamilyDRVNM</v>
          </cell>
          <cell r="B268" t="str">
            <v>DRVNM</v>
          </cell>
          <cell r="C268" t="str">
            <v>DRIVE IN - MULTIFAMILY</v>
          </cell>
          <cell r="D268">
            <v>0</v>
          </cell>
          <cell r="E268">
            <v>0</v>
          </cell>
          <cell r="F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A269" t="str">
            <v>VashonMulti-FamilyEXTRA-MF</v>
          </cell>
          <cell r="B269" t="str">
            <v>EXTRA-MF</v>
          </cell>
          <cell r="C269" t="str">
            <v>EXTRA CANS - MF</v>
          </cell>
          <cell r="D269">
            <v>0</v>
          </cell>
          <cell r="E269">
            <v>0</v>
          </cell>
          <cell r="F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</row>
        <row r="271">
          <cell r="C271" t="str">
            <v>TOTAL MULTI-FAMILY GARBAGE</v>
          </cell>
          <cell r="D271"/>
          <cell r="E271"/>
          <cell r="F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</row>
        <row r="273">
          <cell r="B273" t="str">
            <v>MULTI-FAMILY RECYCLING</v>
          </cell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</row>
        <row r="274">
          <cell r="A274" t="str">
            <v>VashonMulti-FamilyM2YDRECY</v>
          </cell>
          <cell r="B274" t="str">
            <v>M2YDRECY</v>
          </cell>
          <cell r="C274" t="str">
            <v>MF 2YD RECYCLING</v>
          </cell>
          <cell r="D274">
            <v>0</v>
          </cell>
          <cell r="E274">
            <v>0</v>
          </cell>
          <cell r="F274"/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A275" t="str">
            <v>VashonMulti-FamilyM6YDRECY</v>
          </cell>
          <cell r="B275" t="str">
            <v>M6YDRECY</v>
          </cell>
          <cell r="C275" t="str">
            <v>MF 6YD RECYCLING</v>
          </cell>
          <cell r="D275">
            <v>0</v>
          </cell>
          <cell r="E275">
            <v>0</v>
          </cell>
          <cell r="F275"/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 t="str">
            <v>VashonMulti-FamilyMCCRECYR</v>
          </cell>
          <cell r="B276" t="str">
            <v>MCCRECYR</v>
          </cell>
          <cell r="C276" t="str">
            <v>MF CAN COUNT RECYCLE PROG</v>
          </cell>
          <cell r="D276">
            <v>0</v>
          </cell>
          <cell r="E276">
            <v>0</v>
          </cell>
          <cell r="F276"/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A277" t="str">
            <v>VashonMulti-FamilyMRECYIN</v>
          </cell>
          <cell r="B277" t="str">
            <v>MRECYIN</v>
          </cell>
          <cell r="C277" t="str">
            <v>MF RECYCLING INCENTIVE</v>
          </cell>
          <cell r="D277">
            <v>0</v>
          </cell>
          <cell r="E277">
            <v>0</v>
          </cell>
          <cell r="F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 t="str">
            <v>VashonMulti-FamilyMRECYONLY</v>
          </cell>
          <cell r="B278" t="str">
            <v>MRECYONLY</v>
          </cell>
          <cell r="C278" t="str">
            <v>MF RECYCLE ONLY</v>
          </cell>
          <cell r="D278">
            <v>0</v>
          </cell>
          <cell r="E278">
            <v>0</v>
          </cell>
          <cell r="F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A279" t="str">
            <v>VashonMulti-FamilyMRECYR</v>
          </cell>
          <cell r="B279" t="str">
            <v>MRECYR</v>
          </cell>
          <cell r="C279" t="str">
            <v>RECYCLE PROGRAM W/ BINS</v>
          </cell>
          <cell r="D279">
            <v>0</v>
          </cell>
          <cell r="E279">
            <v>0</v>
          </cell>
          <cell r="F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 t="str">
            <v>VashonMulti-FamilyMRENT2YDRECY</v>
          </cell>
          <cell r="B280" t="str">
            <v>MRENT2YDRECY</v>
          </cell>
          <cell r="C280" t="str">
            <v>MF 2YD RECYCLE RENT</v>
          </cell>
          <cell r="D280">
            <v>0</v>
          </cell>
          <cell r="E280">
            <v>0</v>
          </cell>
          <cell r="F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A281" t="str">
            <v>VashonMulti-FamilyMRENT6YDRECY</v>
          </cell>
          <cell r="B281" t="str">
            <v>MRENT6YDRECY</v>
          </cell>
          <cell r="C281" t="str">
            <v>MF 6YD RECYCLE RENT</v>
          </cell>
          <cell r="D281">
            <v>0</v>
          </cell>
          <cell r="E281">
            <v>0</v>
          </cell>
          <cell r="F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</row>
        <row r="283">
          <cell r="C283" t="str">
            <v>TOTAL MULTI-FAMILY RECYCLING</v>
          </cell>
          <cell r="D283"/>
          <cell r="E283"/>
          <cell r="F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</row>
        <row r="285"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</row>
        <row r="286">
          <cell r="B286" t="str">
            <v>SUBTOTAL COMMERCIAL</v>
          </cell>
          <cell r="D286"/>
          <cell r="E286"/>
          <cell r="F286"/>
          <cell r="G286">
            <v>27901.235000000001</v>
          </cell>
          <cell r="H286">
            <v>28093.375000000007</v>
          </cell>
          <cell r="I286">
            <v>28355.555</v>
          </cell>
          <cell r="J286">
            <v>28919.600000000006</v>
          </cell>
          <cell r="K286">
            <v>30492.290000000008</v>
          </cell>
          <cell r="L286">
            <v>31256.46</v>
          </cell>
          <cell r="M286">
            <v>31543.82</v>
          </cell>
          <cell r="N286">
            <v>31957.785</v>
          </cell>
          <cell r="O286">
            <v>31762.175000000003</v>
          </cell>
          <cell r="P286">
            <v>31533.155000000006</v>
          </cell>
          <cell r="Q286">
            <v>31842.590000000007</v>
          </cell>
          <cell r="R286">
            <v>30682.560000000001</v>
          </cell>
          <cell r="S286">
            <v>364340.60000000009</v>
          </cell>
        </row>
        <row r="287"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</row>
        <row r="288"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</row>
        <row r="289">
          <cell r="B289" t="str">
            <v>DROP BOX SERVICES</v>
          </cell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</row>
        <row r="290"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</row>
        <row r="291">
          <cell r="A291" t="str">
            <v>Rolloff</v>
          </cell>
          <cell r="B291" t="str">
            <v>DROP BOX HAULS/RENTAL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</row>
        <row r="292">
          <cell r="A292" t="str">
            <v>VashonRolloffROHAUL20</v>
          </cell>
          <cell r="B292" t="str">
            <v>ROHAUL20</v>
          </cell>
          <cell r="C292" t="str">
            <v>20YD ROLL OFF-HAUL</v>
          </cell>
          <cell r="D292">
            <v>121.2</v>
          </cell>
          <cell r="E292">
            <v>121.2</v>
          </cell>
          <cell r="F292"/>
          <cell r="G292">
            <v>0</v>
          </cell>
          <cell r="H292">
            <v>121.2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121.2</v>
          </cell>
        </row>
        <row r="293">
          <cell r="A293" t="str">
            <v>VashonRolloffROHAUL20A</v>
          </cell>
          <cell r="B293" t="str">
            <v>ROHAUL20A</v>
          </cell>
          <cell r="C293" t="str">
            <v>ADDTL 20YD ROLL OFF HAUL</v>
          </cell>
          <cell r="D293">
            <v>0</v>
          </cell>
          <cell r="E293">
            <v>0</v>
          </cell>
          <cell r="F293"/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A294" t="str">
            <v>VashonRolloffROHAUL20CO</v>
          </cell>
          <cell r="B294" t="str">
            <v>ROHAUL20CO</v>
          </cell>
          <cell r="C294" t="str">
            <v>20YD CUST OWNED R/O HAUL</v>
          </cell>
          <cell r="D294">
            <v>0</v>
          </cell>
          <cell r="E294">
            <v>0</v>
          </cell>
          <cell r="F294"/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 t="str">
            <v>VashonRolloffROHAUL20T</v>
          </cell>
          <cell r="B295" t="str">
            <v>ROHAUL20T</v>
          </cell>
          <cell r="C295" t="str">
            <v>20YD ROLL OFF TEMP HAUL</v>
          </cell>
          <cell r="D295">
            <v>121.2</v>
          </cell>
          <cell r="E295">
            <v>121.2</v>
          </cell>
          <cell r="F295"/>
          <cell r="G295">
            <v>0</v>
          </cell>
          <cell r="H295">
            <v>0</v>
          </cell>
          <cell r="I295">
            <v>0</v>
          </cell>
          <cell r="J295">
            <v>242.4</v>
          </cell>
          <cell r="K295">
            <v>363.6</v>
          </cell>
          <cell r="L295">
            <v>484.8</v>
          </cell>
          <cell r="M295">
            <v>121.2</v>
          </cell>
          <cell r="N295">
            <v>242.4</v>
          </cell>
          <cell r="O295">
            <v>121.2</v>
          </cell>
          <cell r="P295">
            <v>121.2</v>
          </cell>
          <cell r="Q295">
            <v>121.2</v>
          </cell>
          <cell r="R295">
            <v>0</v>
          </cell>
          <cell r="S295">
            <v>1818.0000000000002</v>
          </cell>
        </row>
        <row r="296">
          <cell r="A296" t="str">
            <v>VashonRolloffROHAUL25</v>
          </cell>
          <cell r="B296" t="str">
            <v>ROHAUL25</v>
          </cell>
          <cell r="C296" t="str">
            <v>25YD ROLL OFF - HAUL</v>
          </cell>
          <cell r="D296">
            <v>121.2</v>
          </cell>
          <cell r="E296">
            <v>121.2</v>
          </cell>
          <cell r="F296"/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121.2</v>
          </cell>
          <cell r="S296">
            <v>121.2</v>
          </cell>
        </row>
        <row r="297">
          <cell r="A297" t="str">
            <v>VashonRolloffROHAUL25A</v>
          </cell>
          <cell r="B297" t="str">
            <v>ROHAUL25A</v>
          </cell>
          <cell r="C297" t="str">
            <v>ADDTL 25YD ROLL OFF HAUL</v>
          </cell>
          <cell r="D297">
            <v>0</v>
          </cell>
          <cell r="E297">
            <v>0</v>
          </cell>
          <cell r="F297"/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A298" t="str">
            <v>VashonRolloffROHAUL25T</v>
          </cell>
          <cell r="B298" t="str">
            <v>ROHAUL25T</v>
          </cell>
          <cell r="C298" t="str">
            <v>25YD ROLL OFF TEMP HAUL</v>
          </cell>
          <cell r="D298">
            <v>121.2</v>
          </cell>
          <cell r="E298">
            <v>121.2</v>
          </cell>
          <cell r="F298"/>
          <cell r="G298">
            <v>0</v>
          </cell>
          <cell r="H298">
            <v>242.4</v>
          </cell>
          <cell r="I298">
            <v>121.2</v>
          </cell>
          <cell r="J298">
            <v>363.6</v>
          </cell>
          <cell r="K298">
            <v>0</v>
          </cell>
          <cell r="L298">
            <v>0</v>
          </cell>
          <cell r="M298">
            <v>242.4</v>
          </cell>
          <cell r="N298">
            <v>0</v>
          </cell>
          <cell r="O298">
            <v>121.2</v>
          </cell>
          <cell r="P298">
            <v>242.4</v>
          </cell>
          <cell r="Q298">
            <v>0</v>
          </cell>
          <cell r="R298">
            <v>121.2</v>
          </cell>
          <cell r="S298">
            <v>1454.4</v>
          </cell>
        </row>
        <row r="299">
          <cell r="A299" t="str">
            <v>VashonRolloffROHAUL30</v>
          </cell>
          <cell r="B299" t="str">
            <v>ROHAUL30</v>
          </cell>
          <cell r="C299" t="str">
            <v>30YD ROLL OFF-HAUL</v>
          </cell>
          <cell r="D299">
            <v>121.2</v>
          </cell>
          <cell r="E299">
            <v>121.2</v>
          </cell>
          <cell r="F299"/>
          <cell r="G299">
            <v>121.2</v>
          </cell>
          <cell r="H299">
            <v>121.2</v>
          </cell>
          <cell r="I299">
            <v>242.4</v>
          </cell>
          <cell r="J299">
            <v>121.2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121.2</v>
          </cell>
          <cell r="R299">
            <v>0</v>
          </cell>
          <cell r="S299">
            <v>727.2</v>
          </cell>
        </row>
        <row r="300">
          <cell r="A300" t="str">
            <v>VashonRolloffROHAUL30A</v>
          </cell>
          <cell r="B300" t="str">
            <v>ROHAUL30A</v>
          </cell>
          <cell r="C300" t="str">
            <v>ADDTL 30YD ROLL OFF HAUL</v>
          </cell>
          <cell r="D300">
            <v>0</v>
          </cell>
          <cell r="E300">
            <v>0</v>
          </cell>
          <cell r="F300"/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A301" t="str">
            <v>VashonRolloffROHAUL30T</v>
          </cell>
          <cell r="B301" t="str">
            <v>ROHAUL30T</v>
          </cell>
          <cell r="C301" t="str">
            <v>30YD ROLL OFF TEMP HAUL</v>
          </cell>
          <cell r="D301">
            <v>121.2</v>
          </cell>
          <cell r="E301">
            <v>121.2</v>
          </cell>
          <cell r="F301"/>
          <cell r="G301">
            <v>484.8</v>
          </cell>
          <cell r="H301">
            <v>363.6</v>
          </cell>
          <cell r="I301">
            <v>363.6</v>
          </cell>
          <cell r="J301">
            <v>242.4</v>
          </cell>
          <cell r="K301">
            <v>121.2</v>
          </cell>
          <cell r="L301">
            <v>484.8</v>
          </cell>
          <cell r="M301">
            <v>1212</v>
          </cell>
          <cell r="N301">
            <v>363.6</v>
          </cell>
          <cell r="O301">
            <v>606</v>
          </cell>
          <cell r="P301">
            <v>242.4</v>
          </cell>
          <cell r="Q301">
            <v>0</v>
          </cell>
          <cell r="R301">
            <v>0</v>
          </cell>
          <cell r="S301">
            <v>4484.3999999999996</v>
          </cell>
        </row>
        <row r="302">
          <cell r="A302" t="str">
            <v>VashonRolloffROHAUL40</v>
          </cell>
          <cell r="B302" t="str">
            <v>ROHAUL40</v>
          </cell>
          <cell r="C302" t="str">
            <v>40YD ROLL OFF-HAUL</v>
          </cell>
          <cell r="D302">
            <v>0</v>
          </cell>
          <cell r="E302">
            <v>0</v>
          </cell>
          <cell r="F302"/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A303" t="str">
            <v>VashonRolloffROHAUL40A</v>
          </cell>
          <cell r="B303" t="str">
            <v>ROHAUL40A</v>
          </cell>
          <cell r="C303" t="str">
            <v>ADDTL 40YD ROLL OFF HAUL</v>
          </cell>
          <cell r="D303">
            <v>0</v>
          </cell>
          <cell r="E303">
            <v>0</v>
          </cell>
          <cell r="F303"/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A304" t="str">
            <v>VashonRolloffROHAUL40T</v>
          </cell>
          <cell r="B304" t="str">
            <v>ROHAUL40T</v>
          </cell>
          <cell r="C304" t="str">
            <v>40YD ROLL OFF TEMP</v>
          </cell>
          <cell r="D304">
            <v>0</v>
          </cell>
          <cell r="E304">
            <v>0</v>
          </cell>
          <cell r="F304"/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A305" t="str">
            <v>VashonRolloffCPHAUL10</v>
          </cell>
          <cell r="B305" t="str">
            <v>CPHAUL10</v>
          </cell>
          <cell r="C305" t="str">
            <v>10YD COMPACTOR-HAUL</v>
          </cell>
          <cell r="D305">
            <v>0</v>
          </cell>
          <cell r="E305">
            <v>0</v>
          </cell>
          <cell r="F305"/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A306" t="str">
            <v>VashonRolloffCPHAUL15</v>
          </cell>
          <cell r="B306" t="str">
            <v>CPHAUL15</v>
          </cell>
          <cell r="C306" t="str">
            <v>15YD COMPACTOR-HAUL</v>
          </cell>
          <cell r="D306">
            <v>0</v>
          </cell>
          <cell r="E306">
            <v>0</v>
          </cell>
          <cell r="F306"/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A307" t="str">
            <v>VashonRolloffCPHAUL20</v>
          </cell>
          <cell r="B307" t="str">
            <v>CPHAUL20</v>
          </cell>
          <cell r="C307" t="str">
            <v>20YD COMPACTOR-HAUL</v>
          </cell>
          <cell r="D307">
            <v>145.43</v>
          </cell>
          <cell r="E307">
            <v>145.43</v>
          </cell>
          <cell r="F307"/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A308" t="str">
            <v>VashonRolloffCPHAUL25</v>
          </cell>
          <cell r="B308" t="str">
            <v>CPHAUL25</v>
          </cell>
          <cell r="C308" t="str">
            <v>25YD COMPACTOR-HAUL</v>
          </cell>
          <cell r="D308">
            <v>151.5</v>
          </cell>
          <cell r="E308">
            <v>151.5</v>
          </cell>
          <cell r="F308"/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A309" t="str">
            <v>VashonRolloffCPHAUL30</v>
          </cell>
          <cell r="B309" t="str">
            <v>CPHAUL30</v>
          </cell>
          <cell r="C309" t="str">
            <v>30YD COMPACTOR-HAUL</v>
          </cell>
          <cell r="D309">
            <v>157.54</v>
          </cell>
          <cell r="E309">
            <v>157.54</v>
          </cell>
          <cell r="F309"/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A310" t="str">
            <v>VashonRolloffCPHAUL35</v>
          </cell>
          <cell r="B310" t="str">
            <v>CPHAUL35</v>
          </cell>
          <cell r="C310" t="str">
            <v>35YD COMPACTOR-HAUL</v>
          </cell>
          <cell r="D310">
            <v>0</v>
          </cell>
          <cell r="E310">
            <v>0</v>
          </cell>
          <cell r="F310"/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A311" t="str">
            <v>VashonRolloffCPHAUL40</v>
          </cell>
          <cell r="B311" t="str">
            <v>CPHAUL40</v>
          </cell>
          <cell r="C311" t="str">
            <v>40YD COMPACTOR - HAUL</v>
          </cell>
          <cell r="D311">
            <v>0</v>
          </cell>
          <cell r="E311">
            <v>0</v>
          </cell>
          <cell r="F311"/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A312" t="str">
            <v>VashonRolloffRORENT20D</v>
          </cell>
          <cell r="B312" t="str">
            <v>RORENT20D</v>
          </cell>
          <cell r="C312" t="str">
            <v>20YD ROLL OFF-DAILY RENT</v>
          </cell>
          <cell r="D312">
            <v>0</v>
          </cell>
          <cell r="E312">
            <v>0</v>
          </cell>
          <cell r="F312"/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A313" t="str">
            <v>VashonRolloffRORENT20P</v>
          </cell>
          <cell r="B313" t="str">
            <v>RORENT20P</v>
          </cell>
          <cell r="C313" t="str">
            <v>20YD ROLL OFF-PERM RENT</v>
          </cell>
          <cell r="D313">
            <v>24.17</v>
          </cell>
          <cell r="E313">
            <v>24.17</v>
          </cell>
          <cell r="F313"/>
          <cell r="G313">
            <v>24.17</v>
          </cell>
          <cell r="H313">
            <v>10.36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34.53</v>
          </cell>
        </row>
        <row r="314">
          <cell r="A314" t="str">
            <v>VashonRolloffRORENT20T</v>
          </cell>
          <cell r="B314" t="str">
            <v>RORENT20T</v>
          </cell>
          <cell r="C314" t="str">
            <v>20YD ROLL OFF-TEMP RENT</v>
          </cell>
          <cell r="D314">
            <v>120.92</v>
          </cell>
          <cell r="E314">
            <v>120.92</v>
          </cell>
          <cell r="F314"/>
          <cell r="G314">
            <v>0</v>
          </cell>
          <cell r="H314">
            <v>96.74</v>
          </cell>
          <cell r="I314">
            <v>322.45</v>
          </cell>
          <cell r="J314">
            <v>205.56</v>
          </cell>
          <cell r="K314">
            <v>290.19</v>
          </cell>
          <cell r="L314">
            <v>157.19</v>
          </cell>
          <cell r="M314">
            <v>12.09</v>
          </cell>
          <cell r="N314">
            <v>112.85</v>
          </cell>
          <cell r="O314">
            <v>36.270000000000003</v>
          </cell>
          <cell r="P314">
            <v>0</v>
          </cell>
          <cell r="Q314">
            <v>84.64</v>
          </cell>
          <cell r="R314">
            <v>241.84</v>
          </cell>
          <cell r="S314">
            <v>1559.82</v>
          </cell>
        </row>
        <row r="315">
          <cell r="A315" t="str">
            <v>VashonRolloffRORENT25D</v>
          </cell>
          <cell r="B315" t="str">
            <v>RORENT25D</v>
          </cell>
          <cell r="C315" t="str">
            <v>25YD ROLL OFF -DAILY RENT</v>
          </cell>
          <cell r="D315">
            <v>0</v>
          </cell>
          <cell r="E315">
            <v>0</v>
          </cell>
          <cell r="F315"/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A316" t="str">
            <v>VashonRolloffRORENT25P</v>
          </cell>
          <cell r="B316" t="str">
            <v>RORENT25P</v>
          </cell>
          <cell r="C316" t="str">
            <v>25YD ROLL OFF-PERM RENT</v>
          </cell>
          <cell r="D316">
            <v>24.17</v>
          </cell>
          <cell r="E316">
            <v>24.17</v>
          </cell>
          <cell r="F316"/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24.17</v>
          </cell>
          <cell r="Q316">
            <v>24.17</v>
          </cell>
          <cell r="R316">
            <v>24.17</v>
          </cell>
          <cell r="S316">
            <v>72.510000000000005</v>
          </cell>
        </row>
        <row r="317">
          <cell r="A317" t="str">
            <v>VashonRolloffRORENT25T</v>
          </cell>
          <cell r="B317" t="str">
            <v>RORENT25T</v>
          </cell>
          <cell r="C317" t="str">
            <v>25YD ROLL OFF-TEMP RENT</v>
          </cell>
          <cell r="D317">
            <v>120.92</v>
          </cell>
          <cell r="E317">
            <v>120.92</v>
          </cell>
          <cell r="F317"/>
          <cell r="G317">
            <v>12.09</v>
          </cell>
          <cell r="H317">
            <v>107.96</v>
          </cell>
          <cell r="I317">
            <v>92.71</v>
          </cell>
          <cell r="J317">
            <v>241.82</v>
          </cell>
          <cell r="K317">
            <v>120.92</v>
          </cell>
          <cell r="L317">
            <v>213.62</v>
          </cell>
          <cell r="M317">
            <v>257.95999999999998</v>
          </cell>
          <cell r="N317">
            <v>-443.36999999999995</v>
          </cell>
          <cell r="O317">
            <v>205.55</v>
          </cell>
          <cell r="P317">
            <v>120.92</v>
          </cell>
          <cell r="Q317">
            <v>120.92</v>
          </cell>
          <cell r="R317">
            <v>4.03</v>
          </cell>
          <cell r="S317">
            <v>1055.1299999999999</v>
          </cell>
        </row>
        <row r="318">
          <cell r="A318" t="str">
            <v>VashonRolloffRORENT30D</v>
          </cell>
          <cell r="B318" t="str">
            <v>RORENT30D</v>
          </cell>
          <cell r="C318" t="str">
            <v>30YD ROLL OFF-DAILY RENT</v>
          </cell>
          <cell r="D318">
            <v>0</v>
          </cell>
          <cell r="E318">
            <v>0</v>
          </cell>
          <cell r="F318"/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 t="str">
            <v>VashonRolloffRORENT30P</v>
          </cell>
          <cell r="B319" t="str">
            <v>RORENT30P</v>
          </cell>
          <cell r="C319" t="str">
            <v>30YD ROLL OFF-PERM RENT</v>
          </cell>
          <cell r="D319">
            <v>24.17</v>
          </cell>
          <cell r="E319">
            <v>24.17</v>
          </cell>
          <cell r="F319"/>
          <cell r="G319">
            <v>48.34</v>
          </cell>
          <cell r="H319">
            <v>48.34</v>
          </cell>
          <cell r="I319">
            <v>45.11</v>
          </cell>
          <cell r="J319">
            <v>7.25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24.17</v>
          </cell>
          <cell r="Q319">
            <v>48.34</v>
          </cell>
          <cell r="R319">
            <v>48.34</v>
          </cell>
          <cell r="S319">
            <v>269.89000000000004</v>
          </cell>
        </row>
        <row r="320">
          <cell r="A320" t="str">
            <v>VashonRolloffRORENT30T</v>
          </cell>
          <cell r="B320" t="str">
            <v>RORENT30T</v>
          </cell>
          <cell r="C320" t="str">
            <v>30YD ROLL OFF-TEMP RENT</v>
          </cell>
          <cell r="D320">
            <v>120.92</v>
          </cell>
          <cell r="E320">
            <v>120.92</v>
          </cell>
          <cell r="F320"/>
          <cell r="G320">
            <v>485.24</v>
          </cell>
          <cell r="H320">
            <v>505.27</v>
          </cell>
          <cell r="I320">
            <v>471.57</v>
          </cell>
          <cell r="J320">
            <v>261.99</v>
          </cell>
          <cell r="K320">
            <v>322.45</v>
          </cell>
          <cell r="L320">
            <v>326.47000000000003</v>
          </cell>
          <cell r="M320">
            <v>499.8</v>
          </cell>
          <cell r="N320">
            <v>382.9</v>
          </cell>
          <cell r="O320">
            <v>403.06</v>
          </cell>
          <cell r="P320">
            <v>266.02</v>
          </cell>
          <cell r="Q320">
            <v>-44.34</v>
          </cell>
          <cell r="R320">
            <v>120.92</v>
          </cell>
          <cell r="S320">
            <v>4001.35</v>
          </cell>
        </row>
        <row r="321">
          <cell r="A321" t="str">
            <v>VashonRolloffRORENT40P</v>
          </cell>
          <cell r="B321" t="str">
            <v>RORENT40P</v>
          </cell>
          <cell r="C321" t="str">
            <v>40YD ROLL OFF-PERM RENT</v>
          </cell>
          <cell r="D321">
            <v>0</v>
          </cell>
          <cell r="E321">
            <v>0</v>
          </cell>
          <cell r="F321"/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 t="str">
            <v>VashonRolloffRORENT40T</v>
          </cell>
          <cell r="B322" t="str">
            <v>RORENT40T</v>
          </cell>
          <cell r="C322" t="str">
            <v>40YD ROLL OFF-TEMP RENT</v>
          </cell>
          <cell r="D322">
            <v>0</v>
          </cell>
          <cell r="E322">
            <v>0</v>
          </cell>
          <cell r="F322"/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A323" t="str">
            <v>VashonRolloffRECYHAUL10</v>
          </cell>
          <cell r="B323" t="str">
            <v>RECYHAUL10</v>
          </cell>
          <cell r="C323" t="str">
            <v>RECYCLE 10 YD HAUL</v>
          </cell>
          <cell r="D323">
            <v>0</v>
          </cell>
          <cell r="E323">
            <v>0</v>
          </cell>
          <cell r="F323"/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 t="str">
            <v>VashonRolloffRECYHAUL12</v>
          </cell>
          <cell r="B324" t="str">
            <v>RECYHAUL12</v>
          </cell>
          <cell r="C324" t="str">
            <v>RECYCLE 12 YD HAUL</v>
          </cell>
          <cell r="D324">
            <v>0</v>
          </cell>
          <cell r="E324">
            <v>0</v>
          </cell>
          <cell r="F324"/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A325" t="str">
            <v>VashonRolloffRECYHAUL15</v>
          </cell>
          <cell r="B325" t="str">
            <v>RECYHAUL15</v>
          </cell>
          <cell r="C325" t="str">
            <v>RECYCLE 15 YD HAUL</v>
          </cell>
          <cell r="D325">
            <v>0</v>
          </cell>
          <cell r="E325">
            <v>0</v>
          </cell>
          <cell r="F325"/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 t="str">
            <v>VashonRolloffRECYHAUL20</v>
          </cell>
          <cell r="B326" t="str">
            <v>RECYHAUL20</v>
          </cell>
          <cell r="C326" t="str">
            <v>RECYCLE 20YD HAUL</v>
          </cell>
          <cell r="D326">
            <v>0</v>
          </cell>
          <cell r="E326">
            <v>0</v>
          </cell>
          <cell r="F326"/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A327" t="str">
            <v>VashonRolloffRECYHAUL25</v>
          </cell>
          <cell r="B327" t="str">
            <v>RECYHAUL25</v>
          </cell>
          <cell r="C327" t="str">
            <v>RECYCLE 25YD HAUL</v>
          </cell>
          <cell r="D327">
            <v>0</v>
          </cell>
          <cell r="E327">
            <v>0</v>
          </cell>
          <cell r="F327"/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A328" t="str">
            <v>VashonRolloffRECYHAUL30</v>
          </cell>
          <cell r="B328" t="str">
            <v>RECYHAUL30</v>
          </cell>
          <cell r="C328" t="str">
            <v>RECYCLE 30YD HAUL</v>
          </cell>
          <cell r="D328">
            <v>0</v>
          </cell>
          <cell r="E328">
            <v>0</v>
          </cell>
          <cell r="F328"/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A329" t="str">
            <v>VashonRolloffRECYHAUL40</v>
          </cell>
          <cell r="B329" t="str">
            <v>RECYHAUL40</v>
          </cell>
          <cell r="C329" t="str">
            <v>RECYCLE 40YD HAUL</v>
          </cell>
          <cell r="D329">
            <v>0</v>
          </cell>
          <cell r="E329">
            <v>0</v>
          </cell>
          <cell r="F329"/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A330" t="str">
            <v>VashonRolloffRECYHAUL50</v>
          </cell>
          <cell r="B330" t="str">
            <v>RECYHAUL50</v>
          </cell>
          <cell r="C330" t="str">
            <v>RECYCLE 50YD HAUL</v>
          </cell>
          <cell r="D330">
            <v>0</v>
          </cell>
          <cell r="E330">
            <v>0</v>
          </cell>
          <cell r="F330"/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A331" t="str">
            <v>VashonRolloffRECYHAULCOMP</v>
          </cell>
          <cell r="B331" t="str">
            <v>RECYHAULCOMP</v>
          </cell>
          <cell r="C331" t="str">
            <v>RECYCLE COMPACTOR HAUL</v>
          </cell>
          <cell r="D331">
            <v>0</v>
          </cell>
          <cell r="E331">
            <v>0</v>
          </cell>
          <cell r="F331"/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A332" t="str">
            <v>VashonRolloffRECYRENT12</v>
          </cell>
          <cell r="B332" t="str">
            <v>RECYRENT12</v>
          </cell>
          <cell r="C332" t="str">
            <v>RECYCLE 12 YD BOX RENT</v>
          </cell>
          <cell r="D332">
            <v>0</v>
          </cell>
          <cell r="E332">
            <v>0</v>
          </cell>
          <cell r="F332"/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A333" t="str">
            <v>VashonRolloffRECYRENT15</v>
          </cell>
          <cell r="B333" t="str">
            <v>RECYRENT15</v>
          </cell>
          <cell r="C333" t="str">
            <v>RECYCLE 15 YD BOX RENT</v>
          </cell>
          <cell r="D333">
            <v>0</v>
          </cell>
          <cell r="E333">
            <v>0</v>
          </cell>
          <cell r="F333"/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A334" t="str">
            <v>VashonRolloffRECYRENT20</v>
          </cell>
          <cell r="B334" t="str">
            <v>RECYRENT20</v>
          </cell>
          <cell r="C334" t="str">
            <v>RECYCLE 20YD BOX RENT</v>
          </cell>
          <cell r="D334">
            <v>0</v>
          </cell>
          <cell r="E334">
            <v>0</v>
          </cell>
          <cell r="F334"/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A335" t="str">
            <v>VashonRolloffRECYRENT25</v>
          </cell>
          <cell r="B335" t="str">
            <v>RECYRENT25</v>
          </cell>
          <cell r="C335" t="str">
            <v>RECYCLE 25YD BOX RENT</v>
          </cell>
          <cell r="D335">
            <v>0</v>
          </cell>
          <cell r="E335">
            <v>0</v>
          </cell>
          <cell r="F335"/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A336" t="str">
            <v>VashonRolloffRECYRENT30</v>
          </cell>
          <cell r="B336" t="str">
            <v>RECYRENT30</v>
          </cell>
          <cell r="C336" t="str">
            <v>RECYCLE 30YD BOX RENT</v>
          </cell>
          <cell r="D336">
            <v>0</v>
          </cell>
          <cell r="E336">
            <v>0</v>
          </cell>
          <cell r="F336"/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A337" t="str">
            <v>VashonRolloffRECYRENT40</v>
          </cell>
          <cell r="B337" t="str">
            <v>RECYRENT40</v>
          </cell>
          <cell r="C337" t="str">
            <v>RECYCLE 40YD BOX RENT</v>
          </cell>
          <cell r="D337">
            <v>0</v>
          </cell>
          <cell r="E337">
            <v>0</v>
          </cell>
          <cell r="F337"/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A338" t="str">
            <v>VashonRolloffRECYRENT50</v>
          </cell>
          <cell r="B338" t="str">
            <v>RECYRENT50</v>
          </cell>
          <cell r="C338" t="str">
            <v>RECYCLE 50YD BOX RENT</v>
          </cell>
          <cell r="D338">
            <v>0</v>
          </cell>
          <cell r="E338">
            <v>0</v>
          </cell>
          <cell r="F338"/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A339" t="str">
            <v>VashonRolloffRECYWPROC100</v>
          </cell>
          <cell r="B339" t="str">
            <v>RECYWPROC100</v>
          </cell>
          <cell r="C339" t="str">
            <v>RECY 100YD HAUL &amp; PROC</v>
          </cell>
          <cell r="D339">
            <v>0</v>
          </cell>
          <cell r="E339">
            <v>0</v>
          </cell>
          <cell r="F339"/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A340" t="str">
            <v>VashonRolloffRECYWPROC20</v>
          </cell>
          <cell r="B340" t="str">
            <v>RECYWPROC20</v>
          </cell>
          <cell r="C340" t="str">
            <v>RECY 20YD HAUL &amp; PROC</v>
          </cell>
          <cell r="D340">
            <v>0</v>
          </cell>
          <cell r="E340">
            <v>0</v>
          </cell>
          <cell r="F340"/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A341" t="str">
            <v>VashonRolloffRECYWPROC25</v>
          </cell>
          <cell r="B341" t="str">
            <v>RECYWPROC25</v>
          </cell>
          <cell r="C341" t="str">
            <v>RECY 25YD HAUL &amp; PROC</v>
          </cell>
          <cell r="D341">
            <v>0</v>
          </cell>
          <cell r="E341">
            <v>0</v>
          </cell>
          <cell r="F341"/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 t="str">
            <v>VashonRolloffRECYWPROC30</v>
          </cell>
          <cell r="B342" t="str">
            <v>RECYWPROC30</v>
          </cell>
          <cell r="C342" t="str">
            <v>RECY 30YD HAUL &amp; PROC</v>
          </cell>
          <cell r="D342">
            <v>0</v>
          </cell>
          <cell r="E342">
            <v>0</v>
          </cell>
          <cell r="F342"/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A343" t="str">
            <v>VashonRolloffRECYWPROC40</v>
          </cell>
          <cell r="B343" t="str">
            <v>RECYWPROC40</v>
          </cell>
          <cell r="C343" t="str">
            <v>RECY 40YD HAUL &amp; PROC</v>
          </cell>
          <cell r="D343">
            <v>0</v>
          </cell>
          <cell r="E343">
            <v>0</v>
          </cell>
          <cell r="F343"/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A344" t="str">
            <v>VashonRolloffRECYWPROC50</v>
          </cell>
          <cell r="B344" t="str">
            <v>RECYWPROC50</v>
          </cell>
          <cell r="C344" t="str">
            <v>RECY 50YD HAUL &amp; PROC</v>
          </cell>
          <cell r="D344">
            <v>0</v>
          </cell>
          <cell r="E344">
            <v>0</v>
          </cell>
          <cell r="F344"/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A345" t="str">
            <v>VashonRolloffRECYWPROCSD</v>
          </cell>
          <cell r="B345" t="str">
            <v>RECYWPROCSD</v>
          </cell>
          <cell r="C345" t="str">
            <v>RECY SIDE DUMP HAUL&amp;PROC</v>
          </cell>
          <cell r="D345">
            <v>0</v>
          </cell>
          <cell r="E345">
            <v>0</v>
          </cell>
          <cell r="F345"/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A346" t="str">
            <v>VashonRolloffRORHAULHR12</v>
          </cell>
          <cell r="B346" t="str">
            <v>RORHAULHR12</v>
          </cell>
          <cell r="C346" t="str">
            <v>RECYCLE 12 YD HRLY HAUL</v>
          </cell>
          <cell r="D346">
            <v>0</v>
          </cell>
          <cell r="E346">
            <v>0</v>
          </cell>
          <cell r="F346"/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A347" t="str">
            <v>VashonRolloffRORHAULHR15</v>
          </cell>
          <cell r="B347" t="str">
            <v>RORHAULHR15</v>
          </cell>
          <cell r="C347" t="str">
            <v>RECYCLE 15 YD HRLY HAUL</v>
          </cell>
          <cell r="D347">
            <v>0</v>
          </cell>
          <cell r="E347">
            <v>0</v>
          </cell>
          <cell r="F347"/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A348" t="str">
            <v>VashonRolloffRORHAULHR20</v>
          </cell>
          <cell r="B348" t="str">
            <v>RORHAULHR20</v>
          </cell>
          <cell r="C348" t="str">
            <v>RECYCLE 20YD HRLY HAUL</v>
          </cell>
          <cell r="D348">
            <v>0</v>
          </cell>
          <cell r="E348">
            <v>0</v>
          </cell>
          <cell r="F348"/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A349" t="str">
            <v>VashonRolloffRORHAULHR25</v>
          </cell>
          <cell r="B349" t="str">
            <v>RORHAULHR25</v>
          </cell>
          <cell r="C349" t="str">
            <v>RECYCLE 25YD HRLY HAUL</v>
          </cell>
          <cell r="D349">
            <v>0</v>
          </cell>
          <cell r="E349">
            <v>0</v>
          </cell>
          <cell r="F349"/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A350" t="str">
            <v>VashonRolloffRORHAULHR30</v>
          </cell>
          <cell r="B350" t="str">
            <v>RORHAULHR30</v>
          </cell>
          <cell r="C350" t="str">
            <v>RECYCLE 30YD HRLY HAUL</v>
          </cell>
          <cell r="D350">
            <v>0</v>
          </cell>
          <cell r="E350">
            <v>0</v>
          </cell>
          <cell r="F350"/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A351" t="str">
            <v>VashonRolloffRORHAULHR40</v>
          </cell>
          <cell r="B351" t="str">
            <v>RORHAULHR40</v>
          </cell>
          <cell r="C351" t="str">
            <v>RECYCLE 40YD HRLY HAUL</v>
          </cell>
          <cell r="D351">
            <v>0</v>
          </cell>
          <cell r="E351">
            <v>0</v>
          </cell>
          <cell r="F351"/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A352" t="str">
            <v>VashonRolloffRORHAULHR50</v>
          </cell>
          <cell r="B352" t="str">
            <v>RORHAULHR50</v>
          </cell>
          <cell r="C352" t="str">
            <v>RECYCLE 50YD HRLY HAUL</v>
          </cell>
          <cell r="D352">
            <v>0</v>
          </cell>
          <cell r="E352">
            <v>0</v>
          </cell>
          <cell r="F352"/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A353" t="str">
            <v>VashonRolloffRORHAULHRTL</v>
          </cell>
          <cell r="B353" t="str">
            <v>RORHAULHRTL</v>
          </cell>
          <cell r="C353" t="str">
            <v>RECYCLE TRAILER HRLY HAUL</v>
          </cell>
          <cell r="D353">
            <v>0</v>
          </cell>
          <cell r="E353">
            <v>0</v>
          </cell>
          <cell r="F353"/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A354" t="str">
            <v>VashonRolloffROSPC</v>
          </cell>
          <cell r="B354" t="str">
            <v>ROSPC</v>
          </cell>
          <cell r="C354" t="str">
            <v>SPECIAL CHARGES</v>
          </cell>
          <cell r="D354">
            <v>0</v>
          </cell>
          <cell r="E354">
            <v>0</v>
          </cell>
          <cell r="F354"/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A355" t="str">
            <v>VashonRolloffROTA</v>
          </cell>
          <cell r="B355" t="str">
            <v>ROTA</v>
          </cell>
          <cell r="C355" t="str">
            <v>TANDEM AXLE</v>
          </cell>
          <cell r="D355">
            <v>19.13</v>
          </cell>
          <cell r="E355">
            <v>19.13</v>
          </cell>
          <cell r="F355"/>
          <cell r="G355">
            <v>57.39</v>
          </cell>
          <cell r="H355">
            <v>76.52</v>
          </cell>
          <cell r="I355">
            <v>57.39</v>
          </cell>
          <cell r="J355">
            <v>19.13</v>
          </cell>
          <cell r="K355">
            <v>19.13</v>
          </cell>
          <cell r="L355">
            <v>38.26</v>
          </cell>
          <cell r="M355">
            <v>76.52</v>
          </cell>
          <cell r="N355">
            <v>38.26</v>
          </cell>
          <cell r="O355">
            <v>19.13</v>
          </cell>
          <cell r="P355">
            <v>0</v>
          </cell>
          <cell r="Q355">
            <v>0</v>
          </cell>
          <cell r="R355">
            <v>19.13</v>
          </cell>
          <cell r="S355">
            <v>420.85999999999996</v>
          </cell>
        </row>
        <row r="356">
          <cell r="A356" t="str">
            <v>VashonRolloffROWAIT</v>
          </cell>
          <cell r="B356" t="str">
            <v>ROWAIT</v>
          </cell>
          <cell r="C356" t="str">
            <v>STANDBY CHARGE</v>
          </cell>
          <cell r="D356">
            <v>0</v>
          </cell>
          <cell r="E356">
            <v>0</v>
          </cell>
          <cell r="F356"/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 t="str">
            <v>VashonRolloffRTRIP-RO</v>
          </cell>
          <cell r="B357" t="str">
            <v>RTRIP-RO</v>
          </cell>
          <cell r="C357" t="str">
            <v>RETURN TRIP - RO</v>
          </cell>
          <cell r="D357">
            <v>60.6</v>
          </cell>
          <cell r="E357">
            <v>60.6</v>
          </cell>
          <cell r="F357"/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A358" t="str">
            <v>VashonRolloffTHOUR</v>
          </cell>
          <cell r="B358" t="str">
            <v>THOUR</v>
          </cell>
          <cell r="C358" t="str">
            <v>LONG HAUL</v>
          </cell>
          <cell r="D358">
            <v>0</v>
          </cell>
          <cell r="E358">
            <v>0</v>
          </cell>
          <cell r="F358"/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A359" t="str">
            <v>VashonRolloffADJRO</v>
          </cell>
          <cell r="B359" t="str">
            <v>ADJRO</v>
          </cell>
          <cell r="C359" t="str">
            <v>SERVICE ADJ-ROLL OFF</v>
          </cell>
          <cell r="D359">
            <v>0</v>
          </cell>
          <cell r="E359">
            <v>0</v>
          </cell>
          <cell r="F359"/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 t="str">
            <v>VashonRolloffCPCONNECT</v>
          </cell>
          <cell r="B360" t="str">
            <v>CPCONNECT</v>
          </cell>
          <cell r="C360" t="str">
            <v>COMP CONNECT/RECONNECT</v>
          </cell>
          <cell r="D360">
            <v>4.5199999999999996</v>
          </cell>
          <cell r="E360">
            <v>4.5199999999999996</v>
          </cell>
          <cell r="F360"/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A361" t="str">
            <v>VashonRolloffDELREC-RO</v>
          </cell>
          <cell r="B361" t="str">
            <v>DELREC-RO</v>
          </cell>
          <cell r="C361" t="str">
            <v>ROLL OFF RECYCLE DELIVERY</v>
          </cell>
          <cell r="D361">
            <v>0</v>
          </cell>
          <cell r="E361">
            <v>0</v>
          </cell>
          <cell r="F361"/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A362" t="str">
            <v>VashonRolloffFERRY</v>
          </cell>
          <cell r="B362" t="str">
            <v>FERRY</v>
          </cell>
          <cell r="C362" t="str">
            <v>FERRY FEE</v>
          </cell>
          <cell r="D362">
            <v>0</v>
          </cell>
          <cell r="E362">
            <v>0</v>
          </cell>
          <cell r="F362"/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 t="str">
            <v>VashonRolloffRECYWPROCTRL</v>
          </cell>
          <cell r="B363" t="str">
            <v>RECYWPROCTRL</v>
          </cell>
          <cell r="C363" t="str">
            <v>CONT HAUL &amp; PROCESSING</v>
          </cell>
          <cell r="D363">
            <v>0</v>
          </cell>
          <cell r="E363">
            <v>0</v>
          </cell>
          <cell r="F363"/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A364" t="str">
            <v>VashonRolloffROCLEAN</v>
          </cell>
          <cell r="B364" t="str">
            <v>ROCLEAN</v>
          </cell>
          <cell r="C364" t="str">
            <v>ROLLOFF CLEANING</v>
          </cell>
          <cell r="D364">
            <v>3.37</v>
          </cell>
          <cell r="E364">
            <v>3.37</v>
          </cell>
          <cell r="F364"/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A365" t="str">
            <v>VashonRolloffRODEL</v>
          </cell>
          <cell r="B365" t="str">
            <v>RODEL</v>
          </cell>
          <cell r="C365" t="str">
            <v>ROLL OFF-DELIVERY</v>
          </cell>
          <cell r="D365">
            <v>81.81</v>
          </cell>
          <cell r="E365">
            <v>81.81</v>
          </cell>
          <cell r="F365"/>
          <cell r="G365">
            <v>81.81</v>
          </cell>
          <cell r="H365">
            <v>327.24</v>
          </cell>
          <cell r="I365">
            <v>245.43</v>
          </cell>
          <cell r="J365">
            <v>327.24</v>
          </cell>
          <cell r="K365">
            <v>327.24</v>
          </cell>
          <cell r="L365">
            <v>245.43</v>
          </cell>
          <cell r="M365">
            <v>409.05</v>
          </cell>
          <cell r="N365">
            <v>163.62</v>
          </cell>
          <cell r="O365">
            <v>490.86</v>
          </cell>
          <cell r="P365">
            <v>81.81</v>
          </cell>
          <cell r="Q365">
            <v>163.62</v>
          </cell>
          <cell r="R365">
            <v>81.81</v>
          </cell>
          <cell r="S365">
            <v>2945.16</v>
          </cell>
        </row>
        <row r="366">
          <cell r="A366" t="str">
            <v>VashonRolloffROMILE</v>
          </cell>
          <cell r="B366" t="str">
            <v>ROMILE</v>
          </cell>
          <cell r="C366" t="str">
            <v>MILEAGE</v>
          </cell>
          <cell r="D366">
            <v>3.04</v>
          </cell>
          <cell r="E366">
            <v>3.04</v>
          </cell>
          <cell r="F366"/>
          <cell r="G366">
            <v>0</v>
          </cell>
          <cell r="H366">
            <v>12.14</v>
          </cell>
          <cell r="I366">
            <v>15.2</v>
          </cell>
          <cell r="J366">
            <v>21.28</v>
          </cell>
          <cell r="K366">
            <v>3.04</v>
          </cell>
          <cell r="L366">
            <v>12.16</v>
          </cell>
          <cell r="M366">
            <v>36.479999999999997</v>
          </cell>
          <cell r="N366">
            <v>6.08</v>
          </cell>
          <cell r="O366">
            <v>18.239999999999998</v>
          </cell>
          <cell r="P366">
            <v>33.44</v>
          </cell>
          <cell r="Q366">
            <v>6.08</v>
          </cell>
          <cell r="R366">
            <v>24.32</v>
          </cell>
          <cell r="S366">
            <v>188.46</v>
          </cell>
        </row>
        <row r="367">
          <cell r="A367" t="str">
            <v>VashonRolloffRORELOCATE</v>
          </cell>
          <cell r="B367" t="str">
            <v>RORELOCATE</v>
          </cell>
          <cell r="C367" t="str">
            <v>ROLLOFF RELOCATE</v>
          </cell>
          <cell r="D367">
            <v>0</v>
          </cell>
          <cell r="E367">
            <v>0</v>
          </cell>
          <cell r="F367"/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</row>
        <row r="369">
          <cell r="C369" t="str">
            <v>TOTAL DROP BOX HAULS/RENTAL</v>
          </cell>
          <cell r="D369"/>
          <cell r="E369"/>
          <cell r="F369"/>
          <cell r="G369">
            <v>1315.0400000000002</v>
          </cell>
          <cell r="H369">
            <v>2032.97</v>
          </cell>
          <cell r="I369">
            <v>1977.0600000000002</v>
          </cell>
          <cell r="J369">
            <v>2053.8700000000003</v>
          </cell>
          <cell r="K369">
            <v>1567.77</v>
          </cell>
          <cell r="L369">
            <v>1962.73</v>
          </cell>
          <cell r="M369">
            <v>2867.5</v>
          </cell>
          <cell r="N369">
            <v>866.34000000000015</v>
          </cell>
          <cell r="O369">
            <v>2021.51</v>
          </cell>
          <cell r="P369">
            <v>1156.5299999999997</v>
          </cell>
          <cell r="Q369">
            <v>645.83000000000004</v>
          </cell>
          <cell r="R369">
            <v>806.96000000000015</v>
          </cell>
          <cell r="S369">
            <v>19274.11</v>
          </cell>
        </row>
        <row r="370"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</row>
        <row r="371">
          <cell r="B371" t="str">
            <v>PASSTHROUGH DISPOSAL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</row>
        <row r="372">
          <cell r="A372" t="str">
            <v>VashonRolloffDISP</v>
          </cell>
          <cell r="B372" t="str">
            <v>DISP</v>
          </cell>
          <cell r="C372" t="str">
            <v>DISPOSAL FEE PER TON</v>
          </cell>
          <cell r="D372">
            <v>140.82</v>
          </cell>
          <cell r="E372">
            <v>140.82</v>
          </cell>
          <cell r="F372"/>
          <cell r="G372">
            <v>3838.76</v>
          </cell>
          <cell r="H372">
            <v>4355.5600000000004</v>
          </cell>
          <cell r="I372">
            <v>3917.6</v>
          </cell>
          <cell r="J372">
            <v>2899.49</v>
          </cell>
          <cell r="K372">
            <v>2160.1799999999998</v>
          </cell>
          <cell r="L372">
            <v>3875.36</v>
          </cell>
          <cell r="M372">
            <v>7573.3</v>
          </cell>
          <cell r="N372">
            <v>1223.73</v>
          </cell>
          <cell r="O372">
            <v>2664.32</v>
          </cell>
          <cell r="P372">
            <v>1387.07</v>
          </cell>
          <cell r="Q372">
            <v>875.9</v>
          </cell>
          <cell r="R372">
            <v>1070.23</v>
          </cell>
          <cell r="S372">
            <v>35841.500000000007</v>
          </cell>
        </row>
        <row r="373">
          <cell r="A373" t="str">
            <v>VashonRolloffDISP-ASB</v>
          </cell>
          <cell r="B373" t="str">
            <v>DISP-ASB</v>
          </cell>
          <cell r="C373" t="str">
            <v xml:space="preserve">ASBESTOS DISPOSAL </v>
          </cell>
          <cell r="D373">
            <v>0</v>
          </cell>
          <cell r="E373">
            <v>0</v>
          </cell>
          <cell r="F373"/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 t="str">
            <v>VashonRolloffDISP-MAN</v>
          </cell>
          <cell r="B374" t="str">
            <v>DISP-MAN</v>
          </cell>
          <cell r="C374" t="str">
            <v>MANURE DISPOSAL</v>
          </cell>
          <cell r="D374">
            <v>0</v>
          </cell>
          <cell r="E374">
            <v>0</v>
          </cell>
          <cell r="F374"/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 t="str">
            <v>VashonRolloffDISP-RECY</v>
          </cell>
          <cell r="B375" t="str">
            <v>DISP-RECY</v>
          </cell>
          <cell r="C375" t="str">
            <v>RECYCLABLES PROCESSING</v>
          </cell>
          <cell r="D375">
            <v>0</v>
          </cell>
          <cell r="E375">
            <v>0</v>
          </cell>
          <cell r="F375"/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A376" t="str">
            <v>VashonRolloffDISP-WD</v>
          </cell>
          <cell r="B376" t="str">
            <v>DISP-WD</v>
          </cell>
          <cell r="C376" t="str">
            <v>WOOD PROCESSING</v>
          </cell>
          <cell r="D376">
            <v>0</v>
          </cell>
          <cell r="E376">
            <v>0</v>
          </cell>
          <cell r="F376"/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</row>
        <row r="378">
          <cell r="C378" t="str">
            <v>TOTAL PASSTHROUGH DISPOSAL</v>
          </cell>
          <cell r="D378"/>
          <cell r="E378"/>
          <cell r="F378"/>
          <cell r="G378">
            <v>3838.76</v>
          </cell>
          <cell r="H378">
            <v>4355.5600000000004</v>
          </cell>
          <cell r="I378">
            <v>3917.6</v>
          </cell>
          <cell r="J378">
            <v>2899.49</v>
          </cell>
          <cell r="K378">
            <v>2160.1799999999998</v>
          </cell>
          <cell r="L378">
            <v>3875.36</v>
          </cell>
          <cell r="M378">
            <v>7573.3</v>
          </cell>
          <cell r="N378">
            <v>1223.73</v>
          </cell>
          <cell r="O378">
            <v>2664.32</v>
          </cell>
          <cell r="P378">
            <v>1387.07</v>
          </cell>
          <cell r="Q378">
            <v>875.9</v>
          </cell>
          <cell r="R378">
            <v>1070.23</v>
          </cell>
          <cell r="S378">
            <v>35841.500000000007</v>
          </cell>
        </row>
        <row r="379"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</row>
        <row r="380"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</row>
        <row r="381">
          <cell r="B381" t="str">
            <v>SUBTOTAL DROP BOX</v>
          </cell>
          <cell r="D381"/>
          <cell r="E381"/>
          <cell r="F381"/>
          <cell r="G381">
            <v>5153.8</v>
          </cell>
          <cell r="H381">
            <v>6388.5300000000007</v>
          </cell>
          <cell r="I381">
            <v>5894.66</v>
          </cell>
          <cell r="J381">
            <v>4953.3600000000006</v>
          </cell>
          <cell r="K381">
            <v>3727.95</v>
          </cell>
          <cell r="L381">
            <v>5838.09</v>
          </cell>
          <cell r="M381">
            <v>10440.799999999999</v>
          </cell>
          <cell r="N381">
            <v>2090.0700000000002</v>
          </cell>
          <cell r="O381">
            <v>4685.83</v>
          </cell>
          <cell r="P381">
            <v>2543.5999999999995</v>
          </cell>
          <cell r="Q381">
            <v>1521.73</v>
          </cell>
          <cell r="R381">
            <v>1877.19</v>
          </cell>
          <cell r="S381">
            <v>55115.610000000008</v>
          </cell>
        </row>
        <row r="382"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</row>
        <row r="383"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</row>
        <row r="384">
          <cell r="A384" t="str">
            <v>Medical Waste</v>
          </cell>
          <cell r="B384" t="str">
            <v>MEDICAL WASTE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</row>
        <row r="385">
          <cell r="A385" t="str">
            <v>VashonMedical WasteMD10</v>
          </cell>
          <cell r="B385" t="str">
            <v>MD10</v>
          </cell>
          <cell r="C385" t="str">
            <v>10 GALLON</v>
          </cell>
          <cell r="D385">
            <v>0</v>
          </cell>
          <cell r="E385">
            <v>0</v>
          </cell>
          <cell r="F385"/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A386" t="str">
            <v>VashonMedical WasteMD20</v>
          </cell>
          <cell r="B386" t="str">
            <v>MD20</v>
          </cell>
          <cell r="C386" t="str">
            <v>20 GALLON</v>
          </cell>
          <cell r="D386">
            <v>0</v>
          </cell>
          <cell r="E386">
            <v>0</v>
          </cell>
          <cell r="F386"/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A387" t="str">
            <v>VashonMedical WasteMD35</v>
          </cell>
          <cell r="B387" t="str">
            <v>MD35</v>
          </cell>
          <cell r="C387" t="str">
            <v>35 GALLON</v>
          </cell>
          <cell r="D387">
            <v>0</v>
          </cell>
          <cell r="E387">
            <v>0</v>
          </cell>
          <cell r="F387"/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</row>
        <row r="389">
          <cell r="C389" t="str">
            <v>TOTAL MEDICAL WASTE</v>
          </cell>
          <cell r="D389"/>
          <cell r="E389"/>
          <cell r="F389"/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</row>
        <row r="391"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</row>
        <row r="392">
          <cell r="B392" t="str">
            <v>SUBTOTAL MEDICAL WASTE</v>
          </cell>
          <cell r="D392"/>
          <cell r="E392"/>
          <cell r="F392"/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</row>
        <row r="394"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</row>
        <row r="395">
          <cell r="A395" t="str">
            <v>Accounting</v>
          </cell>
          <cell r="B395" t="str">
            <v>SERVICE CHARGES</v>
          </cell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</row>
        <row r="396">
          <cell r="A396" t="str">
            <v>VashonAccountingADJ-SB</v>
          </cell>
          <cell r="B396" t="str">
            <v>ADJ-SB</v>
          </cell>
          <cell r="C396" t="str">
            <v>SERVICE ADJ-SMALL BALANCE</v>
          </cell>
          <cell r="D396">
            <v>0</v>
          </cell>
          <cell r="E396">
            <v>0</v>
          </cell>
          <cell r="F396"/>
          <cell r="G396">
            <v>0.17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1.6099999999999999</v>
          </cell>
          <cell r="Q396">
            <v>0</v>
          </cell>
          <cell r="R396">
            <v>0.1</v>
          </cell>
          <cell r="S396">
            <v>1.88</v>
          </cell>
        </row>
        <row r="397">
          <cell r="A397" t="str">
            <v>VashonAccountingADJTAX</v>
          </cell>
          <cell r="B397" t="str">
            <v>ADJTAX</v>
          </cell>
          <cell r="C397" t="str">
            <v>TAX ADJUSTMENT</v>
          </cell>
          <cell r="D397">
            <v>0</v>
          </cell>
          <cell r="E397">
            <v>0</v>
          </cell>
          <cell r="F397"/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-1.34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-1.34</v>
          </cell>
        </row>
        <row r="398">
          <cell r="A398" t="str">
            <v>VashonAccountingEMPLOYEE</v>
          </cell>
          <cell r="B398" t="str">
            <v>EMPLOYEE</v>
          </cell>
          <cell r="C398" t="str">
            <v>EMPLOYEE SERVICE</v>
          </cell>
          <cell r="D398">
            <v>0</v>
          </cell>
          <cell r="E398">
            <v>0</v>
          </cell>
          <cell r="F398"/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A399" t="str">
            <v>VashonAccountingFINCHG</v>
          </cell>
          <cell r="B399" t="str">
            <v>FINCHG</v>
          </cell>
          <cell r="C399" t="str">
            <v>LATE FEE</v>
          </cell>
          <cell r="D399">
            <v>0</v>
          </cell>
          <cell r="E399">
            <v>0</v>
          </cell>
          <cell r="F399"/>
          <cell r="G399">
            <v>23.22</v>
          </cell>
          <cell r="H399">
            <v>134.68</v>
          </cell>
          <cell r="I399">
            <v>86.91</v>
          </cell>
          <cell r="J399">
            <v>81.544999999999987</v>
          </cell>
          <cell r="K399">
            <v>82.490000000000009</v>
          </cell>
          <cell r="L399">
            <v>64.105000000000004</v>
          </cell>
          <cell r="M399">
            <v>109.13500000000001</v>
          </cell>
          <cell r="N399">
            <v>132.33500000000001</v>
          </cell>
          <cell r="O399">
            <v>151.77000000000001</v>
          </cell>
          <cell r="P399">
            <v>67.27</v>
          </cell>
          <cell r="Q399">
            <v>68.929999999999993</v>
          </cell>
          <cell r="R399">
            <v>74.85499999999999</v>
          </cell>
          <cell r="S399">
            <v>1077.2449999999999</v>
          </cell>
        </row>
        <row r="400">
          <cell r="A400" t="str">
            <v>VashonAccountingLEGAL-COM</v>
          </cell>
          <cell r="B400" t="str">
            <v>LEGAL-COM</v>
          </cell>
          <cell r="C400" t="str">
            <v>LEGAL/LIEN FEES</v>
          </cell>
          <cell r="D400">
            <v>0</v>
          </cell>
          <cell r="E400">
            <v>0</v>
          </cell>
          <cell r="F400"/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</row>
        <row r="401">
          <cell r="A401" t="str">
            <v>VashonAccountingNSF FEES</v>
          </cell>
          <cell r="B401" t="str">
            <v>NSF FEES</v>
          </cell>
          <cell r="C401" t="str">
            <v>RETURNED CHECK FEE</v>
          </cell>
          <cell r="D401">
            <v>28.08</v>
          </cell>
          <cell r="E401">
            <v>28.08</v>
          </cell>
          <cell r="F401"/>
          <cell r="G401">
            <v>0</v>
          </cell>
          <cell r="H401">
            <v>0</v>
          </cell>
          <cell r="I401">
            <v>28.08</v>
          </cell>
          <cell r="J401">
            <v>0</v>
          </cell>
          <cell r="K401">
            <v>28.08</v>
          </cell>
          <cell r="L401">
            <v>0</v>
          </cell>
          <cell r="M401">
            <v>28.08</v>
          </cell>
          <cell r="N401">
            <v>0</v>
          </cell>
          <cell r="O401">
            <v>0</v>
          </cell>
          <cell r="P401">
            <v>28.08</v>
          </cell>
          <cell r="Q401">
            <v>0</v>
          </cell>
          <cell r="R401">
            <v>0</v>
          </cell>
          <cell r="S401">
            <v>112.32</v>
          </cell>
        </row>
        <row r="402">
          <cell r="A402" t="str">
            <v>VashonAccountingPO</v>
          </cell>
          <cell r="B402" t="str">
            <v>PO</v>
          </cell>
          <cell r="C402" t="str">
            <v>PO NUMBER</v>
          </cell>
          <cell r="D402">
            <v>0</v>
          </cell>
          <cell r="E402">
            <v>0</v>
          </cell>
          <cell r="F402"/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</row>
        <row r="403">
          <cell r="A403" t="str">
            <v>VashonAccountingSHOPSERVICE</v>
          </cell>
          <cell r="B403" t="str">
            <v>SHOPSERVICE</v>
          </cell>
          <cell r="C403" t="str">
            <v>MAINTENANCE SERVICES</v>
          </cell>
          <cell r="D403">
            <v>0</v>
          </cell>
          <cell r="E403">
            <v>0</v>
          </cell>
          <cell r="F403"/>
          <cell r="G403">
            <v>0</v>
          </cell>
          <cell r="H403">
            <v>195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195</v>
          </cell>
        </row>
        <row r="404"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</row>
        <row r="405">
          <cell r="C405" t="str">
            <v>TOTAL SERVICE CHARGES</v>
          </cell>
          <cell r="D405"/>
          <cell r="E405"/>
          <cell r="F405"/>
          <cell r="G405">
            <v>23.39</v>
          </cell>
          <cell r="H405">
            <v>329.68</v>
          </cell>
          <cell r="I405">
            <v>114.99</v>
          </cell>
          <cell r="J405">
            <v>81.544999999999987</v>
          </cell>
          <cell r="K405">
            <v>110.57000000000001</v>
          </cell>
          <cell r="L405">
            <v>62.765000000000001</v>
          </cell>
          <cell r="M405">
            <v>137.215</v>
          </cell>
          <cell r="N405">
            <v>132.33500000000001</v>
          </cell>
          <cell r="O405">
            <v>151.77000000000001</v>
          </cell>
          <cell r="P405">
            <v>96.96</v>
          </cell>
          <cell r="Q405">
            <v>68.929999999999993</v>
          </cell>
          <cell r="R405">
            <v>74.954999999999984</v>
          </cell>
          <cell r="S405">
            <v>1385.1049999999998</v>
          </cell>
        </row>
        <row r="406"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</row>
        <row r="407"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</row>
        <row r="408">
          <cell r="B408" t="str">
            <v>SUBTOTAL SERVICE CHARGES</v>
          </cell>
          <cell r="D408"/>
          <cell r="E408"/>
          <cell r="F408"/>
          <cell r="G408">
            <v>23.39</v>
          </cell>
          <cell r="H408">
            <v>329.68</v>
          </cell>
          <cell r="I408">
            <v>114.99</v>
          </cell>
          <cell r="J408">
            <v>81.544999999999987</v>
          </cell>
          <cell r="K408">
            <v>110.57000000000001</v>
          </cell>
          <cell r="L408">
            <v>62.765000000000001</v>
          </cell>
          <cell r="M408">
            <v>137.215</v>
          </cell>
          <cell r="N408">
            <v>132.33500000000001</v>
          </cell>
          <cell r="O408">
            <v>151.77000000000001</v>
          </cell>
          <cell r="P408">
            <v>96.96</v>
          </cell>
          <cell r="Q408">
            <v>68.929999999999993</v>
          </cell>
          <cell r="R408">
            <v>74.954999999999984</v>
          </cell>
          <cell r="S408">
            <v>1385.1050000000002</v>
          </cell>
        </row>
        <row r="409"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</row>
        <row r="410"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</row>
        <row r="411">
          <cell r="B411" t="str">
            <v>Grand Total District Operations</v>
          </cell>
          <cell r="D411"/>
          <cell r="E411"/>
          <cell r="F411"/>
          <cell r="G411">
            <v>101949.675</v>
          </cell>
          <cell r="H411">
            <v>101738.63500000001</v>
          </cell>
          <cell r="I411">
            <v>103636.45000000003</v>
          </cell>
          <cell r="J411">
            <v>103120.35500000001</v>
          </cell>
          <cell r="K411">
            <v>104739.34500000002</v>
          </cell>
          <cell r="L411">
            <v>108546.68999999999</v>
          </cell>
          <cell r="M411">
            <v>115835.56500000002</v>
          </cell>
          <cell r="N411">
            <v>107342.79500000003</v>
          </cell>
          <cell r="O411">
            <v>111201.02000000002</v>
          </cell>
          <cell r="P411">
            <v>106020.03000000001</v>
          </cell>
          <cell r="Q411">
            <v>105164.83</v>
          </cell>
          <cell r="R411">
            <v>103893.31500000002</v>
          </cell>
          <cell r="S411">
            <v>1273188.7050000001</v>
          </cell>
        </row>
        <row r="412"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</row>
        <row r="413">
          <cell r="D413">
            <v>31000</v>
          </cell>
          <cell r="E413"/>
          <cell r="F413"/>
          <cell r="G413">
            <v>1175.8400000000001</v>
          </cell>
          <cell r="H413">
            <v>1617.0700000000002</v>
          </cell>
          <cell r="I413">
            <v>1659.04</v>
          </cell>
          <cell r="J413">
            <v>1768.22</v>
          </cell>
          <cell r="K413">
            <v>1218.3599999999999</v>
          </cell>
          <cell r="L413">
            <v>1666.8799999999999</v>
          </cell>
          <cell r="M413">
            <v>2345.4499999999998</v>
          </cell>
          <cell r="N413">
            <v>658.38000000000011</v>
          </cell>
          <cell r="O413">
            <v>1493.28</v>
          </cell>
          <cell r="P413">
            <v>1041.28</v>
          </cell>
          <cell r="Q413">
            <v>476.12999999999994</v>
          </cell>
          <cell r="R413">
            <v>681.7</v>
          </cell>
          <cell r="S413"/>
        </row>
        <row r="414">
          <cell r="D414">
            <v>31002</v>
          </cell>
          <cell r="E414"/>
          <cell r="F414"/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/>
        </row>
        <row r="415">
          <cell r="D415">
            <v>31005</v>
          </cell>
          <cell r="E415"/>
          <cell r="F415"/>
          <cell r="G415">
            <v>3838.76</v>
          </cell>
          <cell r="H415">
            <v>4355.5600000000004</v>
          </cell>
          <cell r="I415">
            <v>3917.6</v>
          </cell>
          <cell r="J415">
            <v>2899.49</v>
          </cell>
          <cell r="K415">
            <v>2160.1799999999998</v>
          </cell>
          <cell r="L415">
            <v>3875.36</v>
          </cell>
          <cell r="M415">
            <v>7573.3</v>
          </cell>
          <cell r="N415">
            <v>1223.73</v>
          </cell>
          <cell r="O415">
            <v>2664.32</v>
          </cell>
          <cell r="P415">
            <v>1387.07</v>
          </cell>
          <cell r="Q415">
            <v>875.9</v>
          </cell>
          <cell r="R415">
            <v>1070.23</v>
          </cell>
          <cell r="S415"/>
        </row>
        <row r="416">
          <cell r="D416">
            <v>31010</v>
          </cell>
          <cell r="E416"/>
          <cell r="F416"/>
          <cell r="G416">
            <v>178.83999999999997</v>
          </cell>
          <cell r="H416">
            <v>574.46</v>
          </cell>
          <cell r="I416">
            <v>318.02</v>
          </cell>
          <cell r="J416">
            <v>367.65</v>
          </cell>
          <cell r="K416">
            <v>349.41</v>
          </cell>
          <cell r="L416">
            <v>295.85000000000002</v>
          </cell>
          <cell r="M416">
            <v>561.69000000000005</v>
          </cell>
          <cell r="N416">
            <v>207.96</v>
          </cell>
          <cell r="O416">
            <v>528.23</v>
          </cell>
          <cell r="P416">
            <v>115.25</v>
          </cell>
          <cell r="Q416">
            <v>169.70000000000002</v>
          </cell>
          <cell r="R416">
            <v>125.25999999999999</v>
          </cell>
          <cell r="S416"/>
        </row>
        <row r="417">
          <cell r="D417">
            <v>32000</v>
          </cell>
          <cell r="E417"/>
          <cell r="F417"/>
          <cell r="G417">
            <v>63909.599999999999</v>
          </cell>
          <cell r="H417">
            <v>63248.279999999992</v>
          </cell>
          <cell r="I417">
            <v>64313.875</v>
          </cell>
          <cell r="J417">
            <v>64280.260000000009</v>
          </cell>
          <cell r="K417">
            <v>65585.895000000004</v>
          </cell>
          <cell r="L417">
            <v>65768.125</v>
          </cell>
          <cell r="M417">
            <v>67172.310000000012</v>
          </cell>
          <cell r="N417">
            <v>67424.264999999999</v>
          </cell>
          <cell r="O417">
            <v>69032.864999999976</v>
          </cell>
          <cell r="P417">
            <v>66914.875</v>
          </cell>
          <cell r="Q417">
            <v>67394.849999999977</v>
          </cell>
          <cell r="R417">
            <v>67143.929999999993</v>
          </cell>
          <cell r="S417"/>
        </row>
        <row r="418">
          <cell r="D418">
            <v>32001</v>
          </cell>
          <cell r="E418"/>
          <cell r="F418"/>
          <cell r="G418">
            <v>4999.8799999999992</v>
          </cell>
          <cell r="H418">
            <v>3678.7700000000004</v>
          </cell>
          <cell r="I418">
            <v>4957.3700000000008</v>
          </cell>
          <cell r="J418">
            <v>4885.59</v>
          </cell>
          <cell r="K418">
            <v>4848.1500000000005</v>
          </cell>
          <cell r="L418">
            <v>5621.2499999999991</v>
          </cell>
          <cell r="M418">
            <v>6541.42</v>
          </cell>
          <cell r="N418">
            <v>5738.3399999999992</v>
          </cell>
          <cell r="O418">
            <v>5568.3799999999992</v>
          </cell>
          <cell r="P418">
            <v>4931.4399999999996</v>
          </cell>
          <cell r="Q418">
            <v>4336.7300000000005</v>
          </cell>
          <cell r="R418">
            <v>4135.0800000000008</v>
          </cell>
          <cell r="S418"/>
        </row>
        <row r="419">
          <cell r="D419">
            <v>33000</v>
          </cell>
          <cell r="E419"/>
          <cell r="F419"/>
          <cell r="G419">
            <v>27364.554999999997</v>
          </cell>
          <cell r="H419">
            <v>27594.805</v>
          </cell>
          <cell r="I419">
            <v>27530.384999999998</v>
          </cell>
          <cell r="J419">
            <v>28269.26</v>
          </cell>
          <cell r="K419">
            <v>30002.720000000005</v>
          </cell>
          <cell r="L419">
            <v>30559.709999999995</v>
          </cell>
          <cell r="M419">
            <v>30764.639999999996</v>
          </cell>
          <cell r="N419">
            <v>31054.144999999993</v>
          </cell>
          <cell r="O419">
            <v>31167.194999999996</v>
          </cell>
          <cell r="P419">
            <v>31047.375</v>
          </cell>
          <cell r="Q419">
            <v>31472.069999999996</v>
          </cell>
          <cell r="R419">
            <v>30485.829999999998</v>
          </cell>
          <cell r="S419"/>
        </row>
        <row r="420">
          <cell r="D420">
            <v>33001</v>
          </cell>
          <cell r="E420"/>
          <cell r="F420"/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/>
        </row>
        <row r="421">
          <cell r="D421">
            <v>33011</v>
          </cell>
          <cell r="E421"/>
          <cell r="F421"/>
          <cell r="G421">
            <v>584.23</v>
          </cell>
          <cell r="H421">
            <v>514.41999999999996</v>
          </cell>
          <cell r="I421">
            <v>825.17000000000007</v>
          </cell>
          <cell r="J421">
            <v>682.19</v>
          </cell>
          <cell r="K421">
            <v>521.27</v>
          </cell>
          <cell r="L421">
            <v>728.45</v>
          </cell>
          <cell r="M421">
            <v>779.18000000000006</v>
          </cell>
          <cell r="N421">
            <v>951.19</v>
          </cell>
          <cell r="O421">
            <v>610.82999999999993</v>
          </cell>
          <cell r="P421">
            <v>501.63</v>
          </cell>
          <cell r="Q421">
            <v>441.19</v>
          </cell>
          <cell r="R421">
            <v>322.22000000000003</v>
          </cell>
          <cell r="S421"/>
        </row>
        <row r="422">
          <cell r="D422">
            <v>38000</v>
          </cell>
          <cell r="E422"/>
          <cell r="F422"/>
          <cell r="G422">
            <v>23.39</v>
          </cell>
          <cell r="H422">
            <v>329.68</v>
          </cell>
          <cell r="I422">
            <v>86.91</v>
          </cell>
          <cell r="J422">
            <v>81.544999999999987</v>
          </cell>
          <cell r="K422">
            <v>82.490000000000009</v>
          </cell>
          <cell r="L422">
            <v>64.105000000000004</v>
          </cell>
          <cell r="M422">
            <v>109.13500000000001</v>
          </cell>
          <cell r="N422">
            <v>132.33500000000001</v>
          </cell>
          <cell r="O422">
            <v>151.77000000000001</v>
          </cell>
          <cell r="P422">
            <v>68.88</v>
          </cell>
          <cell r="Q422">
            <v>68.929999999999993</v>
          </cell>
          <cell r="R422">
            <v>74.954999999999998</v>
          </cell>
          <cell r="S422"/>
        </row>
        <row r="423">
          <cell r="D423" t="str">
            <v>STORAGE</v>
          </cell>
          <cell r="E423"/>
          <cell r="F423"/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/>
        </row>
        <row r="424">
          <cell r="D424" t="str">
            <v>SURC</v>
          </cell>
          <cell r="E424"/>
          <cell r="F424"/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/>
        </row>
        <row r="425">
          <cell r="D425"/>
          <cell r="E425"/>
          <cell r="F425"/>
          <cell r="G425">
            <v>102075.09499999999</v>
          </cell>
          <cell r="H425">
            <v>101913.045</v>
          </cell>
          <cell r="I425">
            <v>103608.37</v>
          </cell>
          <cell r="J425">
            <v>103234.205</v>
          </cell>
          <cell r="K425">
            <v>104768.47500000001</v>
          </cell>
          <cell r="L425">
            <v>108579.72999999998</v>
          </cell>
          <cell r="M425">
            <v>115847.125</v>
          </cell>
          <cell r="N425">
            <v>107390.345</v>
          </cell>
          <cell r="O425">
            <v>111216.86999999998</v>
          </cell>
          <cell r="P425">
            <v>106007.80000000002</v>
          </cell>
          <cell r="Q425">
            <v>105235.49999999996</v>
          </cell>
          <cell r="R425">
            <v>104039.205</v>
          </cell>
          <cell r="S425"/>
        </row>
        <row r="426">
          <cell r="D426" t="str">
            <v>Check Figure</v>
          </cell>
          <cell r="E426"/>
          <cell r="F426"/>
          <cell r="G426">
            <v>-125.4199999999837</v>
          </cell>
          <cell r="H426">
            <v>-174.40999999998894</v>
          </cell>
          <cell r="I426">
            <v>28.08000000003085</v>
          </cell>
          <cell r="J426">
            <v>-113.84999999999127</v>
          </cell>
          <cell r="K426">
            <v>-29.129999999990105</v>
          </cell>
          <cell r="L426">
            <v>-33.039999999993597</v>
          </cell>
          <cell r="M426">
            <v>-11.55999999998312</v>
          </cell>
          <cell r="N426">
            <v>-47.549999999973807</v>
          </cell>
          <cell r="O426">
            <v>-15.849999999962165</v>
          </cell>
          <cell r="P426">
            <v>12.229999999995925</v>
          </cell>
          <cell r="Q426">
            <v>-70.669999999954598</v>
          </cell>
          <cell r="R426">
            <v>-145.88999999998487</v>
          </cell>
          <cell r="S426"/>
        </row>
        <row r="427"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</row>
        <row r="428">
          <cell r="Q428"/>
          <cell r="R428"/>
          <cell r="S428"/>
        </row>
        <row r="429">
          <cell r="B429" t="str">
            <v>COMMODITY CREDIT</v>
          </cell>
          <cell r="Q429"/>
          <cell r="R429"/>
          <cell r="S429"/>
        </row>
        <row r="430">
          <cell r="B430" t="str">
            <v>RECYCLECR</v>
          </cell>
          <cell r="C430" t="str">
            <v>VALUE OF RECYCLABLES</v>
          </cell>
          <cell r="D430">
            <v>0</v>
          </cell>
          <cell r="E430"/>
          <cell r="F430"/>
          <cell r="G430">
            <v>0</v>
          </cell>
          <cell r="H430">
            <v>0</v>
          </cell>
          <cell r="I430">
            <v>-1.9</v>
          </cell>
          <cell r="J430">
            <v>0</v>
          </cell>
          <cell r="K430">
            <v>-0.94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/>
        </row>
        <row r="431">
          <cell r="B431" t="str">
            <v>MRECYCRCANS</v>
          </cell>
          <cell r="C431" t="str">
            <v>VALUE OF RECYCLABLES</v>
          </cell>
          <cell r="D431">
            <v>0</v>
          </cell>
          <cell r="E431"/>
          <cell r="F431"/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/>
        </row>
        <row r="432">
          <cell r="B432" t="str">
            <v>MRECYCRCONT</v>
          </cell>
          <cell r="C432" t="str">
            <v>VALUE OF RECYCLABLES</v>
          </cell>
          <cell r="D432">
            <v>0</v>
          </cell>
          <cell r="E432"/>
          <cell r="F432"/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/>
        </row>
        <row r="433">
          <cell r="Q433"/>
          <cell r="R433"/>
          <cell r="S433"/>
        </row>
        <row r="434">
          <cell r="C434" t="str">
            <v>TOTAL COMMODITY CREDIT</v>
          </cell>
          <cell r="G434">
            <v>0</v>
          </cell>
          <cell r="H434">
            <v>0</v>
          </cell>
          <cell r="I434">
            <v>-1.9</v>
          </cell>
          <cell r="J434">
            <v>0</v>
          </cell>
          <cell r="K434">
            <v>-0.94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/>
        </row>
      </sheetData>
      <sheetData sheetId="19"/>
      <sheetData sheetId="20"/>
      <sheetData sheetId="21"/>
      <sheetData sheetId="22"/>
      <sheetData sheetId="23">
        <row r="1">
          <cell r="B1" t="str">
            <v>district_id</v>
          </cell>
        </row>
      </sheetData>
      <sheetData sheetId="24"/>
      <sheetData sheetId="25">
        <row r="1">
          <cell r="A1" t="str">
            <v>Vlookup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icor 2021"/>
      <sheetName val="Epicor 2022"/>
      <sheetName val="6.2021 - 5.2022 Dump Fee Schedu"/>
    </sheetNames>
    <sheetDataSet>
      <sheetData sheetId="0">
        <row r="10">
          <cell r="N10">
            <v>44377</v>
          </cell>
          <cell r="O10">
            <v>44408</v>
          </cell>
          <cell r="P10">
            <v>44439</v>
          </cell>
          <cell r="Q10">
            <v>44469</v>
          </cell>
          <cell r="R10">
            <v>44500</v>
          </cell>
          <cell r="S10">
            <v>44530</v>
          </cell>
          <cell r="T10">
            <v>44561</v>
          </cell>
        </row>
        <row r="16">
          <cell r="N16">
            <v>140.82</v>
          </cell>
          <cell r="O16">
            <v>140.82</v>
          </cell>
          <cell r="P16">
            <v>140.82</v>
          </cell>
          <cell r="Q16">
            <v>140.82</v>
          </cell>
          <cell r="R16">
            <v>140.82</v>
          </cell>
          <cell r="S16">
            <v>140.82</v>
          </cell>
          <cell r="T16">
            <v>140.82</v>
          </cell>
        </row>
        <row r="19">
          <cell r="N19">
            <v>245.06163897173695</v>
          </cell>
          <cell r="O19">
            <v>237.55020593665679</v>
          </cell>
          <cell r="P19">
            <v>238.73000994176965</v>
          </cell>
          <cell r="Q19">
            <v>219.17007527339868</v>
          </cell>
          <cell r="R19">
            <v>218.73000994176962</v>
          </cell>
          <cell r="S19">
            <v>242.32424371538133</v>
          </cell>
          <cell r="T19">
            <v>163.68598210481468</v>
          </cell>
        </row>
        <row r="22">
          <cell r="N22">
            <v>25.149978696207924</v>
          </cell>
          <cell r="O22">
            <v>45.170004260758418</v>
          </cell>
          <cell r="P22">
            <v>8.6900298253089048</v>
          </cell>
          <cell r="Q22">
            <v>21.08003124556171</v>
          </cell>
          <cell r="R22">
            <v>7.6899588126686558</v>
          </cell>
          <cell r="S22">
            <v>6.2199971594943904</v>
          </cell>
          <cell r="T22">
            <v>7.5999857974719509</v>
          </cell>
        </row>
      </sheetData>
      <sheetData sheetId="1">
        <row r="10">
          <cell r="I10">
            <v>44562</v>
          </cell>
          <cell r="J10">
            <v>44620</v>
          </cell>
          <cell r="K10">
            <v>44651</v>
          </cell>
          <cell r="L10">
            <v>44681</v>
          </cell>
          <cell r="M10">
            <v>44712</v>
          </cell>
        </row>
        <row r="16">
          <cell r="I16">
            <v>154.02000000000001</v>
          </cell>
          <cell r="J16">
            <v>154.02000000000001</v>
          </cell>
          <cell r="K16">
            <v>154.02000000000001</v>
          </cell>
          <cell r="L16">
            <v>154.02000000000001</v>
          </cell>
          <cell r="M16">
            <v>154.02000000000001</v>
          </cell>
        </row>
        <row r="19">
          <cell r="I19">
            <v>252.27593818984548</v>
          </cell>
          <cell r="J19">
            <v>207.51837423711206</v>
          </cell>
          <cell r="K19">
            <v>183.05518763796908</v>
          </cell>
          <cell r="L19">
            <v>197.95994026749773</v>
          </cell>
          <cell r="M19">
            <v>200.11790676535514</v>
          </cell>
        </row>
        <row r="22">
          <cell r="I22">
            <v>7.43059342942475</v>
          </cell>
          <cell r="J22">
            <v>0</v>
          </cell>
          <cell r="K22">
            <v>19.930074016361512</v>
          </cell>
          <cell r="L22">
            <v>16.500129853265808</v>
          </cell>
          <cell r="M22">
            <v>14.139981820542786</v>
          </cell>
        </row>
      </sheetData>
      <sheetData sheetId="2">
        <row r="6">
          <cell r="B6">
            <v>25.149978696207924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2020 - 6.2021 Dump Fee Schedu"/>
      <sheetName val="Epicor 2020"/>
      <sheetName val="Epicor 2021"/>
      <sheetName val="YW"/>
    </sheetNames>
    <sheetDataSet>
      <sheetData sheetId="0" refreshError="1"/>
      <sheetData sheetId="1" refreshError="1">
        <row r="19">
          <cell r="F19" t="str">
            <v>MSW $/ton</v>
          </cell>
        </row>
        <row r="21">
          <cell r="F21" t="str">
            <v>Resi/Commercial</v>
          </cell>
        </row>
        <row r="22">
          <cell r="F22" t="str">
            <v>Regulated MSW Tons</v>
          </cell>
        </row>
        <row r="25">
          <cell r="F25" t="str">
            <v xml:space="preserve">Roll Off </v>
          </cell>
        </row>
        <row r="26">
          <cell r="F26" t="str">
            <v>Regulated MSW Tons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topLeftCell="A52" workbookViewId="0">
      <selection activeCell="B43" sqref="B43"/>
    </sheetView>
  </sheetViews>
  <sheetFormatPr defaultColWidth="9.140625" defaultRowHeight="15" x14ac:dyDescent="0.25"/>
  <cols>
    <col min="1" max="1" width="31.28515625" style="27" customWidth="1"/>
    <col min="2" max="2" width="7" style="27" customWidth="1"/>
    <col min="3" max="3" width="19" style="27" bestFit="1" customWidth="1"/>
    <col min="4" max="4" width="13.28515625" style="27" bestFit="1" customWidth="1"/>
    <col min="5" max="5" width="10.5703125" style="27" bestFit="1" customWidth="1"/>
    <col min="6" max="6" width="7" style="27" bestFit="1" customWidth="1"/>
    <col min="7" max="7" width="20.28515625" style="27" customWidth="1"/>
    <col min="8" max="8" width="12.5703125" style="27" bestFit="1" customWidth="1"/>
    <col min="9" max="9" width="11.28515625" style="27" bestFit="1" customWidth="1"/>
    <col min="10" max="10" width="15.85546875" style="27" bestFit="1" customWidth="1"/>
    <col min="11" max="11" width="14.5703125" style="27" customWidth="1"/>
    <col min="12" max="16384" width="9.140625" style="27"/>
  </cols>
  <sheetData>
    <row r="1" spans="1:11" x14ac:dyDescent="0.25">
      <c r="A1" s="269" t="s">
        <v>156</v>
      </c>
      <c r="B1" s="269"/>
      <c r="C1" s="269"/>
      <c r="D1" s="269"/>
      <c r="E1" s="269"/>
      <c r="F1" s="269"/>
      <c r="G1" s="269"/>
      <c r="H1" s="269"/>
      <c r="I1" s="269"/>
    </row>
    <row r="2" spans="1:11" x14ac:dyDescent="0.25">
      <c r="A2" s="27" t="s">
        <v>157</v>
      </c>
      <c r="C2" s="28" t="s">
        <v>158</v>
      </c>
      <c r="D2" s="28" t="s">
        <v>159</v>
      </c>
      <c r="E2" s="28" t="s">
        <v>160</v>
      </c>
      <c r="F2" s="28" t="s">
        <v>161</v>
      </c>
      <c r="G2" s="28" t="s">
        <v>162</v>
      </c>
      <c r="H2" s="28" t="s">
        <v>163</v>
      </c>
      <c r="I2" s="28" t="s">
        <v>164</v>
      </c>
    </row>
    <row r="3" spans="1:11" x14ac:dyDescent="0.25">
      <c r="A3" s="27" t="s">
        <v>165</v>
      </c>
      <c r="C3" s="29">
        <f>52*5/12</f>
        <v>21.666666666666668</v>
      </c>
      <c r="D3" s="30">
        <f>$C$3*2</f>
        <v>43.333333333333336</v>
      </c>
      <c r="E3" s="30">
        <f>$C$3*3</f>
        <v>65</v>
      </c>
      <c r="F3" s="30">
        <f>$C$3*4</f>
        <v>86.666666666666671</v>
      </c>
      <c r="G3" s="30">
        <f>$C$3*5</f>
        <v>108.33333333333334</v>
      </c>
      <c r="H3" s="30">
        <f>$C$3*6</f>
        <v>130</v>
      </c>
      <c r="I3" s="30">
        <f>$C$3*7</f>
        <v>151.66666666666669</v>
      </c>
    </row>
    <row r="4" spans="1:11" x14ac:dyDescent="0.25">
      <c r="A4" s="27" t="s">
        <v>166</v>
      </c>
      <c r="C4" s="29">
        <f>52*4/12</f>
        <v>17.333333333333332</v>
      </c>
      <c r="D4" s="30">
        <f>$C$4*2</f>
        <v>34.666666666666664</v>
      </c>
      <c r="E4" s="30">
        <f>$C$4*3</f>
        <v>52</v>
      </c>
      <c r="F4" s="30">
        <f>$C$4*4</f>
        <v>69.333333333333329</v>
      </c>
      <c r="G4" s="30">
        <f>$C$4*5</f>
        <v>86.666666666666657</v>
      </c>
      <c r="H4" s="30">
        <f>$C$4*6</f>
        <v>104</v>
      </c>
      <c r="I4" s="30">
        <f>$C$4*7</f>
        <v>121.33333333333333</v>
      </c>
    </row>
    <row r="5" spans="1:11" x14ac:dyDescent="0.25">
      <c r="A5" s="27" t="s">
        <v>167</v>
      </c>
      <c r="C5" s="29">
        <f>52*3/12</f>
        <v>13</v>
      </c>
      <c r="D5" s="30">
        <f>$C$5*2</f>
        <v>26</v>
      </c>
      <c r="E5" s="30">
        <f>$C$5*3</f>
        <v>39</v>
      </c>
      <c r="F5" s="30">
        <f>$C$5*4</f>
        <v>52</v>
      </c>
      <c r="G5" s="30">
        <f>$C$5*5</f>
        <v>65</v>
      </c>
      <c r="H5" s="30">
        <f>$C$5*6</f>
        <v>78</v>
      </c>
      <c r="I5" s="30">
        <f>$C$5*7</f>
        <v>91</v>
      </c>
    </row>
    <row r="6" spans="1:11" x14ac:dyDescent="0.25">
      <c r="A6" s="27" t="s">
        <v>168</v>
      </c>
      <c r="C6" s="29">
        <f>52*2/12</f>
        <v>8.6666666666666661</v>
      </c>
      <c r="D6" s="31">
        <f>$C$6*2</f>
        <v>17.333333333333332</v>
      </c>
      <c r="E6" s="31">
        <f>$C$6*3</f>
        <v>26</v>
      </c>
      <c r="F6" s="31">
        <f>$C$6*4</f>
        <v>34.666666666666664</v>
      </c>
      <c r="G6" s="31">
        <f>$C$6*5</f>
        <v>43.333333333333329</v>
      </c>
      <c r="H6" s="31">
        <f>$C$6*6</f>
        <v>52</v>
      </c>
      <c r="I6" s="31">
        <f>$C$6*7</f>
        <v>60.666666666666664</v>
      </c>
    </row>
    <row r="7" spans="1:11" x14ac:dyDescent="0.25">
      <c r="A7" s="27" t="s">
        <v>169</v>
      </c>
      <c r="C7" s="29">
        <f>52/12</f>
        <v>4.333333333333333</v>
      </c>
      <c r="D7" s="31">
        <f>$C$7*2</f>
        <v>8.6666666666666661</v>
      </c>
      <c r="E7" s="31">
        <f>$C$7*3</f>
        <v>13</v>
      </c>
      <c r="F7" s="31">
        <f>$C$7*4</f>
        <v>17.333333333333332</v>
      </c>
      <c r="G7" s="31">
        <f>$C$7*5</f>
        <v>21.666666666666664</v>
      </c>
      <c r="H7" s="31">
        <f>$C$7*6</f>
        <v>26</v>
      </c>
      <c r="I7" s="31">
        <f>$C$7*7</f>
        <v>30.333333333333332</v>
      </c>
    </row>
    <row r="8" spans="1:11" x14ac:dyDescent="0.25">
      <c r="A8" s="27" t="s">
        <v>170</v>
      </c>
      <c r="C8" s="29">
        <f>26/12</f>
        <v>2.1666666666666665</v>
      </c>
      <c r="D8" s="31">
        <f>$C$8*2</f>
        <v>4.333333333333333</v>
      </c>
      <c r="E8" s="31">
        <f>$C$8*3</f>
        <v>6.5</v>
      </c>
      <c r="F8" s="31">
        <f>$C$8*4</f>
        <v>8.6666666666666661</v>
      </c>
      <c r="G8" s="31">
        <f>$C$8*5</f>
        <v>10.833333333333332</v>
      </c>
      <c r="H8" s="31">
        <f>$C$8*6</f>
        <v>13</v>
      </c>
      <c r="I8" s="31">
        <f>$C$8*7</f>
        <v>15.166666666666666</v>
      </c>
    </row>
    <row r="9" spans="1:11" x14ac:dyDescent="0.25">
      <c r="A9" s="27" t="s">
        <v>171</v>
      </c>
      <c r="C9" s="29">
        <f>12/12</f>
        <v>1</v>
      </c>
      <c r="D9" s="31">
        <f>$C$9*2</f>
        <v>2</v>
      </c>
      <c r="E9" s="31">
        <f>$C$9*3</f>
        <v>3</v>
      </c>
      <c r="F9" s="31">
        <f>$C$9*4</f>
        <v>4</v>
      </c>
      <c r="G9" s="31">
        <f>$C$9*5</f>
        <v>5</v>
      </c>
      <c r="H9" s="31">
        <f>$C$9*6</f>
        <v>6</v>
      </c>
      <c r="I9" s="31">
        <f>$C$9*7</f>
        <v>7</v>
      </c>
    </row>
    <row r="10" spans="1:11" x14ac:dyDescent="0.25">
      <c r="A10" s="27" t="s">
        <v>172</v>
      </c>
      <c r="C10" s="29">
        <v>1</v>
      </c>
      <c r="D10" s="31"/>
      <c r="E10" s="31"/>
      <c r="F10" s="31"/>
      <c r="G10" s="31"/>
      <c r="H10" s="31"/>
      <c r="I10" s="31"/>
    </row>
    <row r="11" spans="1:11" x14ac:dyDescent="0.25">
      <c r="A11" s="27" t="s">
        <v>173</v>
      </c>
      <c r="C11" s="29">
        <v>4</v>
      </c>
      <c r="D11" s="31"/>
      <c r="E11" s="31"/>
      <c r="F11" s="31"/>
      <c r="G11" s="31"/>
      <c r="H11" s="31"/>
      <c r="I11" s="31"/>
    </row>
    <row r="12" spans="1:11" x14ac:dyDescent="0.25">
      <c r="C12" s="29"/>
      <c r="D12" s="31"/>
      <c r="E12" s="31"/>
      <c r="F12" s="31"/>
      <c r="G12" s="31"/>
      <c r="H12" s="31"/>
      <c r="I12" s="31"/>
    </row>
    <row r="13" spans="1:11" x14ac:dyDescent="0.25">
      <c r="A13" s="269" t="s">
        <v>174</v>
      </c>
      <c r="B13" s="269"/>
      <c r="C13" s="269"/>
      <c r="D13" s="31"/>
      <c r="E13" s="31"/>
      <c r="F13" s="31"/>
      <c r="G13" s="31"/>
      <c r="H13" s="31"/>
      <c r="I13" s="31"/>
    </row>
    <row r="14" spans="1:11" x14ac:dyDescent="0.25">
      <c r="A14" s="32" t="s">
        <v>175</v>
      </c>
      <c r="B14" s="32"/>
      <c r="C14" s="33" t="s">
        <v>176</v>
      </c>
      <c r="D14" s="31"/>
      <c r="E14" s="31"/>
      <c r="F14" s="31"/>
      <c r="G14" s="31"/>
      <c r="H14" s="31"/>
      <c r="I14" s="31"/>
      <c r="K14" s="34"/>
    </row>
    <row r="15" spans="1:11" x14ac:dyDescent="0.25">
      <c r="A15" s="35" t="s">
        <v>177</v>
      </c>
      <c r="B15" s="35"/>
      <c r="C15" s="36">
        <v>20</v>
      </c>
      <c r="D15" s="31"/>
      <c r="E15" s="31"/>
      <c r="F15" s="31"/>
      <c r="G15" s="31"/>
      <c r="H15" s="31"/>
      <c r="I15" s="31"/>
    </row>
    <row r="16" spans="1:11" x14ac:dyDescent="0.25">
      <c r="A16" s="35" t="s">
        <v>178</v>
      </c>
      <c r="B16" s="35"/>
      <c r="C16" s="36">
        <v>34</v>
      </c>
      <c r="D16" s="31"/>
      <c r="E16" s="31"/>
      <c r="F16" s="31"/>
      <c r="G16" s="31"/>
      <c r="H16" s="31"/>
      <c r="I16" s="31"/>
    </row>
    <row r="17" spans="1:9" x14ac:dyDescent="0.25">
      <c r="A17" s="35" t="s">
        <v>179</v>
      </c>
      <c r="B17" s="35"/>
      <c r="C17" s="36">
        <v>51</v>
      </c>
      <c r="D17" s="31"/>
      <c r="E17" s="31"/>
      <c r="F17" s="31"/>
      <c r="G17" s="31"/>
      <c r="H17" s="31"/>
      <c r="I17" s="31"/>
    </row>
    <row r="18" spans="1:9" x14ac:dyDescent="0.25">
      <c r="A18" s="35" t="s">
        <v>180</v>
      </c>
      <c r="B18" s="35"/>
      <c r="C18" s="36">
        <v>77</v>
      </c>
      <c r="D18" s="31"/>
      <c r="E18" s="31"/>
      <c r="F18" s="31"/>
      <c r="G18" s="27" t="s">
        <v>181</v>
      </c>
      <c r="H18" s="36">
        <v>2000</v>
      </c>
      <c r="I18" s="31"/>
    </row>
    <row r="19" spans="1:9" x14ac:dyDescent="0.25">
      <c r="A19" s="35" t="s">
        <v>182</v>
      </c>
      <c r="B19" s="35"/>
      <c r="C19" s="36">
        <v>97</v>
      </c>
      <c r="D19" s="31"/>
      <c r="E19" s="31"/>
      <c r="F19" s="31"/>
      <c r="G19" s="27" t="s">
        <v>183</v>
      </c>
      <c r="H19" s="167" t="s">
        <v>184</v>
      </c>
      <c r="I19" s="31"/>
    </row>
    <row r="20" spans="1:9" x14ac:dyDescent="0.25">
      <c r="A20" s="35" t="s">
        <v>185</v>
      </c>
      <c r="B20" s="35"/>
      <c r="C20" s="36">
        <v>117</v>
      </c>
      <c r="D20" s="31"/>
      <c r="E20" s="31"/>
      <c r="F20" s="31"/>
      <c r="I20" s="31"/>
    </row>
    <row r="21" spans="1:9" x14ac:dyDescent="0.25">
      <c r="A21" s="35" t="s">
        <v>186</v>
      </c>
      <c r="B21" s="35"/>
      <c r="C21" s="36">
        <v>137</v>
      </c>
      <c r="D21" s="31"/>
      <c r="E21" s="31"/>
      <c r="F21" s="31"/>
      <c r="G21" s="37" t="s">
        <v>187</v>
      </c>
      <c r="H21" s="168">
        <v>12</v>
      </c>
      <c r="I21" s="31"/>
    </row>
    <row r="22" spans="1:9" x14ac:dyDescent="0.25">
      <c r="A22" s="35" t="s">
        <v>188</v>
      </c>
      <c r="B22" s="35"/>
      <c r="C22" s="36">
        <v>40</v>
      </c>
      <c r="D22" s="31" t="s">
        <v>189</v>
      </c>
      <c r="E22" s="31"/>
      <c r="F22" s="31"/>
      <c r="G22" s="38"/>
      <c r="H22" s="39"/>
      <c r="I22" s="31"/>
    </row>
    <row r="23" spans="1:9" x14ac:dyDescent="0.25">
      <c r="A23" s="35" t="s">
        <v>190</v>
      </c>
      <c r="B23" s="35"/>
      <c r="C23" s="36">
        <v>47</v>
      </c>
      <c r="D23" s="31"/>
      <c r="E23" s="31"/>
      <c r="F23" s="31"/>
      <c r="G23" s="31"/>
      <c r="H23" s="31"/>
      <c r="I23" s="31"/>
    </row>
    <row r="24" spans="1:9" x14ac:dyDescent="0.25">
      <c r="A24" s="35" t="s">
        <v>191</v>
      </c>
      <c r="B24" s="35"/>
      <c r="C24" s="36">
        <v>68</v>
      </c>
      <c r="D24" s="31"/>
      <c r="E24" s="31"/>
      <c r="F24" s="31"/>
      <c r="G24" s="31"/>
      <c r="H24" s="31"/>
      <c r="I24" s="31"/>
    </row>
    <row r="25" spans="1:9" x14ac:dyDescent="0.25">
      <c r="A25" s="35" t="s">
        <v>192</v>
      </c>
      <c r="B25" s="35"/>
      <c r="C25" s="36">
        <v>34</v>
      </c>
      <c r="D25" s="31"/>
      <c r="E25" s="31"/>
      <c r="F25" s="31"/>
      <c r="G25" s="31"/>
      <c r="H25" s="31"/>
      <c r="I25" s="31"/>
    </row>
    <row r="26" spans="1:9" x14ac:dyDescent="0.25">
      <c r="A26" s="35" t="s">
        <v>193</v>
      </c>
      <c r="B26" s="35"/>
      <c r="C26" s="36">
        <v>34</v>
      </c>
      <c r="D26" s="31"/>
      <c r="E26" s="31"/>
      <c r="F26" s="31"/>
      <c r="G26" s="31"/>
      <c r="H26" s="31"/>
      <c r="I26" s="31"/>
    </row>
    <row r="27" spans="1:9" x14ac:dyDescent="0.25">
      <c r="A27" s="32" t="s">
        <v>194</v>
      </c>
      <c r="B27" s="32"/>
      <c r="C27" s="36"/>
      <c r="D27" s="31"/>
      <c r="E27" s="31"/>
      <c r="F27" s="31"/>
      <c r="G27" s="31"/>
      <c r="H27" s="31"/>
      <c r="I27" s="31"/>
    </row>
    <row r="28" spans="1:9" x14ac:dyDescent="0.25">
      <c r="A28" s="35" t="s">
        <v>195</v>
      </c>
      <c r="B28" s="35"/>
      <c r="C28" s="36">
        <v>29</v>
      </c>
      <c r="D28" s="31"/>
      <c r="E28" s="31"/>
      <c r="F28" s="31"/>
      <c r="G28" s="31"/>
      <c r="H28" s="31"/>
      <c r="I28" s="31"/>
    </row>
    <row r="29" spans="1:9" x14ac:dyDescent="0.25">
      <c r="A29" s="35" t="s">
        <v>196</v>
      </c>
      <c r="B29" s="35"/>
      <c r="C29" s="36">
        <v>125</v>
      </c>
      <c r="D29" s="31"/>
      <c r="E29" s="31"/>
      <c r="F29" s="31"/>
      <c r="G29" s="31"/>
      <c r="H29" s="31"/>
      <c r="I29" s="31"/>
    </row>
    <row r="30" spans="1:9" x14ac:dyDescent="0.25">
      <c r="A30" s="35" t="s">
        <v>197</v>
      </c>
      <c r="B30" s="35"/>
      <c r="C30" s="36">
        <v>175</v>
      </c>
      <c r="D30" s="31"/>
      <c r="E30" s="31"/>
      <c r="F30" s="31"/>
      <c r="G30" s="31"/>
      <c r="H30" s="31"/>
      <c r="I30" s="31"/>
    </row>
    <row r="31" spans="1:9" x14ac:dyDescent="0.25">
      <c r="A31" s="35" t="s">
        <v>198</v>
      </c>
      <c r="B31" s="35"/>
      <c r="C31" s="36">
        <v>250</v>
      </c>
      <c r="D31" s="31"/>
      <c r="E31" s="31"/>
      <c r="F31" s="31"/>
      <c r="G31" s="31"/>
      <c r="H31" s="31"/>
      <c r="I31" s="31"/>
    </row>
    <row r="32" spans="1:9" x14ac:dyDescent="0.25">
      <c r="A32" s="35" t="s">
        <v>199</v>
      </c>
      <c r="B32" s="35"/>
      <c r="C32" s="36">
        <v>324</v>
      </c>
      <c r="D32" s="31"/>
      <c r="E32" s="31"/>
      <c r="F32" s="31"/>
      <c r="G32" s="31"/>
      <c r="H32" s="31"/>
      <c r="I32" s="31"/>
    </row>
    <row r="33" spans="1:9" x14ac:dyDescent="0.25">
      <c r="A33" s="35" t="s">
        <v>200</v>
      </c>
      <c r="B33" s="35"/>
      <c r="C33" s="36">
        <v>473</v>
      </c>
      <c r="D33" s="31"/>
      <c r="E33" s="31"/>
      <c r="F33" s="31"/>
      <c r="G33" s="31"/>
      <c r="H33" s="31"/>
      <c r="I33" s="31"/>
    </row>
    <row r="34" spans="1:9" x14ac:dyDescent="0.25">
      <c r="A34" s="35" t="s">
        <v>201</v>
      </c>
      <c r="B34" s="35"/>
      <c r="C34" s="36">
        <v>613</v>
      </c>
      <c r="D34" s="31"/>
      <c r="E34" s="31"/>
      <c r="F34" s="31"/>
      <c r="G34" s="31"/>
      <c r="H34" s="31"/>
      <c r="I34" s="31"/>
    </row>
    <row r="35" spans="1:9" x14ac:dyDescent="0.25">
      <c r="A35" s="35" t="s">
        <v>202</v>
      </c>
      <c r="B35" s="35"/>
      <c r="C35" s="36">
        <v>840</v>
      </c>
      <c r="D35" s="31"/>
      <c r="E35" s="31"/>
      <c r="F35" s="31"/>
      <c r="G35" s="31"/>
      <c r="H35" s="31"/>
      <c r="I35" s="31"/>
    </row>
    <row r="36" spans="1:9" x14ac:dyDescent="0.25">
      <c r="A36" s="35" t="s">
        <v>203</v>
      </c>
      <c r="B36" s="35"/>
      <c r="C36" s="36">
        <v>980</v>
      </c>
      <c r="D36" s="40"/>
      <c r="E36" s="31"/>
      <c r="F36" s="31"/>
      <c r="G36" s="31"/>
      <c r="H36" s="31"/>
      <c r="I36" s="31"/>
    </row>
    <row r="37" spans="1:9" x14ac:dyDescent="0.25">
      <c r="A37" s="41" t="s">
        <v>204</v>
      </c>
      <c r="B37" s="41">
        <v>2.25</v>
      </c>
      <c r="C37" s="36"/>
      <c r="D37" s="40"/>
      <c r="E37" s="31"/>
      <c r="F37" s="31"/>
      <c r="G37" s="31"/>
      <c r="H37" s="31"/>
      <c r="I37" s="31"/>
    </row>
    <row r="38" spans="1:9" x14ac:dyDescent="0.25">
      <c r="A38" s="35" t="s">
        <v>205</v>
      </c>
      <c r="B38" s="35"/>
      <c r="C38" s="36">
        <f>C32*$B$37</f>
        <v>729</v>
      </c>
      <c r="D38" s="31" t="s">
        <v>189</v>
      </c>
      <c r="E38" s="31"/>
      <c r="F38" s="31"/>
      <c r="G38" s="31"/>
      <c r="H38" s="31"/>
      <c r="I38" s="31"/>
    </row>
    <row r="39" spans="1:9" x14ac:dyDescent="0.25">
      <c r="A39" s="35" t="s">
        <v>206</v>
      </c>
      <c r="B39" s="35"/>
      <c r="C39" s="36">
        <f>C34*$B$37</f>
        <v>1379.25</v>
      </c>
      <c r="D39" s="31" t="s">
        <v>189</v>
      </c>
      <c r="E39" s="31"/>
      <c r="F39" s="31"/>
      <c r="G39" s="31"/>
      <c r="H39" s="31"/>
      <c r="I39" s="31"/>
    </row>
    <row r="40" spans="1:9" x14ac:dyDescent="0.25">
      <c r="A40" s="35" t="s">
        <v>207</v>
      </c>
      <c r="B40" s="35"/>
      <c r="C40" s="36">
        <f>C35*$B$37</f>
        <v>1890</v>
      </c>
      <c r="D40" s="31" t="s">
        <v>189</v>
      </c>
      <c r="E40" s="31"/>
      <c r="F40" s="31"/>
      <c r="G40" s="31"/>
      <c r="H40" s="31"/>
      <c r="I40" s="31"/>
    </row>
    <row r="41" spans="1:9" x14ac:dyDescent="0.25">
      <c r="A41" s="41" t="s">
        <v>208</v>
      </c>
      <c r="B41" s="41">
        <v>3</v>
      </c>
      <c r="C41" s="36"/>
      <c r="D41" s="31"/>
      <c r="E41" s="31"/>
      <c r="F41" s="31"/>
      <c r="G41" s="31"/>
      <c r="H41" s="31"/>
      <c r="I41" s="31"/>
    </row>
    <row r="42" spans="1:9" x14ac:dyDescent="0.25">
      <c r="A42" s="35" t="s">
        <v>205</v>
      </c>
      <c r="B42" s="35"/>
      <c r="C42" s="42">
        <f>C32*$B$41</f>
        <v>972</v>
      </c>
      <c r="D42" s="31" t="s">
        <v>189</v>
      </c>
      <c r="E42" s="31"/>
      <c r="F42" s="31"/>
      <c r="G42" s="31"/>
      <c r="H42" s="31"/>
      <c r="I42" s="31"/>
    </row>
    <row r="43" spans="1:9" x14ac:dyDescent="0.25">
      <c r="A43" s="35" t="s">
        <v>209</v>
      </c>
      <c r="B43" s="35"/>
      <c r="C43" s="42">
        <f t="shared" ref="C43:C45" si="0">C33*$B$41</f>
        <v>1419</v>
      </c>
      <c r="D43" s="31" t="s">
        <v>189</v>
      </c>
      <c r="E43" s="31"/>
      <c r="F43" s="31"/>
      <c r="G43" s="31"/>
      <c r="H43" s="31"/>
      <c r="I43" s="31"/>
    </row>
    <row r="44" spans="1:9" x14ac:dyDescent="0.25">
      <c r="A44" s="35" t="s">
        <v>206</v>
      </c>
      <c r="B44" s="35"/>
      <c r="C44" s="42">
        <f t="shared" si="0"/>
        <v>1839</v>
      </c>
      <c r="D44" s="31" t="s">
        <v>189</v>
      </c>
      <c r="E44" s="31"/>
      <c r="F44" s="31"/>
      <c r="G44" s="31"/>
      <c r="H44" s="31"/>
      <c r="I44" s="31"/>
    </row>
    <row r="45" spans="1:9" x14ac:dyDescent="0.25">
      <c r="A45" s="35" t="s">
        <v>207</v>
      </c>
      <c r="B45" s="35"/>
      <c r="C45" s="42">
        <f t="shared" si="0"/>
        <v>2520</v>
      </c>
      <c r="D45" s="31" t="s">
        <v>189</v>
      </c>
      <c r="E45" s="31"/>
      <c r="F45" s="31"/>
      <c r="G45" s="31"/>
      <c r="H45" s="31"/>
      <c r="I45" s="31"/>
    </row>
    <row r="46" spans="1:9" x14ac:dyDescent="0.25">
      <c r="A46" s="41" t="s">
        <v>210</v>
      </c>
      <c r="B46" s="41">
        <v>4</v>
      </c>
      <c r="C46" s="36"/>
      <c r="D46" s="31"/>
      <c r="E46" s="31"/>
      <c r="F46" s="31"/>
      <c r="G46" s="31"/>
      <c r="H46" s="31"/>
      <c r="I46" s="31"/>
    </row>
    <row r="47" spans="1:9" x14ac:dyDescent="0.25">
      <c r="A47" s="35" t="s">
        <v>209</v>
      </c>
      <c r="B47" s="35"/>
      <c r="C47" s="42">
        <f t="shared" ref="C47:C49" si="1">C33*$B$46</f>
        <v>1892</v>
      </c>
      <c r="D47" s="31" t="s">
        <v>189</v>
      </c>
      <c r="E47" s="31"/>
      <c r="F47" s="31"/>
      <c r="G47" s="31"/>
      <c r="H47" s="31"/>
      <c r="I47" s="31"/>
    </row>
    <row r="48" spans="1:9" x14ac:dyDescent="0.25">
      <c r="A48" s="35" t="s">
        <v>206</v>
      </c>
      <c r="B48" s="35"/>
      <c r="C48" s="42">
        <f t="shared" si="1"/>
        <v>2452</v>
      </c>
      <c r="D48" s="31" t="s">
        <v>189</v>
      </c>
      <c r="E48" s="31"/>
      <c r="F48" s="31"/>
      <c r="G48" s="31"/>
      <c r="H48" s="31"/>
      <c r="I48" s="31"/>
    </row>
    <row r="49" spans="1:10" x14ac:dyDescent="0.25">
      <c r="A49" s="35" t="s">
        <v>207</v>
      </c>
      <c r="B49" s="35"/>
      <c r="C49" s="42">
        <f t="shared" si="1"/>
        <v>3360</v>
      </c>
      <c r="D49" s="31" t="s">
        <v>189</v>
      </c>
      <c r="E49" s="31"/>
      <c r="F49" s="31"/>
      <c r="G49" s="31"/>
      <c r="H49" s="31"/>
      <c r="I49" s="31"/>
    </row>
    <row r="50" spans="1:10" x14ac:dyDescent="0.25">
      <c r="A50" s="41" t="s">
        <v>211</v>
      </c>
      <c r="B50" s="41">
        <v>5</v>
      </c>
      <c r="C50" s="36"/>
      <c r="D50" s="31"/>
      <c r="E50" s="31"/>
      <c r="F50" s="31"/>
      <c r="G50" s="31"/>
      <c r="H50" s="31"/>
      <c r="I50" s="31"/>
    </row>
    <row r="51" spans="1:10" x14ac:dyDescent="0.25">
      <c r="A51" s="35" t="s">
        <v>205</v>
      </c>
      <c r="B51" s="41"/>
      <c r="C51" s="36">
        <f>C32*$B$50</f>
        <v>1620</v>
      </c>
      <c r="D51" s="31" t="s">
        <v>189</v>
      </c>
      <c r="E51" s="31"/>
      <c r="F51" s="31"/>
      <c r="G51" s="31"/>
      <c r="H51" s="31"/>
      <c r="I51" s="31"/>
    </row>
    <row r="52" spans="1:10" x14ac:dyDescent="0.25">
      <c r="A52" s="35" t="s">
        <v>206</v>
      </c>
      <c r="B52" s="35"/>
      <c r="C52" s="42">
        <f>C34*$B$50</f>
        <v>3065</v>
      </c>
      <c r="D52" s="31" t="s">
        <v>189</v>
      </c>
      <c r="E52" s="31"/>
      <c r="F52" s="31"/>
      <c r="G52" s="31"/>
      <c r="H52" s="31"/>
      <c r="I52" s="31"/>
    </row>
    <row r="53" spans="1:10" x14ac:dyDescent="0.25">
      <c r="A53" s="35" t="s">
        <v>207</v>
      </c>
      <c r="B53" s="35"/>
      <c r="C53" s="42">
        <f>C35*$B$50</f>
        <v>4200</v>
      </c>
      <c r="D53" s="31" t="s">
        <v>189</v>
      </c>
      <c r="E53" s="31"/>
      <c r="F53" s="31"/>
      <c r="G53" s="31"/>
      <c r="H53" s="31"/>
      <c r="I53" s="31"/>
    </row>
    <row r="54" spans="1:10" x14ac:dyDescent="0.25">
      <c r="C54" s="270" t="s">
        <v>212</v>
      </c>
      <c r="D54" s="270"/>
    </row>
    <row r="55" spans="1:10" x14ac:dyDescent="0.25">
      <c r="C55" s="27" t="s">
        <v>213</v>
      </c>
    </row>
    <row r="57" spans="1:10" x14ac:dyDescent="0.25">
      <c r="A57" s="43" t="s">
        <v>214</v>
      </c>
      <c r="B57" s="43"/>
      <c r="C57" s="44" t="s">
        <v>215</v>
      </c>
      <c r="D57" s="44" t="s">
        <v>216</v>
      </c>
      <c r="G57" s="271" t="s">
        <v>217</v>
      </c>
      <c r="H57" s="271"/>
    </row>
    <row r="58" spans="1:10" x14ac:dyDescent="0.25">
      <c r="A58" s="45" t="s">
        <v>218</v>
      </c>
      <c r="B58" s="45"/>
      <c r="C58" s="176">
        <v>168.68</v>
      </c>
      <c r="D58" s="46">
        <f>C58/$H$18</f>
        <v>8.4339999999999998E-2</v>
      </c>
      <c r="G58" s="27" t="s">
        <v>219</v>
      </c>
      <c r="H58" s="47">
        <f>0.0175</f>
        <v>1.7500000000000002E-2</v>
      </c>
    </row>
    <row r="59" spans="1:10" x14ac:dyDescent="0.25">
      <c r="A59" s="45" t="s">
        <v>220</v>
      </c>
      <c r="B59" s="45"/>
      <c r="C59" s="177">
        <f>+I74</f>
        <v>184.51750965195691</v>
      </c>
      <c r="D59" s="46">
        <f>C59/$H$18</f>
        <v>9.2258754825978451E-2</v>
      </c>
      <c r="G59" s="27" t="s">
        <v>221</v>
      </c>
      <c r="H59" s="48">
        <v>5.1000000000000004E-3</v>
      </c>
    </row>
    <row r="60" spans="1:10" x14ac:dyDescent="0.25">
      <c r="A60" s="35" t="s">
        <v>1</v>
      </c>
      <c r="B60" s="35"/>
      <c r="C60" s="49">
        <f>C59-C58</f>
        <v>15.837509651956907</v>
      </c>
      <c r="D60" s="50">
        <f>D59-D58</f>
        <v>7.9187548259784524E-3</v>
      </c>
      <c r="E60" s="51">
        <f>C60/C58</f>
        <v>9.389085636683013E-2</v>
      </c>
      <c r="G60" s="27" t="s">
        <v>222</v>
      </c>
      <c r="H60" s="52"/>
    </row>
    <row r="61" spans="1:10" x14ac:dyDescent="0.25">
      <c r="D61" s="53"/>
      <c r="G61" s="27" t="s">
        <v>0</v>
      </c>
      <c r="H61" s="54">
        <f>SUM(H58:H60)</f>
        <v>2.2600000000000002E-2</v>
      </c>
      <c r="J61" s="55"/>
    </row>
    <row r="62" spans="1:10" x14ac:dyDescent="0.25">
      <c r="C62" s="56"/>
      <c r="D62" s="46"/>
      <c r="H62" s="54"/>
      <c r="J62" s="55"/>
    </row>
    <row r="63" spans="1:10" x14ac:dyDescent="0.25">
      <c r="A63" s="35"/>
      <c r="C63" s="56"/>
      <c r="D63" s="50"/>
      <c r="E63" s="51"/>
      <c r="H63" s="54"/>
      <c r="J63" s="55"/>
    </row>
    <row r="64" spans="1:10" x14ac:dyDescent="0.25">
      <c r="C64" s="44" t="s">
        <v>223</v>
      </c>
    </row>
    <row r="65" spans="1:9" x14ac:dyDescent="0.25">
      <c r="A65" s="27" t="s">
        <v>224</v>
      </c>
      <c r="C65" s="56">
        <f>C60</f>
        <v>15.837509651956907</v>
      </c>
      <c r="G65" s="27" t="s">
        <v>225</v>
      </c>
      <c r="H65" s="57">
        <f>1-H61</f>
        <v>0.97740000000000005</v>
      </c>
    </row>
    <row r="66" spans="1:9" x14ac:dyDescent="0.25">
      <c r="A66" s="27" t="s">
        <v>226</v>
      </c>
      <c r="C66" s="56">
        <f>C65/$H$65</f>
        <v>16.203713578838659</v>
      </c>
      <c r="D66" s="56"/>
    </row>
    <row r="67" spans="1:9" x14ac:dyDescent="0.25">
      <c r="A67" s="27" t="s">
        <v>227</v>
      </c>
      <c r="C67" s="58">
        <f>+'Vashon Disposal TG220857'!B24</f>
        <v>2606.1795129833067</v>
      </c>
      <c r="D67" s="56"/>
    </row>
    <row r="68" spans="1:9" x14ac:dyDescent="0.25">
      <c r="A68" s="32" t="s">
        <v>228</v>
      </c>
      <c r="B68" s="32"/>
      <c r="C68" s="59">
        <f>C66*C67</f>
        <v>42229.786363418731</v>
      </c>
      <c r="H68" s="60"/>
    </row>
    <row r="69" spans="1:9" ht="15.75" thickBot="1" x14ac:dyDescent="0.3">
      <c r="G69" s="259" t="s">
        <v>410</v>
      </c>
      <c r="H69" s="259"/>
      <c r="I69" s="260"/>
    </row>
    <row r="70" spans="1:9" x14ac:dyDescent="0.25">
      <c r="G70" s="253" t="s">
        <v>411</v>
      </c>
      <c r="H70" s="254"/>
      <c r="I70" s="255">
        <v>150.83000000000001</v>
      </c>
    </row>
    <row r="71" spans="1:9" ht="15.75" thickBot="1" x14ac:dyDescent="0.3">
      <c r="G71" s="64" t="s">
        <v>412</v>
      </c>
      <c r="H71" s="265">
        <v>93846</v>
      </c>
      <c r="I71" s="66"/>
    </row>
    <row r="72" spans="1:9" x14ac:dyDescent="0.25">
      <c r="A72" s="61" t="s">
        <v>229</v>
      </c>
      <c r="B72" s="62"/>
      <c r="C72" s="63" t="s">
        <v>230</v>
      </c>
      <c r="E72" s="56"/>
      <c r="G72" s="64" t="s">
        <v>413</v>
      </c>
      <c r="H72" s="261">
        <f>+'Vashon Disposal TG220857'!B24+'Vashon Disposal TG220857'!C24</f>
        <v>2785.7802779003737</v>
      </c>
      <c r="I72" s="256"/>
    </row>
    <row r="73" spans="1:9" x14ac:dyDescent="0.25">
      <c r="A73" s="64" t="s">
        <v>231</v>
      </c>
      <c r="C73" s="65">
        <f ca="1">'DF Calculation'!R42</f>
        <v>42229.786363418723</v>
      </c>
      <c r="G73" s="257" t="s">
        <v>414</v>
      </c>
      <c r="H73" s="252"/>
      <c r="I73" s="258">
        <f>+H71/H72</f>
        <v>33.687509651956894</v>
      </c>
    </row>
    <row r="74" spans="1:9" ht="15.75" thickBot="1" x14ac:dyDescent="0.3">
      <c r="A74" s="64" t="s">
        <v>232</v>
      </c>
      <c r="C74" s="65">
        <f ca="1">C73-C68</f>
        <v>0</v>
      </c>
      <c r="G74" s="266" t="s">
        <v>415</v>
      </c>
      <c r="H74" s="267"/>
      <c r="I74" s="268">
        <f>+I73+I70</f>
        <v>184.51750965195691</v>
      </c>
    </row>
    <row r="75" spans="1:9" x14ac:dyDescent="0.25">
      <c r="A75" s="64"/>
      <c r="C75" s="66"/>
      <c r="H75" s="247"/>
      <c r="I75" s="247"/>
    </row>
    <row r="76" spans="1:9" ht="15.75" thickBot="1" x14ac:dyDescent="0.3">
      <c r="A76" s="67" t="s">
        <v>5</v>
      </c>
      <c r="B76" s="68"/>
      <c r="C76" s="69">
        <f ca="1">C74/C68</f>
        <v>0</v>
      </c>
      <c r="H76" s="247"/>
      <c r="I76" s="247"/>
    </row>
    <row r="77" spans="1:9" x14ac:dyDescent="0.25">
      <c r="H77" s="247"/>
      <c r="I77" s="247"/>
    </row>
    <row r="78" spans="1:9" x14ac:dyDescent="0.25">
      <c r="H78" s="247"/>
      <c r="I78" s="250"/>
    </row>
    <row r="79" spans="1:9" x14ac:dyDescent="0.25">
      <c r="H79" s="247"/>
      <c r="I79" s="247"/>
    </row>
    <row r="80" spans="1:9" x14ac:dyDescent="0.25">
      <c r="H80" s="247"/>
      <c r="I80" s="247"/>
    </row>
    <row r="81" spans="8:9" x14ac:dyDescent="0.25">
      <c r="H81" s="247"/>
      <c r="I81" s="247"/>
    </row>
    <row r="82" spans="8:9" x14ac:dyDescent="0.25">
      <c r="H82" s="247"/>
      <c r="I82" s="247"/>
    </row>
    <row r="83" spans="8:9" x14ac:dyDescent="0.25">
      <c r="H83" s="247"/>
      <c r="I83" s="250"/>
    </row>
    <row r="84" spans="8:9" x14ac:dyDescent="0.25">
      <c r="H84" s="247"/>
      <c r="I84" s="247"/>
    </row>
  </sheetData>
  <mergeCells count="4">
    <mergeCell ref="A1:I1"/>
    <mergeCell ref="A13:C13"/>
    <mergeCell ref="C54:D54"/>
    <mergeCell ref="G57:H57"/>
  </mergeCells>
  <pageMargins left="0.28000000000000003" right="0.52" top="0.75" bottom="0.75" header="0.3" footer="0.3"/>
  <pageSetup scale="61" orientation="portrait" r:id="rId1"/>
  <headerFooter>
    <oddHeader xml:space="preserve">&amp;C&amp;"-,Bold"&amp;12Murrey's Disposal Co, Inc. 
American Disposal Co.,  Inc.
Dump Fee Increase Reference Page
</oddHead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72"/>
  <sheetViews>
    <sheetView tabSelected="1" workbookViewId="0">
      <selection activeCell="B43" sqref="B43"/>
    </sheetView>
  </sheetViews>
  <sheetFormatPr defaultColWidth="8.85546875" defaultRowHeight="15" x14ac:dyDescent="0.25"/>
  <cols>
    <col min="1" max="1" width="4.5703125" style="74" customWidth="1"/>
    <col min="2" max="2" width="11" style="112" bestFit="1" customWidth="1"/>
    <col min="3" max="3" width="35.7109375" style="74" customWidth="1"/>
    <col min="4" max="4" width="13.28515625" style="125" customWidth="1"/>
    <col min="5" max="5" width="11.42578125" style="74" bestFit="1" customWidth="1"/>
    <col min="6" max="6" width="13.28515625" style="74" customWidth="1"/>
    <col min="7" max="7" width="12.42578125" style="74" customWidth="1"/>
    <col min="8" max="8" width="17.28515625" style="74" customWidth="1"/>
    <col min="9" max="9" width="16.28515625" style="114" customWidth="1"/>
    <col min="10" max="10" width="13.42578125" style="74" customWidth="1"/>
    <col min="11" max="11" width="13.5703125" style="74" customWidth="1"/>
    <col min="12" max="12" width="10.7109375" style="74" customWidth="1"/>
    <col min="13" max="13" width="16.5703125" style="74" customWidth="1"/>
    <col min="14" max="14" width="16.42578125" style="74" customWidth="1"/>
    <col min="15" max="15" width="18.140625" style="74" customWidth="1"/>
    <col min="16" max="16" width="19" style="74" customWidth="1"/>
    <col min="17" max="17" width="21.7109375" style="74" bestFit="1" customWidth="1"/>
    <col min="18" max="18" width="16" style="79" customWidth="1"/>
    <col min="19" max="19" width="3.7109375" style="76" customWidth="1"/>
    <col min="20" max="20" width="6.5703125" style="74" bestFit="1" customWidth="1"/>
    <col min="21" max="21" width="14.28515625" style="251" customWidth="1"/>
    <col min="22" max="22" width="3.28515625" style="74" customWidth="1"/>
    <col min="23" max="23" width="12.5703125" style="74" customWidth="1"/>
    <col min="24" max="24" width="5.28515625" style="74" customWidth="1"/>
    <col min="25" max="25" width="12.5703125" style="79" customWidth="1"/>
    <col min="26" max="26" width="18.7109375" style="74" customWidth="1"/>
    <col min="27" max="27" width="8.85546875" style="74"/>
    <col min="28" max="28" width="14.28515625" style="74" customWidth="1"/>
    <col min="29" max="16384" width="8.85546875" style="74"/>
  </cols>
  <sheetData>
    <row r="1" spans="1:30" ht="45" x14ac:dyDescent="0.25">
      <c r="A1" s="70"/>
      <c r="B1" s="71" t="s">
        <v>233</v>
      </c>
      <c r="C1" s="71" t="s">
        <v>234</v>
      </c>
      <c r="D1" s="71" t="s">
        <v>235</v>
      </c>
      <c r="E1" s="71" t="s">
        <v>236</v>
      </c>
      <c r="F1" s="71" t="s">
        <v>237</v>
      </c>
      <c r="G1" s="71" t="s">
        <v>174</v>
      </c>
      <c r="H1" s="71" t="s">
        <v>238</v>
      </c>
      <c r="I1" s="71" t="s">
        <v>239</v>
      </c>
      <c r="J1" s="71" t="s">
        <v>1</v>
      </c>
      <c r="K1" s="71" t="s">
        <v>2</v>
      </c>
      <c r="L1" s="71" t="s">
        <v>240</v>
      </c>
      <c r="M1" s="71" t="s">
        <v>241</v>
      </c>
      <c r="N1" s="71" t="s">
        <v>242</v>
      </c>
      <c r="O1" s="71" t="s">
        <v>243</v>
      </c>
      <c r="P1" s="71" t="s">
        <v>244</v>
      </c>
      <c r="Q1" s="71" t="s">
        <v>245</v>
      </c>
      <c r="R1" s="71" t="s">
        <v>246</v>
      </c>
      <c r="T1" s="72"/>
      <c r="U1" s="262" t="s">
        <v>333</v>
      </c>
      <c r="W1" s="73"/>
      <c r="Y1" s="75"/>
    </row>
    <row r="2" spans="1:30" ht="15" customHeight="1" x14ac:dyDescent="0.25">
      <c r="A2" s="272" t="s">
        <v>247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T2" s="73"/>
      <c r="U2" s="263"/>
      <c r="W2" s="73"/>
      <c r="Y2" s="75"/>
    </row>
    <row r="3" spans="1:30" ht="15" customHeight="1" x14ac:dyDescent="0.25">
      <c r="A3" s="273"/>
      <c r="B3" s="77">
        <v>22</v>
      </c>
      <c r="C3" s="78" t="s">
        <v>60</v>
      </c>
      <c r="D3" s="79">
        <f>+SUMIF('Vashon Price Out TG220857'!$C$11:$C$34,C3,'Vashon Price Out TG220857'!$AG$11:$AG$34)</f>
        <v>9776.0044559166254</v>
      </c>
      <c r="E3" s="80">
        <f>References!$C$10</f>
        <v>1</v>
      </c>
      <c r="F3" s="81">
        <f>D3*E3</f>
        <v>9776.0044559166254</v>
      </c>
      <c r="G3" s="81">
        <f>References!$C$16</f>
        <v>34</v>
      </c>
      <c r="H3" s="81">
        <f>F3*G3</f>
        <v>332384.15150116524</v>
      </c>
      <c r="I3" s="82">
        <f t="shared" ref="I3:I13" ca="1" si="0">$D$64*H3</f>
        <v>213871.86616545948</v>
      </c>
      <c r="J3" s="83">
        <f ca="1">I3*References!$D$60</f>
        <v>1693.59887233875</v>
      </c>
      <c r="K3" s="83">
        <f ca="1">J3/References!$H$65</f>
        <v>1732.7592309584099</v>
      </c>
      <c r="L3" s="83">
        <f ca="1">K3/F3*E3</f>
        <v>0.17724615805690544</v>
      </c>
      <c r="M3" s="84">
        <f>'Proposed Rates'!C18</f>
        <v>4.9625891869573806</v>
      </c>
      <c r="N3" s="83">
        <f ca="1">L3+M3</f>
        <v>5.1398353450142862</v>
      </c>
      <c r="O3" s="83">
        <f ca="1">'Proposed Rates'!E18</f>
        <v>5.1425891869573803</v>
      </c>
      <c r="P3" s="83">
        <f>D3*M3</f>
        <v>48514.294004579016</v>
      </c>
      <c r="Q3" s="85">
        <f ca="1">D3*N3</f>
        <v>50247.053235537431</v>
      </c>
      <c r="R3" s="86">
        <f t="shared" ref="R3:R10" ca="1" si="1">Q3-P3</f>
        <v>1732.7592309584143</v>
      </c>
      <c r="T3" s="79"/>
      <c r="U3" s="251">
        <f ca="1">+N3-O3</f>
        <v>-2.7538419430941374E-3</v>
      </c>
      <c r="V3" s="79"/>
      <c r="W3" s="79" t="str">
        <f ca="1">IF(AND(U3&lt;0.1,U3&gt;-0.1),"Ok","Review")</f>
        <v>Ok</v>
      </c>
      <c r="X3" s="79"/>
      <c r="Z3" s="79"/>
      <c r="AB3" s="87"/>
    </row>
    <row r="4" spans="1:30" x14ac:dyDescent="0.25">
      <c r="A4" s="273"/>
      <c r="B4" s="77">
        <v>21</v>
      </c>
      <c r="C4" s="78" t="s">
        <v>19</v>
      </c>
      <c r="D4" s="241">
        <f>+SUMIF('Vashon Price Out TG220857'!$C$11:$C$34,C4,'Vashon Price Out TG220857'!$AG$11:$AG$34)+'Vashon Price Out TG220857'!AG12</f>
        <v>2216.1819759896171</v>
      </c>
      <c r="E4" s="80">
        <f>References!$C$7</f>
        <v>4.333333333333333</v>
      </c>
      <c r="F4" s="81">
        <f t="shared" ref="F4:F39" si="2">D4*E4</f>
        <v>9603.45522928834</v>
      </c>
      <c r="G4" s="81">
        <f>References!C15</f>
        <v>20</v>
      </c>
      <c r="H4" s="81">
        <f>F4*G4</f>
        <v>192069.10458576679</v>
      </c>
      <c r="I4" s="82">
        <f t="shared" ca="1" si="0"/>
        <v>123586.45153495757</v>
      </c>
      <c r="J4" s="83">
        <f ca="1">I4*References!$D$60</f>
        <v>978.65080951799735</v>
      </c>
      <c r="K4" s="83">
        <f ca="1">J4/References!$H$65</f>
        <v>1001.2797314487387</v>
      </c>
      <c r="L4" s="83">
        <f ca="1">K4/F4*E4</f>
        <v>0.45180393230191573</v>
      </c>
      <c r="M4" s="83">
        <f>'Proposed Rates'!C11</f>
        <v>15.916051806818265</v>
      </c>
      <c r="N4" s="83">
        <f ca="1">L4+M4</f>
        <v>16.367855739120181</v>
      </c>
      <c r="O4" s="83">
        <f ca="1">'Proposed Rates'!E11</f>
        <v>16.366051806818266</v>
      </c>
      <c r="P4" s="83">
        <f>D4*M4</f>
        <v>35272.867143187621</v>
      </c>
      <c r="Q4" s="85">
        <f t="shared" ref="Q4:Q10" ca="1" si="3">D4*N4</f>
        <v>36274.146874636353</v>
      </c>
      <c r="R4" s="86">
        <f t="shared" ca="1" si="1"/>
        <v>1001.2797314487325</v>
      </c>
      <c r="T4" s="79"/>
      <c r="U4" s="251">
        <f t="shared" ref="U4:U12" ca="1" si="4">+N4-O4</f>
        <v>1.803932301914557E-3</v>
      </c>
      <c r="V4" s="79"/>
      <c r="W4" s="79" t="str">
        <f t="shared" ref="W4:W12" ca="1" si="5">IF(AND(U4&lt;0.1,U4&gt;-0.1),"Ok","Review")</f>
        <v>Ok</v>
      </c>
      <c r="X4" s="79"/>
      <c r="Z4" s="79"/>
      <c r="AB4" s="87"/>
    </row>
    <row r="5" spans="1:30" x14ac:dyDescent="0.25">
      <c r="A5" s="273"/>
      <c r="B5" s="77">
        <v>21</v>
      </c>
      <c r="C5" s="78" t="s">
        <v>25</v>
      </c>
      <c r="D5" s="79">
        <f>+SUMIF('Vashon Price Out TG220857'!$C$11:$C$34,C5,'Vashon Price Out TG220857'!$AG$11:$AG$34)</f>
        <v>1494.2808011638094</v>
      </c>
      <c r="E5" s="80">
        <f>References!$C$9</f>
        <v>1</v>
      </c>
      <c r="F5" s="81">
        <f t="shared" si="2"/>
        <v>1494.2808011638094</v>
      </c>
      <c r="G5" s="81">
        <f>References!$C$16</f>
        <v>34</v>
      </c>
      <c r="H5" s="81">
        <f t="shared" ref="H5:H13" si="6">F5*G5</f>
        <v>50805.547239569518</v>
      </c>
      <c r="I5" s="82">
        <f t="shared" ca="1" si="0"/>
        <v>32690.719911313365</v>
      </c>
      <c r="J5" s="83">
        <f ca="1">I5*References!$D$60</f>
        <v>258.86979606242261</v>
      </c>
      <c r="K5" s="83">
        <f ca="1">J5/References!$H$65</f>
        <v>264.85553106447986</v>
      </c>
      <c r="L5" s="83">
        <f ca="1">K5/F5*E5</f>
        <v>0.17724615805690544</v>
      </c>
      <c r="M5" s="83">
        <f>'Proposed Rates'!C9</f>
        <v>7.1085737002362483</v>
      </c>
      <c r="N5" s="83">
        <f ca="1">L5+M5</f>
        <v>7.2858198582931539</v>
      </c>
      <c r="O5" s="83">
        <f ca="1">'Proposed Rates'!E9</f>
        <v>7.2885737002362481</v>
      </c>
      <c r="P5" s="83">
        <f t="shared" ref="P5:P10" si="7">D5*M5</f>
        <v>10622.205203921007</v>
      </c>
      <c r="Q5" s="85">
        <f t="shared" ca="1" si="3"/>
        <v>10887.060734985487</v>
      </c>
      <c r="R5" s="86">
        <f t="shared" ca="1" si="1"/>
        <v>264.8555310644806</v>
      </c>
      <c r="T5" s="79"/>
      <c r="U5" s="251">
        <f t="shared" ca="1" si="4"/>
        <v>-2.7538419430941374E-3</v>
      </c>
      <c r="V5" s="79"/>
      <c r="W5" s="79" t="str">
        <f t="shared" ca="1" si="5"/>
        <v>Ok</v>
      </c>
      <c r="X5" s="79"/>
      <c r="Z5" s="79"/>
      <c r="AB5" s="87"/>
    </row>
    <row r="6" spans="1:30" x14ac:dyDescent="0.25">
      <c r="A6" s="273"/>
      <c r="B6" s="77">
        <v>21</v>
      </c>
      <c r="C6" s="78" t="s">
        <v>23</v>
      </c>
      <c r="D6" s="79">
        <f>+SUMIF('Vashon Price Out TG220857'!$C$11:$C$34,C6,'Vashon Price Out TG220857'!$AG$11:$AG$34)</f>
        <v>3658.5502672180855</v>
      </c>
      <c r="E6" s="80">
        <f>References!$C$8</f>
        <v>2.1666666666666665</v>
      </c>
      <c r="F6" s="81">
        <f t="shared" si="2"/>
        <v>7926.8589123058518</v>
      </c>
      <c r="G6" s="81">
        <f>References!$C$16</f>
        <v>34</v>
      </c>
      <c r="H6" s="81">
        <f t="shared" si="6"/>
        <v>269513.20301839896</v>
      </c>
      <c r="I6" s="82">
        <f t="shared" ca="1" si="0"/>
        <v>173417.68981898422</v>
      </c>
      <c r="J6" s="83">
        <f ca="1">I6*References!$D$60</f>
        <v>1373.2521681641156</v>
      </c>
      <c r="K6" s="83">
        <f ca="1">J6/References!$H$65</f>
        <v>1405.0052876653524</v>
      </c>
      <c r="L6" s="83">
        <f t="shared" ref="L6" ca="1" si="8">K6/F6*E6</f>
        <v>0.38403334245662835</v>
      </c>
      <c r="M6" s="83">
        <f>'Proposed Rates'!C10</f>
        <v>17.480832181084107</v>
      </c>
      <c r="N6" s="83">
        <f t="shared" ref="N6:N39" ca="1" si="9">L6+M6</f>
        <v>17.864865523540736</v>
      </c>
      <c r="O6" s="83">
        <f ca="1">'Proposed Rates'!E10</f>
        <v>17.860832181084106</v>
      </c>
      <c r="P6" s="83">
        <f t="shared" si="7"/>
        <v>63954.50324729977</v>
      </c>
      <c r="Q6" s="85">
        <f t="shared" ca="1" si="3"/>
        <v>65359.508534965127</v>
      </c>
      <c r="R6" s="86">
        <f t="shared" ca="1" si="1"/>
        <v>1405.0052876653572</v>
      </c>
      <c r="T6" s="79"/>
      <c r="U6" s="251">
        <f t="shared" ca="1" si="4"/>
        <v>4.0333424566298959E-3</v>
      </c>
      <c r="V6" s="79"/>
      <c r="W6" s="79" t="str">
        <f t="shared" ca="1" si="5"/>
        <v>Ok</v>
      </c>
      <c r="X6" s="79"/>
      <c r="Z6" s="79"/>
      <c r="AB6" s="87"/>
    </row>
    <row r="7" spans="1:30" x14ac:dyDescent="0.25">
      <c r="A7" s="273"/>
      <c r="B7" s="77">
        <v>21</v>
      </c>
      <c r="C7" s="78" t="s">
        <v>29</v>
      </c>
      <c r="D7" s="79">
        <f>+SUMIF('Vashon Price Out TG220857'!$C$11:$C$34,C7,'Vashon Price Out TG220857'!$AG$11:$AG$34)</f>
        <v>18299.707365855556</v>
      </c>
      <c r="E7" s="80">
        <f>References!$C$7</f>
        <v>4.333333333333333</v>
      </c>
      <c r="F7" s="81">
        <f>D7*E7</f>
        <v>79298.731918707403</v>
      </c>
      <c r="G7" s="81">
        <f>References!$C$16</f>
        <v>34</v>
      </c>
      <c r="H7" s="81">
        <f t="shared" si="6"/>
        <v>2696156.8852360519</v>
      </c>
      <c r="I7" s="82">
        <f t="shared" ca="1" si="0"/>
        <v>1734836.3389650527</v>
      </c>
      <c r="J7" s="83">
        <f ca="1">I7*References!$D$60</f>
        <v>13737.743631462301</v>
      </c>
      <c r="K7" s="83">
        <f ca="1">J7/References!$H$65</f>
        <v>14055.395571375384</v>
      </c>
      <c r="L7" s="83">
        <f ca="1">K7/F7*E7</f>
        <v>0.7680666849132568</v>
      </c>
      <c r="M7" s="83">
        <f>'Proposed Rates'!C12</f>
        <v>22.801085453587962</v>
      </c>
      <c r="N7" s="83">
        <f t="shared" ca="1" si="9"/>
        <v>23.56915213850122</v>
      </c>
      <c r="O7" s="83">
        <f ca="1">'Proposed Rates'!E12</f>
        <v>23.571085453587962</v>
      </c>
      <c r="P7" s="83">
        <f t="shared" si="7"/>
        <v>417253.19142452563</v>
      </c>
      <c r="Q7" s="85">
        <f t="shared" ca="1" si="3"/>
        <v>431308.58699590102</v>
      </c>
      <c r="R7" s="86">
        <f t="shared" ca="1" si="1"/>
        <v>14055.395571375382</v>
      </c>
      <c r="T7" s="79"/>
      <c r="U7" s="251">
        <f t="shared" ca="1" si="4"/>
        <v>-1.9333150867417714E-3</v>
      </c>
      <c r="V7" s="79"/>
      <c r="W7" s="79" t="str">
        <f t="shared" ca="1" si="5"/>
        <v>Ok</v>
      </c>
      <c r="X7" s="79"/>
      <c r="Z7" s="79"/>
      <c r="AB7" s="87"/>
    </row>
    <row r="8" spans="1:30" x14ac:dyDescent="0.25">
      <c r="A8" s="273"/>
      <c r="B8" s="77">
        <v>21</v>
      </c>
      <c r="C8" s="78" t="s">
        <v>31</v>
      </c>
      <c r="D8" s="79">
        <f>+SUMIF('Vashon Price Out TG220857'!$C$11:$C$34,C8,'Vashon Price Out TG220857'!$AG$11:$AG$34)</f>
        <v>3561.3408357565427</v>
      </c>
      <c r="E8" s="80">
        <f>References!$C$7</f>
        <v>4.333333333333333</v>
      </c>
      <c r="F8" s="81">
        <f t="shared" si="2"/>
        <v>15432.476954945017</v>
      </c>
      <c r="G8" s="81">
        <f>References!$C$17</f>
        <v>51</v>
      </c>
      <c r="H8" s="81">
        <f t="shared" si="6"/>
        <v>787056.32470219594</v>
      </c>
      <c r="I8" s="82">
        <f t="shared" ca="1" si="0"/>
        <v>506429.69642551185</v>
      </c>
      <c r="J8" s="83">
        <f ca="1">I8*References!$D$60</f>
        <v>4010.2926025883244</v>
      </c>
      <c r="K8" s="83">
        <f ca="1">J8/References!$H$65</f>
        <v>4103.0208743486028</v>
      </c>
      <c r="L8" s="83">
        <f t="shared" ref="L8:L10" ca="1" si="10">K8/F8*E8</f>
        <v>1.1521000273698851</v>
      </c>
      <c r="M8" s="83">
        <f>'Proposed Rates'!C13</f>
        <v>32.077997672449733</v>
      </c>
      <c r="N8" s="83">
        <f t="shared" ca="1" si="9"/>
        <v>33.230097699819616</v>
      </c>
      <c r="O8" s="83">
        <f ca="1">'Proposed Rates'!E13</f>
        <v>33.227997672449732</v>
      </c>
      <c r="P8" s="83">
        <f t="shared" si="7"/>
        <v>114240.68304019856</v>
      </c>
      <c r="Q8" s="85">
        <f t="shared" ca="1" si="3"/>
        <v>118343.70391454716</v>
      </c>
      <c r="R8" s="86">
        <f t="shared" ca="1" si="1"/>
        <v>4103.0208743486</v>
      </c>
      <c r="T8" s="79"/>
      <c r="U8" s="251">
        <f t="shared" ca="1" si="4"/>
        <v>2.1000273698845717E-3</v>
      </c>
      <c r="V8" s="79"/>
      <c r="W8" s="79" t="str">
        <f t="shared" ca="1" si="5"/>
        <v>Ok</v>
      </c>
      <c r="X8" s="79"/>
      <c r="Z8" s="79"/>
      <c r="AB8" s="87"/>
    </row>
    <row r="9" spans="1:30" x14ac:dyDescent="0.25">
      <c r="A9" s="273"/>
      <c r="B9" s="77">
        <v>21</v>
      </c>
      <c r="C9" s="78" t="s">
        <v>33</v>
      </c>
      <c r="D9" s="79">
        <f>+SUMIF('Vashon Price Out TG220857'!$C$11:$C$34,C9,'Vashon Price Out TG220857'!$AG$11:$AG$34)</f>
        <v>172.26000459302517</v>
      </c>
      <c r="E9" s="80">
        <f>References!$C$7</f>
        <v>4.333333333333333</v>
      </c>
      <c r="F9" s="81">
        <f t="shared" si="2"/>
        <v>746.46001990310901</v>
      </c>
      <c r="G9" s="81">
        <f>References!$C$18</f>
        <v>77</v>
      </c>
      <c r="H9" s="81">
        <f t="shared" si="6"/>
        <v>57477.421532539396</v>
      </c>
      <c r="I9" s="82">
        <f t="shared" ca="1" si="0"/>
        <v>36983.72305064572</v>
      </c>
      <c r="J9" s="83">
        <f ca="1">I9*References!$D$60</f>
        <v>292.86503538995134</v>
      </c>
      <c r="K9" s="83">
        <f ca="1">J9/References!$H$65</f>
        <v>299.6368276958782</v>
      </c>
      <c r="L9" s="83">
        <f t="shared" ca="1" si="10"/>
        <v>1.7394451393623762</v>
      </c>
      <c r="M9" s="83">
        <f>'Proposed Rates'!C14</f>
        <v>43.713257455383591</v>
      </c>
      <c r="N9" s="83">
        <f t="shared" ca="1" si="9"/>
        <v>45.452702594745965</v>
      </c>
      <c r="O9" s="83">
        <f ca="1">'Proposed Rates'!E14</f>
        <v>45.453257455383593</v>
      </c>
      <c r="P9" s="83">
        <f t="shared" si="7"/>
        <v>7530.0459300404691</v>
      </c>
      <c r="Q9" s="85">
        <f t="shared" ca="1" si="3"/>
        <v>7829.6827577363474</v>
      </c>
      <c r="R9" s="86">
        <f t="shared" ca="1" si="1"/>
        <v>299.63682769587831</v>
      </c>
      <c r="T9" s="79"/>
      <c r="U9" s="251">
        <f t="shared" ca="1" si="4"/>
        <v>-5.5486063762799631E-4</v>
      </c>
      <c r="V9" s="79"/>
      <c r="W9" s="79" t="str">
        <f t="shared" ca="1" si="5"/>
        <v>Ok</v>
      </c>
      <c r="X9" s="79"/>
      <c r="Z9" s="79"/>
      <c r="AB9" s="87"/>
    </row>
    <row r="10" spans="1:30" x14ac:dyDescent="0.25">
      <c r="A10" s="273"/>
      <c r="B10" s="77">
        <v>21</v>
      </c>
      <c r="C10" s="78" t="s">
        <v>35</v>
      </c>
      <c r="D10" s="79">
        <f>+SUMIF('Vashon Price Out TG220857'!$C$11:$C$34,C10,'Vashon Price Out TG220857'!$AG$11:$AG$34)</f>
        <v>59.753740785778248</v>
      </c>
      <c r="E10" s="80">
        <f>References!$C$7</f>
        <v>4.333333333333333</v>
      </c>
      <c r="F10" s="81">
        <f t="shared" si="2"/>
        <v>258.93287673837239</v>
      </c>
      <c r="G10" s="81">
        <f>References!$C$19</f>
        <v>97</v>
      </c>
      <c r="H10" s="81">
        <f t="shared" si="6"/>
        <v>25116.489043622121</v>
      </c>
      <c r="I10" s="82">
        <f t="shared" ca="1" si="0"/>
        <v>16161.150761921775</v>
      </c>
      <c r="J10" s="83">
        <f ca="1">I10*References!$D$60</f>
        <v>127.9761905893334</v>
      </c>
      <c r="K10" s="83">
        <f ca="1">J10/References!$H$65</f>
        <v>130.93532902530529</v>
      </c>
      <c r="L10" s="83">
        <f t="shared" ca="1" si="10"/>
        <v>2.1912490716642914</v>
      </c>
      <c r="M10" s="83">
        <f>'Proposed Rates'!C15</f>
        <v>54.744959093957767</v>
      </c>
      <c r="N10" s="83">
        <f t="shared" ca="1" si="9"/>
        <v>56.936208165622062</v>
      </c>
      <c r="O10" s="83">
        <f ca="1">'Proposed Rates'!E15</f>
        <v>56.934959093957765</v>
      </c>
      <c r="P10" s="83">
        <f t="shared" si="7"/>
        <v>3271.216095028386</v>
      </c>
      <c r="Q10" s="85">
        <f t="shared" ca="1" si="3"/>
        <v>3402.1514240536917</v>
      </c>
      <c r="R10" s="86">
        <f t="shared" ca="1" si="1"/>
        <v>130.93532902530569</v>
      </c>
      <c r="T10" s="79"/>
      <c r="U10" s="251">
        <f t="shared" ca="1" si="4"/>
        <v>1.2490716642972188E-3</v>
      </c>
      <c r="V10" s="79"/>
      <c r="W10" s="79" t="str">
        <f t="shared" ca="1" si="5"/>
        <v>Ok</v>
      </c>
      <c r="X10" s="79"/>
      <c r="Z10" s="79"/>
      <c r="AB10" s="87"/>
    </row>
    <row r="11" spans="1:30" x14ac:dyDescent="0.25">
      <c r="A11" s="273"/>
      <c r="B11" s="77">
        <v>22</v>
      </c>
      <c r="C11" s="78" t="s">
        <v>27</v>
      </c>
      <c r="D11" s="79">
        <f>+SUMIF('Vashon Price Out TG220857'!$C$11:$C$34,C11,'Vashon Price Out TG220857'!$AG$11:$AG$34)</f>
        <v>15.796502384737678</v>
      </c>
      <c r="E11" s="80">
        <f>References!$C$10</f>
        <v>1</v>
      </c>
      <c r="F11" s="81">
        <f t="shared" si="2"/>
        <v>15.796502384737678</v>
      </c>
      <c r="G11" s="81">
        <f>References!$C$16</f>
        <v>34</v>
      </c>
      <c r="H11" s="81">
        <f t="shared" si="6"/>
        <v>537.08108108108104</v>
      </c>
      <c r="I11" s="82">
        <f t="shared" ca="1" si="0"/>
        <v>345.58366448639339</v>
      </c>
      <c r="J11" s="83">
        <f ca="1">I11*References!$D$60</f>
        <v>2.7365923109309458</v>
      </c>
      <c r="K11" s="83">
        <f ca="1">J11/References!$H$65</f>
        <v>2.7998693584314975</v>
      </c>
      <c r="L11" s="83">
        <f t="shared" ref="L11:L13" ca="1" si="11">K11/F11*E11</f>
        <v>0.17724615805690538</v>
      </c>
      <c r="M11" s="83">
        <f>+'Proposed Rates'!C19</f>
        <v>7.2203437269695225</v>
      </c>
      <c r="N11" s="83">
        <f t="shared" ref="N11:N13" ca="1" si="12">L11+M11</f>
        <v>7.3975898850264281</v>
      </c>
      <c r="O11" s="83">
        <f ca="1">+'Proposed Rates'!E19</f>
        <v>7.4003437269695223</v>
      </c>
      <c r="P11" s="83">
        <f t="shared" ref="P11:P13" si="13">D11*M11</f>
        <v>114.0561769016998</v>
      </c>
      <c r="Q11" s="85">
        <f t="shared" ref="Q11" ca="1" si="14">D11*N11</f>
        <v>116.85604626013129</v>
      </c>
      <c r="R11" s="86">
        <f t="shared" ref="R11" ca="1" si="15">Q11-P11</f>
        <v>2.7998693584314935</v>
      </c>
      <c r="T11" s="79"/>
      <c r="U11" s="251">
        <f t="shared" ca="1" si="4"/>
        <v>-2.7538419430941374E-3</v>
      </c>
      <c r="V11" s="79"/>
      <c r="W11" s="79" t="str">
        <f t="shared" ca="1" si="5"/>
        <v>Ok</v>
      </c>
      <c r="X11" s="79"/>
      <c r="Z11" s="79"/>
      <c r="AB11" s="87"/>
    </row>
    <row r="12" spans="1:30" x14ac:dyDescent="0.25">
      <c r="A12" s="273"/>
      <c r="B12" s="77">
        <v>16</v>
      </c>
      <c r="C12" s="1" t="s">
        <v>51</v>
      </c>
      <c r="D12" s="79">
        <f>+SUMIF('Vashon Price Out TG220857'!$C$11:$C$34,C12,'Vashon Price Out TG220857'!$AG$11:$AG$34)</f>
        <v>2883.8503401360545</v>
      </c>
      <c r="E12" s="80">
        <f>References!$C$10</f>
        <v>1</v>
      </c>
      <c r="F12" s="81">
        <f t="shared" si="2"/>
        <v>2883.8503401360545</v>
      </c>
      <c r="G12" s="81">
        <f>+References!$C$16</f>
        <v>34</v>
      </c>
      <c r="H12" s="81">
        <f t="shared" si="6"/>
        <v>98050.911564625858</v>
      </c>
      <c r="I12" s="82">
        <f t="shared" ca="1" si="0"/>
        <v>63090.647796657802</v>
      </c>
      <c r="J12" s="83">
        <f ca="1">I12*References!$D$60</f>
        <v>499.59937171389078</v>
      </c>
      <c r="K12" s="83">
        <f ca="1">J12/References!$H$65</f>
        <v>511.15139320021564</v>
      </c>
      <c r="L12" s="83">
        <f t="shared" ca="1" si="11"/>
        <v>0.17724615805690544</v>
      </c>
      <c r="M12" s="83">
        <f>+'Proposed Rates'!C6</f>
        <v>3.48</v>
      </c>
      <c r="N12" s="83">
        <f t="shared" ca="1" si="12"/>
        <v>3.6572461580569056</v>
      </c>
      <c r="O12" s="83">
        <f ca="1">+'Proposed Rates'!E6</f>
        <v>3.66</v>
      </c>
      <c r="P12" s="83">
        <f t="shared" si="13"/>
        <v>10035.799183673469</v>
      </c>
      <c r="Q12" s="85">
        <f t="shared" ref="Q12:Q13" ca="1" si="16">D12*N12</f>
        <v>10546.950576873685</v>
      </c>
      <c r="R12" s="86">
        <f t="shared" ref="R12:R13" ca="1" si="17">Q12-P12</f>
        <v>511.15139320021626</v>
      </c>
      <c r="T12" s="79"/>
      <c r="U12" s="251">
        <f t="shared" ca="1" si="4"/>
        <v>-2.7538419430945815E-3</v>
      </c>
      <c r="V12" s="79"/>
      <c r="W12" s="79" t="str">
        <f t="shared" ca="1" si="5"/>
        <v>Ok</v>
      </c>
      <c r="X12" s="79"/>
      <c r="Z12" s="79"/>
      <c r="AB12" s="87"/>
    </row>
    <row r="13" spans="1:30" x14ac:dyDescent="0.25">
      <c r="A13" s="274"/>
      <c r="B13" s="77">
        <v>16</v>
      </c>
      <c r="C13" s="1" t="s">
        <v>55</v>
      </c>
      <c r="D13" s="241">
        <f>+SUMIF('Vashon Price Out TG220857'!$C$11:$C$34,C13,'Vashon Price Out TG220857'!$AG$11:$AG$34)+'Vashon Price Out TG220857'!AG28</f>
        <v>3648.4217687074829</v>
      </c>
      <c r="E13" s="80">
        <f>References!$C$10</f>
        <v>1</v>
      </c>
      <c r="F13" s="81">
        <f t="shared" si="2"/>
        <v>3648.4217687074829</v>
      </c>
      <c r="G13" s="81">
        <f>+References!$C$16</f>
        <v>34</v>
      </c>
      <c r="H13" s="81">
        <f t="shared" si="6"/>
        <v>124046.34013605442</v>
      </c>
      <c r="I13" s="82">
        <f t="shared" ca="1" si="0"/>
        <v>79817.350304081177</v>
      </c>
      <c r="J13" s="83">
        <f ca="1">I13*References!$D$60</f>
        <v>632.05402791725555</v>
      </c>
      <c r="K13" s="83">
        <f ca="1">J13/References!$H$65</f>
        <v>646.66874147458111</v>
      </c>
      <c r="L13" s="83">
        <f t="shared" ca="1" si="11"/>
        <v>0.17724615805690547</v>
      </c>
      <c r="M13" s="83">
        <f>+'Proposed Rates'!C6</f>
        <v>3.48</v>
      </c>
      <c r="N13" s="83">
        <f t="shared" ca="1" si="12"/>
        <v>3.6572461580569056</v>
      </c>
      <c r="O13" s="83">
        <f ca="1">+'Proposed Rates'!E6</f>
        <v>3.66</v>
      </c>
      <c r="P13" s="83">
        <f t="shared" si="13"/>
        <v>12696.50775510204</v>
      </c>
      <c r="Q13" s="85">
        <f t="shared" ca="1" si="16"/>
        <v>13343.176496576622</v>
      </c>
      <c r="R13" s="86">
        <f t="shared" ca="1" si="17"/>
        <v>646.66874147458111</v>
      </c>
      <c r="T13" s="79"/>
      <c r="V13" s="79"/>
      <c r="W13" s="79"/>
      <c r="X13" s="79"/>
      <c r="Z13" s="79"/>
      <c r="AB13" s="87"/>
    </row>
    <row r="14" spans="1:30" x14ac:dyDescent="0.25">
      <c r="A14" s="88"/>
      <c r="B14" s="88"/>
      <c r="C14" s="89" t="s">
        <v>248</v>
      </c>
      <c r="D14" s="90">
        <f>SUM(D3:D13)</f>
        <v>45786.148058507315</v>
      </c>
      <c r="E14" s="91"/>
      <c r="F14" s="90">
        <f>SUM(F3:F13)</f>
        <v>131085.26978019677</v>
      </c>
      <c r="G14" s="92"/>
      <c r="H14" s="90">
        <f>SUM(H3:H13)</f>
        <v>4633213.459641071</v>
      </c>
      <c r="I14" s="90">
        <f ca="1">SUM(I3:I13)</f>
        <v>2981231.2183990721</v>
      </c>
      <c r="J14" s="165">
        <f ca="1">SUM(J3:J13)</f>
        <v>23607.639098055271</v>
      </c>
      <c r="K14" s="165">
        <f ca="1">SUM(K3:K13)</f>
        <v>24153.50838761538</v>
      </c>
      <c r="L14" s="94"/>
      <c r="M14" s="94"/>
      <c r="N14" s="94"/>
      <c r="O14" s="94"/>
      <c r="P14" s="165">
        <f t="shared" ref="P14:R14" si="18">SUM(P3:P13)</f>
        <v>723505.3692044575</v>
      </c>
      <c r="Q14" s="165">
        <f t="shared" ca="1" si="18"/>
        <v>747658.87759207294</v>
      </c>
      <c r="R14" s="165">
        <f t="shared" ca="1" si="18"/>
        <v>24153.50838761538</v>
      </c>
      <c r="S14" s="95"/>
      <c r="T14" s="170">
        <f ca="1">R14/P14</f>
        <v>3.3384007107195038E-2</v>
      </c>
      <c r="V14" s="96"/>
      <c r="W14" s="96"/>
      <c r="X14" s="79"/>
      <c r="Y14" s="96"/>
      <c r="Z14" s="79"/>
      <c r="AB14" s="97"/>
      <c r="AD14" s="97"/>
    </row>
    <row r="15" spans="1:30" x14ac:dyDescent="0.25">
      <c r="A15" s="272" t="s">
        <v>249</v>
      </c>
      <c r="B15" s="77"/>
      <c r="C15" s="98"/>
      <c r="D15" s="99">
        <f>+'Vashon Price Out TG220857'!AG37-'DF Calculation'!D14</f>
        <v>0</v>
      </c>
      <c r="E15" s="80"/>
      <c r="F15" s="100"/>
      <c r="G15" s="101"/>
      <c r="H15" s="96"/>
      <c r="I15" s="102"/>
      <c r="J15" s="102"/>
      <c r="K15" s="102"/>
      <c r="L15" s="83"/>
      <c r="M15" s="83"/>
      <c r="N15" s="83"/>
      <c r="O15" s="83"/>
      <c r="P15" s="103"/>
      <c r="Q15" s="103"/>
      <c r="R15" s="104"/>
      <c r="S15" s="95"/>
      <c r="T15" s="105"/>
      <c r="V15" s="96"/>
      <c r="W15" s="96"/>
      <c r="X15" s="79"/>
      <c r="Y15" s="96"/>
      <c r="Z15" s="79"/>
      <c r="AB15" s="97"/>
      <c r="AD15" s="97"/>
    </row>
    <row r="16" spans="1:30" ht="15" customHeight="1" x14ac:dyDescent="0.25">
      <c r="A16" s="273"/>
      <c r="B16" s="77">
        <v>36</v>
      </c>
      <c r="C16" s="78" t="s">
        <v>110</v>
      </c>
      <c r="D16" s="106">
        <f ca="1">+SUMIF('Vashon Price Out TG220857'!$C$57:$C$90,C16,'Vashon Price Out TG220857'!$AG$57:$AG$82)</f>
        <v>1344</v>
      </c>
      <c r="E16" s="80">
        <f>References!$C$10</f>
        <v>1</v>
      </c>
      <c r="F16" s="81">
        <f t="shared" ca="1" si="2"/>
        <v>1344</v>
      </c>
      <c r="G16" s="81">
        <f>References!$C$28</f>
        <v>29</v>
      </c>
      <c r="H16" s="81">
        <f ca="1">F16*G16</f>
        <v>38976</v>
      </c>
      <c r="I16" s="82">
        <f t="shared" ref="I16:I39" ca="1" si="19">$D$64*H16</f>
        <v>25079.023226640591</v>
      </c>
      <c r="J16" s="83">
        <f ca="1">I16*References!$D$60</f>
        <v>198.59463620678588</v>
      </c>
      <c r="K16" s="83">
        <f ca="1">J16/References!$H$65</f>
        <v>203.18665460076312</v>
      </c>
      <c r="L16" s="83">
        <f t="shared" ref="L16:L39" ca="1" si="20">K16/F16</f>
        <v>0.15118054657794874</v>
      </c>
      <c r="M16" s="83">
        <f>+'Proposed Rates'!C50</f>
        <v>4.8731731655707611</v>
      </c>
      <c r="N16" s="83">
        <f t="shared" ca="1" si="9"/>
        <v>5.0243537121487094</v>
      </c>
      <c r="O16" s="83">
        <f ca="1">'Proposed Rates'!E50</f>
        <v>5.0231731655707614</v>
      </c>
      <c r="P16" s="83">
        <f ca="1">F16*M16</f>
        <v>6549.5447345271032</v>
      </c>
      <c r="Q16" s="85">
        <f t="shared" ref="Q16:Q39" ca="1" si="21">F16*N16</f>
        <v>6752.7313891278654</v>
      </c>
      <c r="R16" s="86">
        <f t="shared" ref="R16:R39" ca="1" si="22">Q16-P16</f>
        <v>203.18665460076227</v>
      </c>
      <c r="T16" s="76"/>
      <c r="U16" s="251">
        <f t="shared" ref="U16:U39" ca="1" si="23">+N16-O16</f>
        <v>1.1805465779479718E-3</v>
      </c>
      <c r="V16" s="79"/>
      <c r="W16" s="79" t="str">
        <f t="shared" ref="W16:W39" ca="1" si="24">IF(AND(U16&lt;0.1,U16&gt;-0.1),"Ok","Review")</f>
        <v>Ok</v>
      </c>
      <c r="X16" s="79"/>
      <c r="Z16" s="79"/>
      <c r="AA16" s="79"/>
      <c r="AB16" s="87"/>
    </row>
    <row r="17" spans="1:28" x14ac:dyDescent="0.25">
      <c r="A17" s="273"/>
      <c r="B17" s="77">
        <v>28</v>
      </c>
      <c r="C17" s="78" t="s">
        <v>112</v>
      </c>
      <c r="D17" s="106">
        <f ca="1">+SUMIF('Vashon Price Out TG220857'!$C$57:$C$90,C17,'Vashon Price Out TG220857'!$AG$57:$AG$82)</f>
        <v>3</v>
      </c>
      <c r="E17" s="80">
        <f>References!$C$10</f>
        <v>1</v>
      </c>
      <c r="F17" s="81">
        <f t="shared" ca="1" si="2"/>
        <v>3</v>
      </c>
      <c r="G17" s="81">
        <f>References!C29</f>
        <v>125</v>
      </c>
      <c r="H17" s="81">
        <f t="shared" ref="H17:H39" ca="1" si="25">F17*G17</f>
        <v>375</v>
      </c>
      <c r="I17" s="82">
        <f t="shared" ca="1" si="19"/>
        <v>241.29294206666208</v>
      </c>
      <c r="J17" s="83">
        <f ca="1">I17*References!$D$60</f>
        <v>1.9107396494649194</v>
      </c>
      <c r="K17" s="83">
        <f ca="1">J17/References!$H$65</f>
        <v>1.9549208609217508</v>
      </c>
      <c r="L17" s="83">
        <f t="shared" ca="1" si="20"/>
        <v>0.65164028697391696</v>
      </c>
      <c r="M17" s="83">
        <f>'Proposed Rates'!C26</f>
        <v>21.06</v>
      </c>
      <c r="N17" s="83">
        <f t="shared" ca="1" si="9"/>
        <v>21.711640286973914</v>
      </c>
      <c r="O17" s="83">
        <f ca="1">'Proposed Rates'!E26</f>
        <v>21.709999999999997</v>
      </c>
      <c r="P17" s="83">
        <f t="shared" ref="P17:P39" ca="1" si="26">F17*M17</f>
        <v>63.179999999999993</v>
      </c>
      <c r="Q17" s="85">
        <f t="shared" ca="1" si="21"/>
        <v>65.134920860921738</v>
      </c>
      <c r="R17" s="86">
        <f t="shared" ca="1" si="22"/>
        <v>1.9549208609217459</v>
      </c>
      <c r="T17" s="76"/>
      <c r="U17" s="251">
        <f t="shared" ca="1" si="23"/>
        <v>1.6402869739167159E-3</v>
      </c>
      <c r="V17" s="79"/>
      <c r="W17" s="79" t="str">
        <f t="shared" ca="1" si="24"/>
        <v>Ok</v>
      </c>
      <c r="X17" s="79"/>
      <c r="Z17" s="79"/>
      <c r="AA17" s="79"/>
      <c r="AB17" s="87"/>
    </row>
    <row r="18" spans="1:28" x14ac:dyDescent="0.25">
      <c r="A18" s="273"/>
      <c r="B18" s="166">
        <v>36</v>
      </c>
      <c r="C18" s="1" t="s">
        <v>67</v>
      </c>
      <c r="D18" s="106">
        <f ca="1">+SUMIF('Vashon Price Out TG220857'!$C$57:$C$90,C18,'Vashon Price Out TG220857'!$AG$57:$AG$82)</f>
        <v>18</v>
      </c>
      <c r="E18" s="80">
        <f>References!$C$8</f>
        <v>2.1666666666666665</v>
      </c>
      <c r="F18" s="81">
        <f t="shared" ca="1" si="2"/>
        <v>39</v>
      </c>
      <c r="G18" s="81">
        <f>References!$C$28</f>
        <v>29</v>
      </c>
      <c r="H18" s="81">
        <f t="shared" ca="1" si="25"/>
        <v>1131</v>
      </c>
      <c r="I18" s="82">
        <f t="shared" ca="1" si="19"/>
        <v>727.73951327305281</v>
      </c>
      <c r="J18" s="83">
        <f ca="1">I18*References!$D$60</f>
        <v>5.7627907827861966</v>
      </c>
      <c r="K18" s="83">
        <f ca="1">J18/References!$H$65</f>
        <v>5.8960413165400007</v>
      </c>
      <c r="L18" s="83">
        <f ca="1">K18/F18</f>
        <v>0.15118054657794874</v>
      </c>
      <c r="M18" s="83">
        <f>+'Proposed Rates'!C$47</f>
        <v>4.3366770372510439</v>
      </c>
      <c r="N18" s="83">
        <f t="shared" ref="N18" ca="1" si="27">L18+M18</f>
        <v>4.4878575838289922</v>
      </c>
      <c r="O18" s="83">
        <f ca="1">+'Proposed Rates'!E$47</f>
        <v>4.4866770372510443</v>
      </c>
      <c r="P18" s="83">
        <f t="shared" ca="1" si="26"/>
        <v>169.13040445279071</v>
      </c>
      <c r="Q18" s="85">
        <f t="shared" ca="1" si="21"/>
        <v>175.02644576933071</v>
      </c>
      <c r="R18" s="86">
        <f t="shared" ref="R18" ca="1" si="28">Q18-P18</f>
        <v>5.8960413165399927</v>
      </c>
      <c r="T18" s="76"/>
      <c r="U18" s="251">
        <f t="shared" ca="1" si="23"/>
        <v>1.1805465779479718E-3</v>
      </c>
      <c r="V18" s="79"/>
      <c r="W18" s="79" t="str">
        <f t="shared" ca="1" si="24"/>
        <v>Ok</v>
      </c>
      <c r="X18" s="79"/>
      <c r="Z18" s="79"/>
      <c r="AA18" s="79"/>
      <c r="AB18" s="87"/>
    </row>
    <row r="19" spans="1:28" x14ac:dyDescent="0.25">
      <c r="A19" s="273"/>
      <c r="B19" s="77">
        <v>36</v>
      </c>
      <c r="C19" s="78" t="s">
        <v>29</v>
      </c>
      <c r="D19" s="106">
        <f ca="1">+SUMIF('Vashon Price Out TG220857'!$C$57:$C$90,C19,'Vashon Price Out TG220857'!$AG$57:$AG$82)</f>
        <v>31.985280671251534</v>
      </c>
      <c r="E19" s="80">
        <f>References!$C$7</f>
        <v>4.333333333333333</v>
      </c>
      <c r="F19" s="81">
        <f t="shared" ca="1" si="2"/>
        <v>138.60288290875664</v>
      </c>
      <c r="G19" s="81">
        <f>References!$C$28</f>
        <v>29</v>
      </c>
      <c r="H19" s="81">
        <f t="shared" ca="1" si="25"/>
        <v>4019.4836043539426</v>
      </c>
      <c r="I19" s="82">
        <f t="shared" ca="1" si="19"/>
        <v>2586.3280652887306</v>
      </c>
      <c r="J19" s="83">
        <f ca="1">I19*References!$D$60</f>
        <v>20.48049784856865</v>
      </c>
      <c r="K19" s="83">
        <f ca="1">J19/References!$H$65</f>
        <v>20.95405959542526</v>
      </c>
      <c r="L19" s="83">
        <f ca="1">K19/F19</f>
        <v>0.15118054657794874</v>
      </c>
      <c r="M19" s="83">
        <f>+'Proposed Rates'!C$47</f>
        <v>4.3366770372510439</v>
      </c>
      <c r="N19" s="83">
        <f t="shared" ca="1" si="9"/>
        <v>4.4878575838289922</v>
      </c>
      <c r="O19" s="83">
        <f ca="1">+'Proposed Rates'!E$47</f>
        <v>4.4866770372510443</v>
      </c>
      <c r="P19" s="83">
        <f t="shared" ca="1" si="26"/>
        <v>601.0759396072001</v>
      </c>
      <c r="Q19" s="85">
        <f t="shared" ca="1" si="21"/>
        <v>622.02999920262528</v>
      </c>
      <c r="R19" s="86">
        <f t="shared" ca="1" si="22"/>
        <v>20.954059595425178</v>
      </c>
      <c r="T19" s="76"/>
      <c r="U19" s="251">
        <f t="shared" ca="1" si="23"/>
        <v>1.1805465779479718E-3</v>
      </c>
      <c r="V19" s="79"/>
      <c r="W19" s="79" t="str">
        <f t="shared" ca="1" si="24"/>
        <v>Ok</v>
      </c>
      <c r="X19" s="79"/>
      <c r="Z19" s="79"/>
      <c r="AA19" s="79"/>
      <c r="AB19" s="87"/>
    </row>
    <row r="20" spans="1:28" x14ac:dyDescent="0.25">
      <c r="A20" s="273"/>
      <c r="B20" s="77">
        <v>36</v>
      </c>
      <c r="C20" s="78" t="s">
        <v>70</v>
      </c>
      <c r="D20" s="106">
        <f ca="1">+SUMIF('Vashon Price Out TG220857'!$C$57:$C$90,C20,'Vashon Price Out TG220857'!$AG$57:$AG$82)</f>
        <v>26.745978552278817</v>
      </c>
      <c r="E20" s="80">
        <f>References!$C$6</f>
        <v>8.6666666666666661</v>
      </c>
      <c r="F20" s="81">
        <f t="shared" ca="1" si="2"/>
        <v>231.79848078641641</v>
      </c>
      <c r="G20" s="81">
        <f>References!$C$28</f>
        <v>29</v>
      </c>
      <c r="H20" s="81">
        <f t="shared" ca="1" si="25"/>
        <v>6722.1559428060755</v>
      </c>
      <c r="I20" s="82">
        <f t="shared" ca="1" si="19"/>
        <v>4325.3567585881992</v>
      </c>
      <c r="J20" s="83">
        <f ca="1">I20*References!$D$60</f>
        <v>34.251439706148815</v>
      </c>
      <c r="K20" s="83">
        <f ca="1">J20/References!$H$65</f>
        <v>35.043421021228582</v>
      </c>
      <c r="L20" s="83">
        <f t="shared" ca="1" si="20"/>
        <v>0.15118054657794874</v>
      </c>
      <c r="M20" s="83">
        <f>+'Proposed Rates'!C$47</f>
        <v>4.3366770372510439</v>
      </c>
      <c r="N20" s="83">
        <f t="shared" ca="1" si="9"/>
        <v>4.4878575838289922</v>
      </c>
      <c r="O20" s="83">
        <f ca="1">+'Proposed Rates'!E$47</f>
        <v>4.4866770372510443</v>
      </c>
      <c r="P20" s="83">
        <f t="shared" ca="1" si="26"/>
        <v>1005.2351488961293</v>
      </c>
      <c r="Q20" s="85">
        <f t="shared" ca="1" si="21"/>
        <v>1040.2785699173578</v>
      </c>
      <c r="R20" s="86">
        <f t="shared" ca="1" si="22"/>
        <v>35.043421021228482</v>
      </c>
      <c r="T20" s="76"/>
      <c r="U20" s="251">
        <f t="shared" ca="1" si="23"/>
        <v>1.1805465779479718E-3</v>
      </c>
      <c r="V20" s="79"/>
      <c r="W20" s="79" t="str">
        <f t="shared" ca="1" si="24"/>
        <v>Ok</v>
      </c>
      <c r="X20" s="79"/>
      <c r="Z20" s="79"/>
      <c r="AA20" s="79"/>
      <c r="AB20" s="87"/>
    </row>
    <row r="21" spans="1:28" x14ac:dyDescent="0.25">
      <c r="A21" s="273"/>
      <c r="B21" s="77">
        <v>36</v>
      </c>
      <c r="C21" s="78" t="s">
        <v>72</v>
      </c>
      <c r="D21" s="106">
        <f ca="1">+SUMIF('Vashon Price Out TG220857'!$C$57:$C$90,C21,'Vashon Price Out TG220857'!$AG$57:$AG$82)</f>
        <v>35.997367879739762</v>
      </c>
      <c r="E21" s="80">
        <f>References!$C$5</f>
        <v>13</v>
      </c>
      <c r="F21" s="81">
        <f t="shared" ca="1" si="2"/>
        <v>467.96578243661691</v>
      </c>
      <c r="G21" s="81">
        <f>References!$C$28</f>
        <v>29</v>
      </c>
      <c r="H21" s="81">
        <f t="shared" ca="1" si="25"/>
        <v>13571.007690661891</v>
      </c>
      <c r="I21" s="82">
        <f t="shared" ca="1" si="19"/>
        <v>8732.2356599709474</v>
      </c>
      <c r="J21" s="83">
        <f ca="1">I21*References!$D$60</f>
        <v>69.148433273976082</v>
      </c>
      <c r="K21" s="83">
        <f ca="1">J21/References!$H$65</f>
        <v>70.747322768545203</v>
      </c>
      <c r="L21" s="83">
        <f t="shared" ca="1" si="20"/>
        <v>0.15118054657794877</v>
      </c>
      <c r="M21" s="83">
        <f>+'Proposed Rates'!C$47</f>
        <v>4.3366770372510439</v>
      </c>
      <c r="N21" s="83">
        <f t="shared" ca="1" si="9"/>
        <v>4.4878575838289922</v>
      </c>
      <c r="O21" s="83">
        <f ca="1">+'Proposed Rates'!E$47</f>
        <v>4.4866770372510443</v>
      </c>
      <c r="P21" s="83">
        <f t="shared" ca="1" si="26"/>
        <v>2029.4164629120944</v>
      </c>
      <c r="Q21" s="85">
        <f t="shared" ca="1" si="21"/>
        <v>2100.1637856806392</v>
      </c>
      <c r="R21" s="86">
        <f t="shared" ca="1" si="22"/>
        <v>70.747322768544791</v>
      </c>
      <c r="T21" s="76"/>
      <c r="U21" s="251">
        <f t="shared" ca="1" si="23"/>
        <v>1.1805465779479718E-3</v>
      </c>
      <c r="V21" s="79"/>
      <c r="W21" s="79" t="str">
        <f t="shared" ca="1" si="24"/>
        <v>Ok</v>
      </c>
      <c r="X21" s="79"/>
      <c r="Z21" s="79"/>
      <c r="AA21" s="79"/>
      <c r="AB21" s="87"/>
    </row>
    <row r="22" spans="1:28" x14ac:dyDescent="0.25">
      <c r="A22" s="273"/>
      <c r="B22" s="77">
        <v>36</v>
      </c>
      <c r="C22" s="78" t="s">
        <v>74</v>
      </c>
      <c r="D22" s="106">
        <f ca="1">+SUMIF('Vashon Price Out TG220857'!$C$57:$C$90,C22,'Vashon Price Out TG220857'!$AG$57:$AG$82)</f>
        <v>29.498737084483082</v>
      </c>
      <c r="E22" s="80">
        <f>References!$C$4</f>
        <v>17.333333333333332</v>
      </c>
      <c r="F22" s="81">
        <f t="shared" ca="1" si="2"/>
        <v>511.31144279770672</v>
      </c>
      <c r="G22" s="81">
        <f>References!$C$28</f>
        <v>29</v>
      </c>
      <c r="H22" s="81">
        <f t="shared" ca="1" si="25"/>
        <v>14828.031841133496</v>
      </c>
      <c r="I22" s="82">
        <f t="shared" ca="1" si="19"/>
        <v>9541.0651413473206</v>
      </c>
      <c r="J22" s="83">
        <f ca="1">I22*References!$D$60</f>
        <v>75.553355633018882</v>
      </c>
      <c r="K22" s="83">
        <f ca="1">J22/References!$H$65</f>
        <v>77.300343393716886</v>
      </c>
      <c r="L22" s="83">
        <f t="shared" ca="1" si="20"/>
        <v>0.15118054657794877</v>
      </c>
      <c r="M22" s="83">
        <f>+'Proposed Rates'!C$47</f>
        <v>4.3366770372510439</v>
      </c>
      <c r="N22" s="83">
        <f t="shared" ca="1" si="9"/>
        <v>4.4878575838289922</v>
      </c>
      <c r="O22" s="83">
        <f ca="1">+'Proposed Rates'!E$47</f>
        <v>4.4866770372510443</v>
      </c>
      <c r="P22" s="83">
        <f t="shared" ca="1" si="26"/>
        <v>2217.3925928645153</v>
      </c>
      <c r="Q22" s="85">
        <f t="shared" ca="1" si="21"/>
        <v>2294.6929362582318</v>
      </c>
      <c r="R22" s="86">
        <f t="shared" ca="1" si="22"/>
        <v>77.300343393716503</v>
      </c>
      <c r="T22" s="76"/>
      <c r="U22" s="251">
        <f t="shared" ca="1" si="23"/>
        <v>1.1805465779479718E-3</v>
      </c>
      <c r="V22" s="79"/>
      <c r="W22" s="79" t="str">
        <f t="shared" ca="1" si="24"/>
        <v>Ok</v>
      </c>
      <c r="X22" s="79"/>
      <c r="Z22" s="79"/>
      <c r="AA22" s="79"/>
      <c r="AB22" s="87"/>
    </row>
    <row r="23" spans="1:28" x14ac:dyDescent="0.25">
      <c r="A23" s="273"/>
      <c r="B23" s="77">
        <v>36</v>
      </c>
      <c r="C23" s="78" t="s">
        <v>348</v>
      </c>
      <c r="D23" s="106">
        <f ca="1">+SUMIF('Vashon Price Out TG220857'!$C$57:$C$90,C23,'Vashon Price Out TG220857'!$AG$57:$AG$82)</f>
        <v>4.9997213777560381</v>
      </c>
      <c r="E23" s="80">
        <f>+References!C3</f>
        <v>21.666666666666668</v>
      </c>
      <c r="F23" s="81">
        <f ca="1">D23*E23</f>
        <v>108.3272965180475</v>
      </c>
      <c r="G23" s="81">
        <f>References!$C$28</f>
        <v>29</v>
      </c>
      <c r="H23" s="81">
        <f t="shared" ref="H23" ca="1" si="29">F23*G23</f>
        <v>3141.4915990233776</v>
      </c>
      <c r="I23" s="82">
        <f t="shared" ca="1" si="19"/>
        <v>2021.3860010828093</v>
      </c>
      <c r="J23" s="83">
        <f ca="1">I23*References!$D$60</f>
        <v>16.006860151239781</v>
      </c>
      <c r="K23" s="83">
        <f ca="1">J23/References!$H$65</f>
        <v>16.376979896909944</v>
      </c>
      <c r="L23" s="83">
        <f t="shared" ref="L23" ca="1" si="30">K23/F23</f>
        <v>0.15118054657794874</v>
      </c>
      <c r="M23" s="83">
        <f>+'Proposed Rates'!C$47</f>
        <v>4.3366770372510439</v>
      </c>
      <c r="N23" s="83">
        <f t="shared" ref="N23" ca="1" si="31">L23+M23</f>
        <v>4.4878575838289922</v>
      </c>
      <c r="O23" s="83">
        <f ca="1">+'Proposed Rates'!E$47</f>
        <v>4.4866770372510443</v>
      </c>
      <c r="P23" s="83">
        <f t="shared" ref="P23" ca="1" si="32">F23*M23</f>
        <v>469.78049931730158</v>
      </c>
      <c r="Q23" s="85">
        <f t="shared" ref="Q23" ca="1" si="33">F23*N23</f>
        <v>486.15747921421149</v>
      </c>
      <c r="R23" s="86">
        <f t="shared" ref="R23" ca="1" si="34">Q23-P23</f>
        <v>16.376979896909916</v>
      </c>
      <c r="T23" s="76"/>
      <c r="U23" s="251">
        <f t="shared" ca="1" si="23"/>
        <v>1.1805465779479718E-3</v>
      </c>
      <c r="V23" s="79"/>
      <c r="W23" s="79" t="str">
        <f t="shared" ca="1" si="24"/>
        <v>Ok</v>
      </c>
      <c r="X23" s="79"/>
      <c r="Z23" s="79"/>
      <c r="AA23" s="79"/>
      <c r="AB23" s="87"/>
    </row>
    <row r="24" spans="1:28" x14ac:dyDescent="0.25">
      <c r="A24" s="273"/>
      <c r="B24" s="77">
        <v>35</v>
      </c>
      <c r="C24" s="78" t="s">
        <v>88</v>
      </c>
      <c r="D24" s="106">
        <f ca="1">+SUMIF('Vashon Price Out TG220857'!$C$57:$C$90,C24,'Vashon Price Out TG220857'!$AG$57:$AG$82)</f>
        <v>593.99526058264405</v>
      </c>
      <c r="E24" s="80">
        <f>References!$C$7</f>
        <v>4.333333333333333</v>
      </c>
      <c r="F24" s="81">
        <f t="shared" ca="1" si="2"/>
        <v>2573.9794625247905</v>
      </c>
      <c r="G24" s="81">
        <f>References!$C$30</f>
        <v>175</v>
      </c>
      <c r="H24" s="81">
        <f t="shared" ca="1" si="25"/>
        <v>450446.40594183834</v>
      </c>
      <c r="I24" s="82">
        <f t="shared" ca="1" si="19"/>
        <v>289838.76942149375</v>
      </c>
      <c r="J24" s="83">
        <f ca="1">I24*References!$D$60</f>
        <v>2295.1621541121094</v>
      </c>
      <c r="K24" s="83">
        <f ca="1">J24/References!$H$65</f>
        <v>2348.2322018744726</v>
      </c>
      <c r="L24" s="83">
        <f t="shared" ca="1" si="20"/>
        <v>0.91229640176348392</v>
      </c>
      <c r="M24" s="83">
        <f>+'Proposed Rates'!C$37</f>
        <v>23.695245667454156</v>
      </c>
      <c r="N24" s="83">
        <f t="shared" ca="1" si="9"/>
        <v>24.60754206921764</v>
      </c>
      <c r="O24" s="83">
        <f ca="1">+'Proposed Rates'!E$37</f>
        <v>24.605245667454156</v>
      </c>
      <c r="P24" s="83">
        <f t="shared" ca="1" si="26"/>
        <v>60991.075707506519</v>
      </c>
      <c r="Q24" s="85">
        <f t="shared" ca="1" si="21"/>
        <v>63339.307909380994</v>
      </c>
      <c r="R24" s="86">
        <f t="shared" ca="1" si="22"/>
        <v>2348.2322018744744</v>
      </c>
      <c r="T24" s="76"/>
      <c r="U24" s="251">
        <f t="shared" ca="1" si="23"/>
        <v>2.2964017634841127E-3</v>
      </c>
      <c r="V24" s="79"/>
      <c r="W24" s="79" t="str">
        <f t="shared" ca="1" si="24"/>
        <v>Ok</v>
      </c>
      <c r="X24" s="79"/>
      <c r="Z24" s="79"/>
      <c r="AA24" s="79"/>
      <c r="AB24" s="87"/>
    </row>
    <row r="25" spans="1:28" x14ac:dyDescent="0.25">
      <c r="A25" s="273"/>
      <c r="B25" s="77">
        <v>35</v>
      </c>
      <c r="C25" s="78" t="s">
        <v>78</v>
      </c>
      <c r="D25" s="106">
        <f ca="1">+SUMIF('Vashon Price Out TG220857'!$C$57:$C$90,C25,'Vashon Price Out TG220857'!$AG$57:$AG$82)</f>
        <v>187.2429789894075</v>
      </c>
      <c r="E25" s="80">
        <f>References!$C$7</f>
        <v>4.333333333333333</v>
      </c>
      <c r="F25" s="81">
        <f t="shared" ca="1" si="2"/>
        <v>811.38624228743242</v>
      </c>
      <c r="G25" s="81">
        <f>References!$C$31</f>
        <v>250</v>
      </c>
      <c r="H25" s="81">
        <f t="shared" ca="1" si="25"/>
        <v>202846.56057185811</v>
      </c>
      <c r="I25" s="82">
        <f t="shared" ca="1" si="19"/>
        <v>130521.18236929872</v>
      </c>
      <c r="J25" s="83">
        <f ca="1">I25*References!$D$60</f>
        <v>1033.5652427792979</v>
      </c>
      <c r="K25" s="83">
        <f ca="1">J25/References!$H$65</f>
        <v>1057.4639275417412</v>
      </c>
      <c r="L25" s="83">
        <f t="shared" ca="1" si="20"/>
        <v>1.3032805739478339</v>
      </c>
      <c r="M25" s="83">
        <f>'Proposed Rates'!C$38</f>
        <v>30.367916263430637</v>
      </c>
      <c r="N25" s="83">
        <f t="shared" ca="1" si="9"/>
        <v>31.671196837378471</v>
      </c>
      <c r="O25" s="83">
        <f ca="1">'Proposed Rates'!E$38</f>
        <v>31.667916263430637</v>
      </c>
      <c r="P25" s="83">
        <f t="shared" ca="1" si="26"/>
        <v>24640.109463084391</v>
      </c>
      <c r="Q25" s="85">
        <f t="shared" ca="1" si="21"/>
        <v>25697.57339062613</v>
      </c>
      <c r="R25" s="86">
        <f t="shared" ca="1" si="22"/>
        <v>1057.4639275417394</v>
      </c>
      <c r="T25" s="76"/>
      <c r="U25" s="251">
        <f t="shared" ca="1" si="23"/>
        <v>3.2805739478334317E-3</v>
      </c>
      <c r="V25" s="79"/>
      <c r="W25" s="79" t="str">
        <f t="shared" ca="1" si="24"/>
        <v>Ok</v>
      </c>
      <c r="X25" s="79"/>
      <c r="Z25" s="79"/>
      <c r="AA25" s="79"/>
      <c r="AB25" s="87"/>
    </row>
    <row r="26" spans="1:28" x14ac:dyDescent="0.25">
      <c r="A26" s="273"/>
      <c r="B26" s="77">
        <v>35</v>
      </c>
      <c r="C26" s="78" t="s">
        <v>80</v>
      </c>
      <c r="D26" s="106">
        <f ca="1">+SUMIF('Vashon Price Out TG220857'!$C$57:$C$90,C26,'Vashon Price Out TG220857'!$AG$57:$AG$82)</f>
        <v>23.999567068477262</v>
      </c>
      <c r="E26" s="80">
        <f>References!$C$6</f>
        <v>8.6666666666666661</v>
      </c>
      <c r="F26" s="81">
        <f t="shared" ca="1" si="2"/>
        <v>207.99624792680294</v>
      </c>
      <c r="G26" s="81">
        <f>References!$C$31</f>
        <v>250</v>
      </c>
      <c r="H26" s="81">
        <f t="shared" ca="1" si="25"/>
        <v>51999.061981700732</v>
      </c>
      <c r="I26" s="82">
        <f t="shared" ca="1" si="19"/>
        <v>33458.684400723432</v>
      </c>
      <c r="J26" s="83">
        <f ca="1">I26*References!$D$60</f>
        <v>264.95111856911865</v>
      </c>
      <c r="K26" s="83">
        <f ca="1">J26/References!$H$65</f>
        <v>271.07746937703973</v>
      </c>
      <c r="L26" s="83">
        <f t="shared" ca="1" si="20"/>
        <v>1.3032805739478341</v>
      </c>
      <c r="M26" s="83">
        <f>'Proposed Rates'!C$38</f>
        <v>30.367916263430637</v>
      </c>
      <c r="N26" s="83">
        <f t="shared" ca="1" si="9"/>
        <v>31.671196837378471</v>
      </c>
      <c r="O26" s="83">
        <f ca="1">'Proposed Rates'!E$38</f>
        <v>31.667916263430637</v>
      </c>
      <c r="P26" s="83">
        <f t="shared" ca="1" si="26"/>
        <v>6316.4126401489093</v>
      </c>
      <c r="Q26" s="85">
        <f t="shared" ca="1" si="21"/>
        <v>6587.4901095259493</v>
      </c>
      <c r="R26" s="86">
        <f t="shared" ca="1" si="22"/>
        <v>271.07746937703996</v>
      </c>
      <c r="T26" s="76"/>
      <c r="U26" s="251">
        <f t="shared" ca="1" si="23"/>
        <v>3.2805739478334317E-3</v>
      </c>
      <c r="V26" s="79"/>
      <c r="W26" s="79" t="str">
        <f t="shared" ca="1" si="24"/>
        <v>Ok</v>
      </c>
      <c r="X26" s="79"/>
      <c r="Z26" s="79"/>
      <c r="AA26" s="79"/>
      <c r="AB26" s="87"/>
    </row>
    <row r="27" spans="1:28" x14ac:dyDescent="0.25">
      <c r="A27" s="273"/>
      <c r="B27" s="77">
        <v>35</v>
      </c>
      <c r="C27" s="78" t="s">
        <v>86</v>
      </c>
      <c r="D27" s="106">
        <f ca="1">+SUMIF('Vashon Price Out TG220857'!$C$57:$C$90,C27,'Vashon Price Out TG220857'!$AG$57:$AG$82)</f>
        <v>4</v>
      </c>
      <c r="E27" s="80">
        <v>1</v>
      </c>
      <c r="F27" s="81">
        <f t="shared" ca="1" si="2"/>
        <v>4</v>
      </c>
      <c r="G27" s="81">
        <f>References!$C$31</f>
        <v>250</v>
      </c>
      <c r="H27" s="81">
        <f t="shared" ca="1" si="25"/>
        <v>1000</v>
      </c>
      <c r="I27" s="82">
        <f t="shared" ca="1" si="19"/>
        <v>643.44784551109888</v>
      </c>
      <c r="J27" s="83">
        <f ca="1">I27*References!$D$60</f>
        <v>5.0953057319064516</v>
      </c>
      <c r="K27" s="83">
        <f ca="1">J27/References!$H$65</f>
        <v>5.2131222957913357</v>
      </c>
      <c r="L27" s="83">
        <f t="shared" ca="1" si="20"/>
        <v>1.3032805739478339</v>
      </c>
      <c r="M27" s="83">
        <f>+'Proposed Rates'!C43</f>
        <v>32.726263827502727</v>
      </c>
      <c r="N27" s="83">
        <f t="shared" ca="1" si="9"/>
        <v>34.029544401450558</v>
      </c>
      <c r="O27" s="83">
        <f ca="1">'Proposed Rates'!E$43</f>
        <v>34.029544401450558</v>
      </c>
      <c r="P27" s="83">
        <f t="shared" ref="P27" ca="1" si="35">F27*M27</f>
        <v>130.90505531001091</v>
      </c>
      <c r="Q27" s="85">
        <f t="shared" ref="Q27" ca="1" si="36">F27*N27</f>
        <v>136.11817760580223</v>
      </c>
      <c r="R27" s="86">
        <f t="shared" ref="R27" ca="1" si="37">Q27-P27</f>
        <v>5.2131222957913224</v>
      </c>
      <c r="T27" s="76"/>
      <c r="U27" s="251">
        <f t="shared" ca="1" si="23"/>
        <v>0</v>
      </c>
      <c r="V27" s="79"/>
      <c r="W27" s="79" t="str">
        <f t="shared" ca="1" si="24"/>
        <v>Ok</v>
      </c>
      <c r="X27" s="79"/>
      <c r="Z27" s="79"/>
      <c r="AA27" s="79"/>
      <c r="AB27" s="87"/>
    </row>
    <row r="28" spans="1:28" x14ac:dyDescent="0.25">
      <c r="A28" s="273"/>
      <c r="B28" s="77">
        <v>35</v>
      </c>
      <c r="C28" s="78" t="s">
        <v>96</v>
      </c>
      <c r="D28" s="106">
        <f ca="1">+SUMIF('Vashon Price Out TG220857'!$C$57:$C$90,C28,'Vashon Price Out TG220857'!$AG$57:$AG$82)</f>
        <v>620.11530179322381</v>
      </c>
      <c r="E28" s="80">
        <f>References!$C$7</f>
        <v>4.333333333333333</v>
      </c>
      <c r="F28" s="81">
        <f t="shared" ca="1" si="2"/>
        <v>2687.1663077706362</v>
      </c>
      <c r="G28" s="81">
        <f>References!$C$32</f>
        <v>324</v>
      </c>
      <c r="H28" s="81">
        <f t="shared" ca="1" si="25"/>
        <v>870641.88371768617</v>
      </c>
      <c r="I28" s="82">
        <f t="shared" ca="1" si="19"/>
        <v>560212.64428986982</v>
      </c>
      <c r="J28" s="83">
        <f ca="1">I28*References!$D$60</f>
        <v>4436.1865805445568</v>
      </c>
      <c r="K28" s="83">
        <f ca="1">J28/References!$H$65</f>
        <v>4538.7626156584374</v>
      </c>
      <c r="L28" s="83">
        <f t="shared" ca="1" si="20"/>
        <v>1.6890516238363928</v>
      </c>
      <c r="M28" s="83">
        <f>'Proposed Rates'!C$39</f>
        <v>41.913760024977876</v>
      </c>
      <c r="N28" s="83">
        <f t="shared" ca="1" si="9"/>
        <v>43.602811648814267</v>
      </c>
      <c r="O28" s="83">
        <f ca="1">'Proposed Rates'!E$39</f>
        <v>43.603760024977873</v>
      </c>
      <c r="P28" s="83">
        <f t="shared" ca="1" si="26"/>
        <v>112629.24377110429</v>
      </c>
      <c r="Q28" s="85">
        <f t="shared" ca="1" si="21"/>
        <v>117168.00638676272</v>
      </c>
      <c r="R28" s="86">
        <f t="shared" ca="1" si="22"/>
        <v>4538.7626156584301</v>
      </c>
      <c r="T28" s="76"/>
      <c r="U28" s="251">
        <f t="shared" ca="1" si="23"/>
        <v>-9.4837616360621269E-4</v>
      </c>
      <c r="V28" s="79"/>
      <c r="W28" s="79" t="str">
        <f t="shared" ca="1" si="24"/>
        <v>Ok</v>
      </c>
      <c r="X28" s="79"/>
      <c r="Z28" s="79"/>
      <c r="AA28" s="79"/>
      <c r="AB28" s="87"/>
    </row>
    <row r="29" spans="1:28" x14ac:dyDescent="0.25">
      <c r="A29" s="273"/>
      <c r="B29" s="77">
        <v>35</v>
      </c>
      <c r="C29" s="78" t="s">
        <v>98</v>
      </c>
      <c r="D29" s="106">
        <f ca="1">+SUMIF('Vashon Price Out TG220857'!$C$57:$C$90,C29,'Vashon Price Out TG220857'!$AG$57:$AG$82)</f>
        <v>325.1223944057482</v>
      </c>
      <c r="E29" s="80">
        <f>References!$C$6</f>
        <v>8.6666666666666661</v>
      </c>
      <c r="F29" s="81">
        <f t="shared" ca="1" si="2"/>
        <v>2817.7274181831508</v>
      </c>
      <c r="G29" s="81">
        <f>References!$C$32</f>
        <v>324</v>
      </c>
      <c r="H29" s="81">
        <f t="shared" ca="1" si="25"/>
        <v>912943.68349134084</v>
      </c>
      <c r="I29" s="82">
        <f t="shared" ca="1" si="19"/>
        <v>587431.64621546981</v>
      </c>
      <c r="J29" s="83">
        <f ca="1">I29*References!$D$60</f>
        <v>4651.7271834012181</v>
      </c>
      <c r="K29" s="83">
        <f ca="1">J29/References!$H$65</f>
        <v>4759.2870712105769</v>
      </c>
      <c r="L29" s="83">
        <f t="shared" ca="1" si="20"/>
        <v>1.6890516238363926</v>
      </c>
      <c r="M29" s="83">
        <f>'Proposed Rates'!C$39</f>
        <v>41.913760024977876</v>
      </c>
      <c r="N29" s="83">
        <f t="shared" ca="1" si="9"/>
        <v>43.602811648814267</v>
      </c>
      <c r="O29" s="83">
        <f ca="1">'Proposed Rates'!$E$39</f>
        <v>43.603760024977873</v>
      </c>
      <c r="P29" s="83">
        <f t="shared" ca="1" si="26"/>
        <v>118101.55082152906</v>
      </c>
      <c r="Q29" s="85">
        <f t="shared" ca="1" si="21"/>
        <v>122860.83789273964</v>
      </c>
      <c r="R29" s="86">
        <f t="shared" ca="1" si="22"/>
        <v>4759.2870712105796</v>
      </c>
      <c r="T29" s="76"/>
      <c r="U29" s="251">
        <f t="shared" ca="1" si="23"/>
        <v>-9.4837616360621269E-4</v>
      </c>
      <c r="V29" s="79"/>
      <c r="W29" s="79" t="str">
        <f t="shared" ca="1" si="24"/>
        <v>Ok</v>
      </c>
      <c r="X29" s="79"/>
      <c r="Z29" s="79"/>
      <c r="AA29" s="79"/>
      <c r="AB29" s="87"/>
    </row>
    <row r="30" spans="1:28" x14ac:dyDescent="0.25">
      <c r="A30" s="273"/>
      <c r="B30" s="77">
        <v>35</v>
      </c>
      <c r="C30" s="78" t="s">
        <v>100</v>
      </c>
      <c r="D30" s="106">
        <f ca="1">+SUMIF('Vashon Price Out TG220857'!$C$57:$C$90,C30,'Vashon Price Out TG220857'!$AG$57:$AG$82)</f>
        <v>109.49892245648672</v>
      </c>
      <c r="E30" s="80">
        <f>References!$C$5</f>
        <v>13</v>
      </c>
      <c r="F30" s="81">
        <f t="shared" ca="1" si="2"/>
        <v>1423.4859919343273</v>
      </c>
      <c r="G30" s="81">
        <f>References!$C$32</f>
        <v>324</v>
      </c>
      <c r="H30" s="81">
        <f t="shared" ca="1" si="25"/>
        <v>461209.46138672205</v>
      </c>
      <c r="I30" s="82">
        <f t="shared" ca="1" si="19"/>
        <v>296764.23425862065</v>
      </c>
      <c r="J30" s="83">
        <f ca="1">I30*References!$D$60</f>
        <v>2350.003212213252</v>
      </c>
      <c r="K30" s="83">
        <f ca="1">J30/References!$H$65</f>
        <v>2404.3413261850337</v>
      </c>
      <c r="L30" s="83">
        <f t="shared" ca="1" si="20"/>
        <v>1.6890516238363926</v>
      </c>
      <c r="M30" s="83">
        <f>'Proposed Rates'!C39</f>
        <v>41.913760024977876</v>
      </c>
      <c r="N30" s="83">
        <f t="shared" ca="1" si="9"/>
        <v>43.602811648814267</v>
      </c>
      <c r="O30" s="83">
        <f ca="1">'Proposed Rates'!$E$39</f>
        <v>43.603760024977873</v>
      </c>
      <c r="P30" s="83">
        <f t="shared" ca="1" si="26"/>
        <v>59663.650264852986</v>
      </c>
      <c r="Q30" s="85">
        <f t="shared" ca="1" si="21"/>
        <v>62067.991591038022</v>
      </c>
      <c r="R30" s="86">
        <f t="shared" ca="1" si="22"/>
        <v>2404.3413261850365</v>
      </c>
      <c r="T30" s="76"/>
      <c r="U30" s="251">
        <f t="shared" ca="1" si="23"/>
        <v>-9.4837616360621269E-4</v>
      </c>
      <c r="V30" s="79"/>
      <c r="W30" s="79" t="str">
        <f t="shared" ca="1" si="24"/>
        <v>Ok</v>
      </c>
      <c r="X30" s="79"/>
      <c r="Z30" s="79"/>
      <c r="AA30" s="79"/>
      <c r="AB30" s="87"/>
    </row>
    <row r="31" spans="1:28" x14ac:dyDescent="0.25">
      <c r="A31" s="273"/>
      <c r="B31" s="77">
        <v>35</v>
      </c>
      <c r="C31" s="78" t="s">
        <v>102</v>
      </c>
      <c r="D31" s="106">
        <f ca="1">+SUMIF('Vashon Price Out TG220857'!$C$57:$C$90,C31,'Vashon Price Out TG220857'!$AG$57:$AG$82)</f>
        <v>7.2395741928489912</v>
      </c>
      <c r="E31" s="80">
        <f>References!$C$4</f>
        <v>17.333333333333332</v>
      </c>
      <c r="F31" s="81">
        <f t="shared" ca="1" si="2"/>
        <v>125.48595267604917</v>
      </c>
      <c r="G31" s="81">
        <f>References!$C$32</f>
        <v>324</v>
      </c>
      <c r="H31" s="81">
        <f t="shared" ca="1" si="25"/>
        <v>40657.448667039927</v>
      </c>
      <c r="I31" s="82">
        <f t="shared" ca="1" si="19"/>
        <v>26160.94774878494</v>
      </c>
      <c r="J31" s="83">
        <f ca="1">I31*References!$D$60</f>
        <v>207.16213123786088</v>
      </c>
      <c r="K31" s="83">
        <f ca="1">J31/References!$H$65</f>
        <v>211.95225213613759</v>
      </c>
      <c r="L31" s="83">
        <f t="shared" ca="1" si="20"/>
        <v>1.6890516238363928</v>
      </c>
      <c r="M31" s="83">
        <f>'Proposed Rates'!C39</f>
        <v>41.913760024977876</v>
      </c>
      <c r="N31" s="83">
        <f t="shared" ca="1" si="9"/>
        <v>43.602811648814267</v>
      </c>
      <c r="O31" s="83">
        <f ca="1">'Proposed Rates'!$E$39</f>
        <v>43.603760024977873</v>
      </c>
      <c r="P31" s="83">
        <f t="shared" ca="1" si="26"/>
        <v>5259.5881069696552</v>
      </c>
      <c r="Q31" s="85">
        <f t="shared" ca="1" si="21"/>
        <v>5471.540359105792</v>
      </c>
      <c r="R31" s="86">
        <f t="shared" ca="1" si="22"/>
        <v>211.95225213613685</v>
      </c>
      <c r="T31" s="76"/>
      <c r="U31" s="251">
        <f t="shared" ca="1" si="23"/>
        <v>-9.4837616360621269E-4</v>
      </c>
      <c r="V31" s="79"/>
      <c r="W31" s="79" t="str">
        <f t="shared" ca="1" si="24"/>
        <v>Ok</v>
      </c>
      <c r="X31" s="79"/>
      <c r="Z31" s="79"/>
      <c r="AA31" s="79"/>
      <c r="AB31" s="87"/>
    </row>
    <row r="32" spans="1:28" x14ac:dyDescent="0.25">
      <c r="A32" s="273"/>
      <c r="B32" s="77">
        <v>35</v>
      </c>
      <c r="C32" s="78" t="s">
        <v>94</v>
      </c>
      <c r="D32" s="106">
        <f ca="1">+SUMIF('Vashon Price Out TG220857'!$C$57:$C$90,C32,'Vashon Price Out TG220857'!$AG$57:$AG$82)</f>
        <v>7</v>
      </c>
      <c r="E32" s="80">
        <v>1</v>
      </c>
      <c r="F32" s="81">
        <f t="shared" ca="1" si="2"/>
        <v>7</v>
      </c>
      <c r="G32" s="81">
        <f>References!$C$30</f>
        <v>175</v>
      </c>
      <c r="H32" s="81">
        <f t="shared" ca="1" si="25"/>
        <v>1225</v>
      </c>
      <c r="I32" s="82">
        <f t="shared" ca="1" si="19"/>
        <v>788.2236107510962</v>
      </c>
      <c r="J32" s="83">
        <f ca="1">I32*References!$D$60</f>
        <v>6.2417495215854037</v>
      </c>
      <c r="K32" s="83">
        <f ca="1">J32/References!$H$65</f>
        <v>6.3860748123443862</v>
      </c>
      <c r="L32" s="83">
        <f t="shared" ca="1" si="20"/>
        <v>0.9122964017634837</v>
      </c>
      <c r="M32" s="83">
        <f>'Proposed Rates'!C42</f>
        <v>26.064770234199571</v>
      </c>
      <c r="N32" s="83">
        <f t="shared" ca="1" si="9"/>
        <v>26.977066635963055</v>
      </c>
      <c r="O32" s="83">
        <f ca="1">'Proposed Rates'!E42</f>
        <v>26.974770234199571</v>
      </c>
      <c r="P32" s="83">
        <f t="shared" ca="1" si="26"/>
        <v>182.45339163939701</v>
      </c>
      <c r="Q32" s="85">
        <f t="shared" ca="1" si="21"/>
        <v>188.83946645174137</v>
      </c>
      <c r="R32" s="86">
        <f t="shared" ca="1" si="22"/>
        <v>6.3860748123443614</v>
      </c>
      <c r="T32" s="76"/>
      <c r="U32" s="251">
        <f t="shared" ca="1" si="23"/>
        <v>2.2964017634841127E-3</v>
      </c>
      <c r="V32" s="79"/>
      <c r="W32" s="79" t="str">
        <f t="shared" ca="1" si="24"/>
        <v>Ok</v>
      </c>
      <c r="X32" s="79"/>
      <c r="Z32" s="79"/>
      <c r="AA32" s="79"/>
      <c r="AB32" s="87"/>
    </row>
    <row r="33" spans="1:28" x14ac:dyDescent="0.25">
      <c r="A33" s="273"/>
      <c r="B33" s="77">
        <v>35</v>
      </c>
      <c r="C33" s="78" t="s">
        <v>108</v>
      </c>
      <c r="D33" s="106">
        <f ca="1">+SUMIF('Vashon Price Out TG220857'!$C$57:$C$90,C33,'Vashon Price Out TG220857'!$AG$57:$AG$82)</f>
        <v>25</v>
      </c>
      <c r="E33" s="80">
        <v>1</v>
      </c>
      <c r="F33" s="81">
        <f t="shared" ca="1" si="2"/>
        <v>25</v>
      </c>
      <c r="G33" s="81">
        <f>References!$C$32</f>
        <v>324</v>
      </c>
      <c r="H33" s="81">
        <f t="shared" ca="1" si="25"/>
        <v>8100</v>
      </c>
      <c r="I33" s="82">
        <f t="shared" ca="1" si="19"/>
        <v>5211.927548639901</v>
      </c>
      <c r="J33" s="83">
        <f ca="1">I33*References!$D$60</f>
        <v>41.271976428442258</v>
      </c>
      <c r="K33" s="83">
        <f ca="1">J33/References!$H$65</f>
        <v>42.226290595909816</v>
      </c>
      <c r="L33" s="83">
        <f t="shared" ca="1" si="20"/>
        <v>1.6890516238363926</v>
      </c>
      <c r="M33" s="83">
        <f>'Proposed Rates'!C44</f>
        <v>44.272107589049966</v>
      </c>
      <c r="N33" s="83">
        <f t="shared" ca="1" si="9"/>
        <v>45.961159212886358</v>
      </c>
      <c r="O33" s="83">
        <f ca="1">'Proposed Rates'!E44</f>
        <v>45.962107589049964</v>
      </c>
      <c r="P33" s="83">
        <f t="shared" ca="1" si="26"/>
        <v>1106.8026897262491</v>
      </c>
      <c r="Q33" s="85">
        <f t="shared" ca="1" si="21"/>
        <v>1149.028980322159</v>
      </c>
      <c r="R33" s="86">
        <f t="shared" ca="1" si="22"/>
        <v>42.226290595909859</v>
      </c>
      <c r="T33" s="76"/>
      <c r="U33" s="251">
        <f t="shared" ca="1" si="23"/>
        <v>-9.4837616360621269E-4</v>
      </c>
      <c r="V33" s="79"/>
      <c r="W33" s="79" t="str">
        <f t="shared" ca="1" si="24"/>
        <v>Ok</v>
      </c>
      <c r="X33" s="79"/>
      <c r="Z33" s="79"/>
      <c r="AA33" s="79"/>
      <c r="AB33" s="87"/>
    </row>
    <row r="34" spans="1:28" x14ac:dyDescent="0.25">
      <c r="A34" s="273"/>
      <c r="B34" s="77">
        <v>35</v>
      </c>
      <c r="C34" s="78" t="s">
        <v>350</v>
      </c>
      <c r="D34" s="240">
        <f ca="1">+SUMIF('Vashon Price Out TG220857'!$C$57:$C$90,C34,'Vashon Price Out TG220857'!$AG$57:$AG$82)+'Vashon Price Out TG220857'!AG77</f>
        <v>10.99743458183684</v>
      </c>
      <c r="E34" s="80">
        <f>References!$C$10</f>
        <v>1</v>
      </c>
      <c r="F34" s="81">
        <f t="shared" ca="1" si="2"/>
        <v>10.99743458183684</v>
      </c>
      <c r="G34" s="81">
        <f>References!$C$30</f>
        <v>175</v>
      </c>
      <c r="H34" s="81">
        <f t="shared" ca="1" si="25"/>
        <v>1924.5510518214471</v>
      </c>
      <c r="I34" s="82">
        <f t="shared" ca="1" si="19"/>
        <v>1238.3482278706294</v>
      </c>
      <c r="J34" s="83">
        <f ca="1">I34*References!$D$60</f>
        <v>9.8061760056924108</v>
      </c>
      <c r="K34" s="83">
        <f ca="1">J34/References!$H$65</f>
        <v>10.032919997639054</v>
      </c>
      <c r="L34" s="83">
        <f t="shared" ca="1" si="20"/>
        <v>0.91229640176348392</v>
      </c>
      <c r="M34" s="83">
        <f>'Proposed Rates'!C37</f>
        <v>23.695245667454156</v>
      </c>
      <c r="N34" s="83">
        <f t="shared" ca="1" si="9"/>
        <v>24.60754206921764</v>
      </c>
      <c r="O34" s="83">
        <f ca="1">'Proposed Rates'!E37</f>
        <v>24.605245667454156</v>
      </c>
      <c r="P34" s="83">
        <f t="shared" ca="1" si="26"/>
        <v>260.58691412837987</v>
      </c>
      <c r="Q34" s="85">
        <f t="shared" ca="1" si="21"/>
        <v>270.61983412601893</v>
      </c>
      <c r="R34" s="86">
        <f t="shared" ca="1" si="22"/>
        <v>10.032919997639056</v>
      </c>
      <c r="T34" s="76"/>
      <c r="U34" s="251">
        <f t="shared" ca="1" si="23"/>
        <v>2.2964017634841127E-3</v>
      </c>
      <c r="V34" s="79"/>
      <c r="W34" s="79" t="str">
        <f t="shared" ca="1" si="24"/>
        <v>Ok</v>
      </c>
      <c r="X34" s="79"/>
      <c r="Z34" s="79"/>
      <c r="AA34" s="79"/>
      <c r="AB34" s="87"/>
    </row>
    <row r="35" spans="1:28" x14ac:dyDescent="0.25">
      <c r="A35" s="273"/>
      <c r="B35" s="77">
        <v>35</v>
      </c>
      <c r="C35" s="78" t="s">
        <v>84</v>
      </c>
      <c r="D35" s="106">
        <f ca="1">+SUMIF('Vashon Price Out TG220857'!$C$57:$C$90,C35,'Vashon Price Out TG220857'!$AG$57:$AG$82)</f>
        <v>1</v>
      </c>
      <c r="E35" s="80">
        <f>References!$C$10</f>
        <v>1</v>
      </c>
      <c r="F35" s="81">
        <f t="shared" ca="1" si="2"/>
        <v>1</v>
      </c>
      <c r="G35" s="81">
        <f>References!$C$31</f>
        <v>250</v>
      </c>
      <c r="H35" s="81">
        <f t="shared" ca="1" si="25"/>
        <v>250</v>
      </c>
      <c r="I35" s="82">
        <f t="shared" ca="1" si="19"/>
        <v>160.86196137777472</v>
      </c>
      <c r="J35" s="83">
        <f ca="1">I35*References!$D$60</f>
        <v>1.2738264329766129</v>
      </c>
      <c r="K35" s="83">
        <f ca="1">J35/References!$H$65</f>
        <v>1.3032805739478339</v>
      </c>
      <c r="L35" s="83">
        <f t="shared" ca="1" si="20"/>
        <v>1.3032805739478339</v>
      </c>
      <c r="M35" s="83">
        <f>'Proposed Rates'!C38</f>
        <v>30.367916263430637</v>
      </c>
      <c r="N35" s="83">
        <f t="shared" ca="1" si="9"/>
        <v>31.671196837378471</v>
      </c>
      <c r="O35" s="83">
        <f ca="1">'Proposed Rates'!E38</f>
        <v>31.667916263430637</v>
      </c>
      <c r="P35" s="83">
        <f t="shared" ca="1" si="26"/>
        <v>30.367916263430637</v>
      </c>
      <c r="Q35" s="85">
        <f t="shared" ca="1" si="21"/>
        <v>31.671196837378471</v>
      </c>
      <c r="R35" s="86">
        <f t="shared" ca="1" si="22"/>
        <v>1.3032805739478341</v>
      </c>
      <c r="T35" s="76"/>
      <c r="U35" s="251">
        <f t="shared" ca="1" si="23"/>
        <v>3.2805739478334317E-3</v>
      </c>
      <c r="V35" s="79"/>
      <c r="W35" s="79" t="str">
        <f t="shared" ca="1" si="24"/>
        <v>Ok</v>
      </c>
      <c r="X35" s="79"/>
      <c r="Z35" s="79"/>
      <c r="AA35" s="79"/>
      <c r="AB35" s="87"/>
    </row>
    <row r="36" spans="1:28" x14ac:dyDescent="0.25">
      <c r="A36" s="273"/>
      <c r="B36" s="77">
        <v>35</v>
      </c>
      <c r="C36" s="78" t="s">
        <v>106</v>
      </c>
      <c r="D36" s="106">
        <f ca="1">+SUMIF('Vashon Price Out TG220857'!$C$57:$C$90,C36,'Vashon Price Out TG220857'!$AG$57:$AG$82)</f>
        <v>7</v>
      </c>
      <c r="E36" s="80">
        <f>References!$C$10</f>
        <v>1</v>
      </c>
      <c r="F36" s="81">
        <f t="shared" ca="1" si="2"/>
        <v>7</v>
      </c>
      <c r="G36" s="81">
        <f>References!$C$32</f>
        <v>324</v>
      </c>
      <c r="H36" s="81">
        <f t="shared" ca="1" si="25"/>
        <v>2268</v>
      </c>
      <c r="I36" s="82">
        <f t="shared" ca="1" si="19"/>
        <v>1459.3397136191722</v>
      </c>
      <c r="J36" s="83">
        <f ca="1">I36*References!$D$60</f>
        <v>11.556153399963833</v>
      </c>
      <c r="K36" s="83">
        <f ca="1">J36/References!$H$65</f>
        <v>11.823361366854749</v>
      </c>
      <c r="L36" s="83">
        <f t="shared" ca="1" si="20"/>
        <v>1.6890516238363928</v>
      </c>
      <c r="M36" s="83">
        <f>'Proposed Rates'!C39</f>
        <v>41.913760024977876</v>
      </c>
      <c r="N36" s="83">
        <f t="shared" ca="1" si="9"/>
        <v>43.602811648814267</v>
      </c>
      <c r="O36" s="83">
        <f ca="1">'Proposed Rates'!E39</f>
        <v>43.603760024977873</v>
      </c>
      <c r="P36" s="83">
        <f t="shared" ca="1" si="26"/>
        <v>293.39632017484513</v>
      </c>
      <c r="Q36" s="85">
        <f t="shared" ca="1" si="21"/>
        <v>305.21968154169986</v>
      </c>
      <c r="R36" s="86">
        <f t="shared" ca="1" si="22"/>
        <v>11.823361366854726</v>
      </c>
      <c r="T36" s="76"/>
      <c r="U36" s="251">
        <f t="shared" ca="1" si="23"/>
        <v>-9.4837616360621269E-4</v>
      </c>
      <c r="V36" s="79"/>
      <c r="W36" s="79" t="str">
        <f t="shared" ca="1" si="24"/>
        <v>Ok</v>
      </c>
      <c r="X36" s="79"/>
      <c r="Z36" s="79"/>
      <c r="AA36" s="79"/>
      <c r="AB36" s="87"/>
    </row>
    <row r="37" spans="1:28" x14ac:dyDescent="0.25">
      <c r="A37" s="273"/>
      <c r="B37" s="166">
        <v>35</v>
      </c>
      <c r="C37" s="78" t="s">
        <v>90</v>
      </c>
      <c r="D37" s="106">
        <f ca="1">+SUMIF('Vashon Price Out TG220857'!$C$57:$C$90,C37,'Vashon Price Out TG220857'!$AG$57:$AG$82)</f>
        <v>572.45896521894929</v>
      </c>
      <c r="E37" s="80">
        <f>References!$C$8</f>
        <v>2.1666666666666665</v>
      </c>
      <c r="F37" s="81">
        <f t="shared" ca="1" si="2"/>
        <v>1240.3277579743901</v>
      </c>
      <c r="G37" s="81">
        <f>References!$C$30</f>
        <v>175</v>
      </c>
      <c r="H37" s="81">
        <f t="shared" ca="1" si="25"/>
        <v>217057.35764551826</v>
      </c>
      <c r="I37" s="82">
        <f t="shared" ca="1" si="19"/>
        <v>139665.08912934078</v>
      </c>
      <c r="J37" s="83">
        <f ca="1">I37*References!$D$60</f>
        <v>1105.973598563678</v>
      </c>
      <c r="K37" s="83">
        <f ca="1">J37/References!$H$65</f>
        <v>1131.5465506074054</v>
      </c>
      <c r="L37" s="83">
        <f t="shared" ca="1" si="20"/>
        <v>0.91229640176348381</v>
      </c>
      <c r="M37" s="83">
        <f>+'Proposed Rates'!C$37</f>
        <v>23.695245667454156</v>
      </c>
      <c r="N37" s="83">
        <f t="shared" ca="1" si="9"/>
        <v>24.60754206921764</v>
      </c>
      <c r="O37" s="83">
        <f ca="1">+'Proposed Rates'!E$37</f>
        <v>24.605245667454156</v>
      </c>
      <c r="P37" s="83">
        <f t="shared" ca="1" si="26"/>
        <v>29389.870933365793</v>
      </c>
      <c r="Q37" s="85">
        <f t="shared" ca="1" si="21"/>
        <v>30521.4174839732</v>
      </c>
      <c r="R37" s="86">
        <f t="shared" ca="1" si="22"/>
        <v>1131.546550607407</v>
      </c>
      <c r="T37" s="76"/>
      <c r="U37" s="251">
        <f t="shared" ca="1" si="23"/>
        <v>2.2964017634841127E-3</v>
      </c>
      <c r="V37" s="79"/>
      <c r="W37" s="79" t="str">
        <f t="shared" ca="1" si="24"/>
        <v>Ok</v>
      </c>
      <c r="X37" s="79"/>
      <c r="Z37" s="79"/>
      <c r="AA37" s="79"/>
      <c r="AB37" s="87"/>
    </row>
    <row r="38" spans="1:28" x14ac:dyDescent="0.25">
      <c r="A38" s="273"/>
      <c r="B38" s="166">
        <v>35</v>
      </c>
      <c r="C38" s="78" t="s">
        <v>82</v>
      </c>
      <c r="D38" s="106">
        <f ca="1">+SUMIF('Vashon Price Out TG220857'!$C$57:$C$90,C38,'Vashon Price Out TG220857'!$AG$57:$AG$82)</f>
        <v>41.747144980868413</v>
      </c>
      <c r="E38" s="80">
        <f>References!$C$8</f>
        <v>2.1666666666666665</v>
      </c>
      <c r="F38" s="81">
        <f t="shared" ca="1" si="2"/>
        <v>90.452147458548225</v>
      </c>
      <c r="G38" s="81">
        <f>References!$C$31</f>
        <v>250</v>
      </c>
      <c r="H38" s="81">
        <f t="shared" ca="1" si="25"/>
        <v>22613.036864637055</v>
      </c>
      <c r="I38" s="82">
        <f t="shared" ca="1" si="19"/>
        <v>14550.309851013768</v>
      </c>
      <c r="J38" s="83">
        <f ca="1">I38*References!$D$60</f>
        <v>115.22033635219709</v>
      </c>
      <c r="K38" s="83">
        <f ca="1">J38/References!$H$65</f>
        <v>117.88452665459084</v>
      </c>
      <c r="L38" s="83">
        <f t="shared" ca="1" si="20"/>
        <v>1.3032805739478339</v>
      </c>
      <c r="M38" s="83">
        <f>'Proposed Rates'!C$38</f>
        <v>30.367916263430637</v>
      </c>
      <c r="N38" s="83">
        <f t="shared" ca="1" si="9"/>
        <v>31.671196837378471</v>
      </c>
      <c r="O38" s="83">
        <f ca="1">'Proposed Rates'!E$38</f>
        <v>31.667916263430637</v>
      </c>
      <c r="P38" s="83">
        <f t="shared" ca="1" si="26"/>
        <v>2746.8432398686728</v>
      </c>
      <c r="Q38" s="85">
        <f t="shared" ca="1" si="21"/>
        <v>2864.7277665232637</v>
      </c>
      <c r="R38" s="86">
        <f t="shared" ca="1" si="22"/>
        <v>117.8845266545909</v>
      </c>
      <c r="T38" s="76"/>
      <c r="U38" s="251">
        <f t="shared" ca="1" si="23"/>
        <v>3.2805739478334317E-3</v>
      </c>
      <c r="V38" s="79"/>
      <c r="W38" s="79" t="str">
        <f t="shared" ca="1" si="24"/>
        <v>Ok</v>
      </c>
      <c r="X38" s="79"/>
      <c r="Z38" s="79"/>
      <c r="AA38" s="79"/>
      <c r="AB38" s="87"/>
    </row>
    <row r="39" spans="1:28" x14ac:dyDescent="0.25">
      <c r="A39" s="274"/>
      <c r="B39" s="166">
        <v>35</v>
      </c>
      <c r="C39" s="78" t="s">
        <v>104</v>
      </c>
      <c r="D39" s="106">
        <f ca="1">+SUMIF('Vashon Price Out TG220857'!$C$57:$C$90,C39,'Vashon Price Out TG220857'!$AG$57:$AG$82)</f>
        <v>198.73289052071388</v>
      </c>
      <c r="E39" s="80">
        <f>References!$C$8</f>
        <v>2.1666666666666665</v>
      </c>
      <c r="F39" s="81">
        <f t="shared" ca="1" si="2"/>
        <v>430.58792946154671</v>
      </c>
      <c r="G39" s="81">
        <f>[50]References!$C$30</f>
        <v>324</v>
      </c>
      <c r="H39" s="81">
        <f t="shared" ca="1" si="25"/>
        <v>139510.48914554113</v>
      </c>
      <c r="I39" s="82">
        <f t="shared" ca="1" si="19"/>
        <v>89767.723666897989</v>
      </c>
      <c r="J39" s="83">
        <f ca="1">I39*References!$D$60</f>
        <v>710.84859500434857</v>
      </c>
      <c r="K39" s="83">
        <f ca="1">J39/References!$H$65</f>
        <v>727.28524146137568</v>
      </c>
      <c r="L39" s="83">
        <f t="shared" ca="1" si="20"/>
        <v>1.6890516238363928</v>
      </c>
      <c r="M39" s="83">
        <f>'Proposed Rates'!C$39</f>
        <v>41.913760024977876</v>
      </c>
      <c r="N39" s="83">
        <f t="shared" ca="1" si="9"/>
        <v>43.602811648814267</v>
      </c>
      <c r="O39" s="83">
        <f ca="1">'Proposed Rates'!E$39</f>
        <v>43.603760024977873</v>
      </c>
      <c r="P39" s="83">
        <f t="shared" ca="1" si="26"/>
        <v>18047.559145103369</v>
      </c>
      <c r="Q39" s="85">
        <f t="shared" ca="1" si="21"/>
        <v>18774.844386564746</v>
      </c>
      <c r="R39" s="86">
        <f t="shared" ca="1" si="22"/>
        <v>727.28524146137715</v>
      </c>
      <c r="T39" s="76"/>
      <c r="U39" s="251">
        <f t="shared" ca="1" si="23"/>
        <v>-9.4837616360621269E-4</v>
      </c>
      <c r="V39" s="79"/>
      <c r="W39" s="79" t="str">
        <f t="shared" ca="1" si="24"/>
        <v>Ok</v>
      </c>
      <c r="X39" s="79"/>
      <c r="Z39" s="79"/>
      <c r="AA39" s="79"/>
      <c r="AB39" s="87"/>
    </row>
    <row r="40" spans="1:28" x14ac:dyDescent="0.25">
      <c r="A40" s="108"/>
      <c r="B40" s="109"/>
      <c r="C40" s="89" t="s">
        <v>251</v>
      </c>
      <c r="D40" s="110">
        <f ca="1">SUM(D16:D39)</f>
        <v>4229.3775203567147</v>
      </c>
      <c r="E40" s="111"/>
      <c r="F40" s="110">
        <f ca="1">SUM(F16:F39)</f>
        <v>15307.598778227057</v>
      </c>
      <c r="G40" s="111"/>
      <c r="H40" s="110">
        <f ca="1">SUM(H16:H39)</f>
        <v>3467457.1111436826</v>
      </c>
      <c r="I40" s="110">
        <f ca="1">SUM(I16:I39)</f>
        <v>2231127.807567541</v>
      </c>
      <c r="J40" s="93">
        <f ca="1">SUM(J16:J39)</f>
        <v>17667.754093550197</v>
      </c>
      <c r="K40" s="93">
        <f ca="1">SUM(K16:K39)</f>
        <v>18076.27797580335</v>
      </c>
      <c r="L40" s="94"/>
      <c r="M40" s="94"/>
      <c r="N40" s="94"/>
      <c r="O40" s="94"/>
      <c r="P40" s="93">
        <f ca="1">SUM(P16:P39)</f>
        <v>452895.17216335307</v>
      </c>
      <c r="Q40" s="93">
        <f ca="1">SUM(Q16:Q39)</f>
        <v>470971.45013915648</v>
      </c>
      <c r="R40" s="93">
        <f ca="1">SUM(R16:R39)</f>
        <v>18076.277975803347</v>
      </c>
      <c r="T40" s="169">
        <f ca="1">R40/P40</f>
        <v>3.9912719514005948E-2</v>
      </c>
      <c r="U40" s="264"/>
      <c r="V40" s="96"/>
      <c r="W40" s="96"/>
      <c r="X40" s="96"/>
      <c r="Y40" s="96"/>
      <c r="Z40" s="96"/>
      <c r="AB40" s="87"/>
    </row>
    <row r="41" spans="1:28" x14ac:dyDescent="0.25">
      <c r="D41" s="113">
        <f ca="1">+'Vashon Price Out TG220857'!AG93-'DF Calculation'!D40</f>
        <v>0</v>
      </c>
      <c r="E41" s="79"/>
      <c r="H41" s="79"/>
      <c r="J41" s="115"/>
      <c r="K41" s="116"/>
      <c r="M41" s="116"/>
      <c r="T41" s="79"/>
      <c r="V41" s="79"/>
      <c r="W41" s="79"/>
      <c r="X41" s="79"/>
      <c r="AB41" s="97"/>
    </row>
    <row r="42" spans="1:28" x14ac:dyDescent="0.25">
      <c r="A42" s="108"/>
      <c r="B42" s="109"/>
      <c r="C42" s="89" t="s">
        <v>252</v>
      </c>
      <c r="D42" s="110">
        <f ca="1">D14+D40</f>
        <v>50015.525578864028</v>
      </c>
      <c r="E42" s="111"/>
      <c r="F42" s="110">
        <f ca="1">F14+F40</f>
        <v>146392.86855842383</v>
      </c>
      <c r="G42" s="111"/>
      <c r="H42" s="110">
        <f ca="1">H14+H40</f>
        <v>8100670.5707847532</v>
      </c>
      <c r="I42" s="110">
        <f ca="1">I14+I40</f>
        <v>5212359.0259666126</v>
      </c>
      <c r="J42" s="93">
        <f ca="1">J14+J40</f>
        <v>41275.393191605472</v>
      </c>
      <c r="K42" s="93">
        <f ca="1">K14+K40</f>
        <v>42229.786363418731</v>
      </c>
      <c r="L42" s="94"/>
      <c r="M42" s="94"/>
      <c r="N42" s="94"/>
      <c r="O42" s="94"/>
      <c r="P42" s="93">
        <f ca="1">P14+P40</f>
        <v>1176400.5413678107</v>
      </c>
      <c r="Q42" s="93">
        <f ca="1">Q14+Q40</f>
        <v>1218630.3277312294</v>
      </c>
      <c r="R42" s="93">
        <f ca="1">R14+R40</f>
        <v>42229.786363418723</v>
      </c>
      <c r="T42" s="117"/>
      <c r="V42" s="79"/>
      <c r="W42" s="79"/>
      <c r="X42" s="79"/>
      <c r="AB42" s="87"/>
    </row>
    <row r="43" spans="1:28" x14ac:dyDescent="0.25">
      <c r="C43" s="118"/>
      <c r="D43" s="113"/>
      <c r="F43" s="100"/>
      <c r="H43" s="100"/>
      <c r="I43" s="100"/>
      <c r="J43" s="100"/>
      <c r="K43" s="100"/>
      <c r="P43" s="100"/>
      <c r="Q43" s="100"/>
      <c r="R43" s="100"/>
      <c r="T43" s="79"/>
      <c r="V43" s="79"/>
      <c r="W43" s="79"/>
      <c r="X43" s="79"/>
      <c r="AB43" s="87"/>
    </row>
    <row r="44" spans="1:28" x14ac:dyDescent="0.25">
      <c r="C44" s="118"/>
      <c r="D44" s="113"/>
      <c r="F44" s="100"/>
      <c r="H44" s="100"/>
      <c r="I44" s="100"/>
      <c r="J44" s="100"/>
      <c r="K44" s="100"/>
      <c r="P44" s="100"/>
      <c r="Q44" s="100"/>
      <c r="R44" s="100"/>
      <c r="T44" s="79"/>
      <c r="V44" s="79"/>
      <c r="W44" s="79"/>
      <c r="X44" s="79"/>
      <c r="AB44" s="87"/>
    </row>
    <row r="45" spans="1:28" x14ac:dyDescent="0.25">
      <c r="A45" s="119"/>
      <c r="B45" s="120"/>
      <c r="C45" s="121" t="s">
        <v>253</v>
      </c>
      <c r="D45" s="122"/>
      <c r="E45" s="119"/>
      <c r="F45" s="119"/>
      <c r="G45" s="119"/>
      <c r="H45" s="119"/>
      <c r="I45" s="123"/>
      <c r="J45" s="124"/>
      <c r="K45" s="119"/>
      <c r="L45" s="119"/>
      <c r="M45" s="119"/>
      <c r="N45" s="119"/>
      <c r="O45" s="119"/>
      <c r="P45" s="125"/>
      <c r="Q45" s="245" t="s">
        <v>409</v>
      </c>
      <c r="R45" s="181">
        <f>+'Vashon Disposal TG220857'!C24</f>
        <v>179.60076491706678</v>
      </c>
      <c r="T45" s="126"/>
      <c r="V45" s="97"/>
      <c r="W45" s="79"/>
      <c r="X45" s="79"/>
      <c r="Y45" s="97"/>
      <c r="Z45" s="97"/>
      <c r="AB45" s="87"/>
    </row>
    <row r="46" spans="1:28" x14ac:dyDescent="0.25">
      <c r="A46" s="273"/>
      <c r="B46" s="77">
        <v>28</v>
      </c>
      <c r="C46" s="78" t="s">
        <v>254</v>
      </c>
      <c r="D46" s="106">
        <v>0</v>
      </c>
      <c r="E46" s="80">
        <v>1</v>
      </c>
      <c r="F46" s="81">
        <v>12</v>
      </c>
      <c r="G46" s="81">
        <f>References!$C$29</f>
        <v>125</v>
      </c>
      <c r="H46" s="81">
        <f t="shared" ref="H46:H53" si="38">F46*G46</f>
        <v>1500</v>
      </c>
      <c r="I46" s="82">
        <f t="shared" ref="I46:I51" ca="1" si="39">$D$64*H46</f>
        <v>965.17176826664831</v>
      </c>
      <c r="J46" s="83">
        <f ca="1">I46*References!$D$60</f>
        <v>7.6429585978596775</v>
      </c>
      <c r="K46" s="83">
        <f ca="1">J46/References!$H$65</f>
        <v>7.8196834436870031</v>
      </c>
      <c r="L46" s="83">
        <f t="shared" ref="L46:L53" ca="1" si="40">K46/F46</f>
        <v>0.65164028697391696</v>
      </c>
      <c r="M46" s="83">
        <f>'Proposed Rates'!C22</f>
        <v>18.88</v>
      </c>
      <c r="N46" s="83">
        <f t="shared" ref="N46:N53" ca="1" si="41">L46+M46</f>
        <v>19.531640286973914</v>
      </c>
      <c r="O46" s="83">
        <f ca="1">'Proposed Rates'!E22</f>
        <v>19.529999999999998</v>
      </c>
      <c r="P46" s="127"/>
      <c r="Q46" s="179" t="s">
        <v>312</v>
      </c>
      <c r="R46" s="180">
        <f>References!C60</f>
        <v>15.837509651956907</v>
      </c>
      <c r="T46" s="76"/>
      <c r="V46" s="79"/>
      <c r="W46" s="79"/>
      <c r="X46" s="79"/>
      <c r="AB46" s="87"/>
    </row>
    <row r="47" spans="1:28" x14ac:dyDescent="0.25">
      <c r="A47" s="273"/>
      <c r="B47" s="77">
        <v>28</v>
      </c>
      <c r="C47" s="78" t="s">
        <v>304</v>
      </c>
      <c r="D47" s="106">
        <v>0</v>
      </c>
      <c r="E47" s="80">
        <v>1</v>
      </c>
      <c r="F47" s="81">
        <v>12</v>
      </c>
      <c r="G47" s="81">
        <f>References!$C$29</f>
        <v>125</v>
      </c>
      <c r="H47" s="81">
        <f t="shared" ref="H47" si="42">F47*G47</f>
        <v>1500</v>
      </c>
      <c r="I47" s="82">
        <f t="shared" ca="1" si="39"/>
        <v>965.17176826664831</v>
      </c>
      <c r="J47" s="83">
        <f ca="1">I47*References!$D$60</f>
        <v>7.6429585978596775</v>
      </c>
      <c r="K47" s="83">
        <f ca="1">J47/References!$H$65</f>
        <v>7.8196834436870031</v>
      </c>
      <c r="L47" s="83">
        <f t="shared" ref="L47" ca="1" si="43">K47/F47</f>
        <v>0.65164028697391696</v>
      </c>
      <c r="M47" s="83">
        <f>+'Proposed Rates'!C26</f>
        <v>21.06</v>
      </c>
      <c r="N47" s="83">
        <f t="shared" ref="N47" ca="1" si="44">L47+M47</f>
        <v>21.711640286973914</v>
      </c>
      <c r="O47" s="83">
        <f ca="1">+'Proposed Rates'!E26</f>
        <v>21.709999999999997</v>
      </c>
      <c r="P47" s="127"/>
      <c r="Q47" s="178" t="s">
        <v>313</v>
      </c>
      <c r="R47" s="182">
        <f>R45*R46</f>
        <v>2844.4288478728886</v>
      </c>
      <c r="T47" s="76"/>
      <c r="V47" s="79"/>
      <c r="W47" s="79"/>
      <c r="X47" s="79"/>
      <c r="AB47" s="87"/>
    </row>
    <row r="48" spans="1:28" x14ac:dyDescent="0.25">
      <c r="A48" s="273"/>
      <c r="B48" s="77">
        <v>28</v>
      </c>
      <c r="C48" s="78" t="s">
        <v>305</v>
      </c>
      <c r="D48" s="106">
        <v>0</v>
      </c>
      <c r="E48" s="80">
        <v>1</v>
      </c>
      <c r="F48" s="81">
        <v>12</v>
      </c>
      <c r="G48" s="81">
        <f>References!$C$29</f>
        <v>125</v>
      </c>
      <c r="H48" s="81">
        <f t="shared" ref="H48" si="45">F48*G48</f>
        <v>1500</v>
      </c>
      <c r="I48" s="82">
        <f t="shared" ca="1" si="39"/>
        <v>965.17176826664831</v>
      </c>
      <c r="J48" s="83">
        <f ca="1">I48*References!$D$60</f>
        <v>7.6429585978596775</v>
      </c>
      <c r="K48" s="83">
        <f ca="1">J48/References!$H$65</f>
        <v>7.8196834436870031</v>
      </c>
      <c r="L48" s="83">
        <f t="shared" ref="L48" ca="1" si="46">K48/F48</f>
        <v>0.65164028697391696</v>
      </c>
      <c r="M48" s="83">
        <f>+'Proposed Rates'!C24</f>
        <v>18.88</v>
      </c>
      <c r="N48" s="83">
        <f t="shared" ref="N48" ca="1" si="47">L48+M48</f>
        <v>19.531640286973914</v>
      </c>
      <c r="O48" s="83">
        <f ca="1">+'Proposed Rates'!E24</f>
        <v>19.529999999999998</v>
      </c>
      <c r="P48" s="127"/>
      <c r="Q48" s="130"/>
      <c r="R48" s="129"/>
      <c r="T48" s="76"/>
      <c r="V48" s="79"/>
      <c r="W48" s="79"/>
      <c r="X48" s="79"/>
      <c r="AB48" s="87"/>
    </row>
    <row r="49" spans="1:28" x14ac:dyDescent="0.25">
      <c r="A49" s="273"/>
      <c r="B49" s="77">
        <v>32</v>
      </c>
      <c r="C49" s="78" t="s">
        <v>306</v>
      </c>
      <c r="D49" s="106">
        <v>0</v>
      </c>
      <c r="E49" s="80">
        <v>1</v>
      </c>
      <c r="F49" s="81">
        <v>12</v>
      </c>
      <c r="G49" s="81">
        <f>References!$C$29</f>
        <v>125</v>
      </c>
      <c r="H49" s="81">
        <f t="shared" ref="H49" si="48">F49*G49</f>
        <v>1500</v>
      </c>
      <c r="I49" s="82">
        <f t="shared" ca="1" si="39"/>
        <v>965.17176826664831</v>
      </c>
      <c r="J49" s="83">
        <f ca="1">I49*References!$D$60</f>
        <v>7.6429585978596775</v>
      </c>
      <c r="K49" s="83">
        <f ca="1">J49/References!$H$65</f>
        <v>7.8196834436870031</v>
      </c>
      <c r="L49" s="83">
        <f t="shared" ref="L49" ca="1" si="49">K49/F49</f>
        <v>0.65164028697391696</v>
      </c>
      <c r="M49" s="83">
        <f>+'Proposed Rates'!C30</f>
        <v>22.75</v>
      </c>
      <c r="N49" s="83">
        <f t="shared" ref="N49" ca="1" si="50">L49+M49</f>
        <v>23.401640286973915</v>
      </c>
      <c r="O49" s="83">
        <f ca="1">+'Proposed Rates'!E30</f>
        <v>23.4</v>
      </c>
      <c r="P49" s="127"/>
      <c r="Q49" s="130"/>
      <c r="R49" s="129"/>
      <c r="T49" s="76"/>
      <c r="V49" s="79"/>
      <c r="W49" s="79"/>
      <c r="X49" s="79"/>
      <c r="AB49" s="87"/>
    </row>
    <row r="50" spans="1:28" x14ac:dyDescent="0.25">
      <c r="A50" s="273"/>
      <c r="B50" s="77">
        <v>36</v>
      </c>
      <c r="C50" s="78" t="s">
        <v>250</v>
      </c>
      <c r="D50" s="79">
        <v>0</v>
      </c>
      <c r="E50" s="80">
        <f>References!$C$7</f>
        <v>4.333333333333333</v>
      </c>
      <c r="F50" s="81">
        <v>12</v>
      </c>
      <c r="G50" s="81">
        <f>References!$C$28</f>
        <v>29</v>
      </c>
      <c r="H50" s="81">
        <f>F50*G50</f>
        <v>348</v>
      </c>
      <c r="I50" s="82">
        <f t="shared" ca="1" si="39"/>
        <v>223.91985023786242</v>
      </c>
      <c r="J50" s="83">
        <f ca="1">I50*References!$D$60</f>
        <v>1.7731663947034453</v>
      </c>
      <c r="K50" s="83">
        <f ca="1">J50/References!$H$65</f>
        <v>1.8141665589353848</v>
      </c>
      <c r="L50" s="83">
        <f ca="1">K50/F50*E50</f>
        <v>0.6551157018377779</v>
      </c>
      <c r="M50" s="83">
        <f>'Proposed Rates'!C49</f>
        <v>18.788541493863413</v>
      </c>
      <c r="N50" s="83">
        <f ca="1">L50+M50</f>
        <v>19.443657195701192</v>
      </c>
      <c r="O50" s="83">
        <f ca="1">'Proposed Rates'!E49</f>
        <v>19.448541493863413</v>
      </c>
      <c r="P50" s="127"/>
      <c r="Q50" s="129"/>
      <c r="R50" s="129"/>
      <c r="T50" s="79"/>
      <c r="V50" s="79"/>
      <c r="W50" s="79"/>
      <c r="X50" s="79"/>
      <c r="AB50" s="87"/>
    </row>
    <row r="51" spans="1:28" x14ac:dyDescent="0.25">
      <c r="A51" s="273"/>
      <c r="B51" s="77">
        <v>36</v>
      </c>
      <c r="C51" s="78" t="s">
        <v>307</v>
      </c>
      <c r="D51" s="79">
        <v>0</v>
      </c>
      <c r="E51" s="80">
        <f>References!$C$10</f>
        <v>1</v>
      </c>
      <c r="F51" s="81">
        <v>12</v>
      </c>
      <c r="G51" s="81">
        <f>References!$C$28</f>
        <v>29</v>
      </c>
      <c r="H51" s="81">
        <f>F51*G51</f>
        <v>348</v>
      </c>
      <c r="I51" s="82">
        <f t="shared" ca="1" si="39"/>
        <v>223.91985023786242</v>
      </c>
      <c r="J51" s="83">
        <f ca="1">I51*References!$D$60</f>
        <v>1.7731663947034453</v>
      </c>
      <c r="K51" s="83">
        <f ca="1">J51/References!$H$65</f>
        <v>1.8141665589353848</v>
      </c>
      <c r="L51" s="83">
        <f ca="1">K51/F51*E51</f>
        <v>0.15118054657794874</v>
      </c>
      <c r="M51" s="83">
        <f>+'Proposed Rates'!C48</f>
        <v>7.5444768044960178</v>
      </c>
      <c r="N51" s="83">
        <f ca="1">L51+M51</f>
        <v>7.6956573510739661</v>
      </c>
      <c r="O51" s="83">
        <f ca="1">+'Proposed Rates'!E48</f>
        <v>7.6944768044960181</v>
      </c>
      <c r="P51" s="125" t="s">
        <v>247</v>
      </c>
      <c r="Q51" s="79">
        <f ca="1">+R14</f>
        <v>24153.50838761538</v>
      </c>
      <c r="R51" s="97">
        <f ca="1">+Q51/$Q$53</f>
        <v>0.57195431157895227</v>
      </c>
      <c r="T51" s="79"/>
      <c r="V51" s="79"/>
      <c r="W51" s="79"/>
      <c r="X51" s="79"/>
      <c r="AB51" s="87"/>
    </row>
    <row r="52" spans="1:28" x14ac:dyDescent="0.25">
      <c r="A52" s="273"/>
      <c r="B52" s="77">
        <v>38</v>
      </c>
      <c r="C52" s="78" t="s">
        <v>255</v>
      </c>
      <c r="D52" s="107">
        <v>0</v>
      </c>
      <c r="E52" s="80">
        <f>References!$C$10</f>
        <v>1</v>
      </c>
      <c r="F52" s="81">
        <v>12</v>
      </c>
      <c r="G52" s="81">
        <f>References!$C$42</f>
        <v>972</v>
      </c>
      <c r="H52" s="81">
        <f t="shared" si="38"/>
        <v>11664</v>
      </c>
      <c r="I52" s="82">
        <f t="shared" ref="I52" ca="1" si="51">$D$64*H52</f>
        <v>7505.175670041458</v>
      </c>
      <c r="J52" s="83">
        <f ca="1">I52*References!$D$60</f>
        <v>59.431646056956858</v>
      </c>
      <c r="K52" s="83">
        <f ca="1">J52/References!$H$65</f>
        <v>60.805858458110144</v>
      </c>
      <c r="L52" s="83">
        <f t="shared" ca="1" si="40"/>
        <v>5.067154871509179</v>
      </c>
      <c r="M52" s="83">
        <f>'Proposed Rates'!C53</f>
        <v>111.39</v>
      </c>
      <c r="N52" s="83">
        <f t="shared" ca="1" si="41"/>
        <v>116.45715487150918</v>
      </c>
      <c r="O52" s="83">
        <f ca="1">'Proposed Rates'!E53</f>
        <v>116.46000000000001</v>
      </c>
      <c r="P52" s="125" t="s">
        <v>308</v>
      </c>
      <c r="Q52" s="79">
        <f ca="1">+R40</f>
        <v>18076.277975803347</v>
      </c>
      <c r="R52" s="97">
        <f ca="1">+Q52/$Q$53</f>
        <v>0.42804568842104784</v>
      </c>
      <c r="T52" s="76"/>
      <c r="V52" s="79"/>
      <c r="W52" s="79"/>
      <c r="X52" s="79"/>
      <c r="AB52" s="87"/>
    </row>
    <row r="53" spans="1:28" x14ac:dyDescent="0.25">
      <c r="A53" s="273"/>
      <c r="B53" s="77">
        <v>38</v>
      </c>
      <c r="C53" s="78" t="s">
        <v>257</v>
      </c>
      <c r="D53" s="107">
        <v>0</v>
      </c>
      <c r="E53" s="80">
        <f>References!$C$10</f>
        <v>1</v>
      </c>
      <c r="F53" s="81">
        <v>12</v>
      </c>
      <c r="G53" s="81">
        <f>References!$C$51</f>
        <v>1620</v>
      </c>
      <c r="H53" s="81">
        <f t="shared" si="38"/>
        <v>19440</v>
      </c>
      <c r="I53" s="82">
        <f ca="1">$D$64*H53</f>
        <v>12508.626116735762</v>
      </c>
      <c r="J53" s="83">
        <f ca="1">I53*References!$D$60</f>
        <v>99.052743428261422</v>
      </c>
      <c r="K53" s="83">
        <f ca="1">J53/References!$H$65</f>
        <v>101.34309743018356</v>
      </c>
      <c r="L53" s="83">
        <f t="shared" ca="1" si="40"/>
        <v>8.4452581191819629</v>
      </c>
      <c r="M53" s="83">
        <f>'Proposed Rates'!C56</f>
        <v>173.12</v>
      </c>
      <c r="N53" s="83">
        <f t="shared" ca="1" si="41"/>
        <v>181.56525811918198</v>
      </c>
      <c r="O53" s="83">
        <f ca="1">'Proposed Rates'!E56</f>
        <v>181.57</v>
      </c>
      <c r="P53" s="127"/>
      <c r="Q53" s="128">
        <f ca="1">SUM(Q51:Q52)</f>
        <v>42229.786363418723</v>
      </c>
      <c r="R53" s="129"/>
      <c r="T53" s="79"/>
      <c r="V53" s="79"/>
      <c r="W53" s="79"/>
      <c r="X53" s="79"/>
      <c r="AB53" s="87"/>
    </row>
    <row r="54" spans="1:28" x14ac:dyDescent="0.25">
      <c r="A54" s="131"/>
      <c r="B54" s="77"/>
      <c r="C54" s="78"/>
      <c r="D54" s="107"/>
      <c r="E54" s="80"/>
      <c r="F54" s="81"/>
      <c r="G54" s="81"/>
      <c r="H54" s="81"/>
      <c r="I54" s="82"/>
      <c r="J54" s="83"/>
      <c r="K54" s="83"/>
      <c r="L54" s="83"/>
      <c r="M54" s="83"/>
      <c r="N54" s="83"/>
      <c r="O54" s="83"/>
      <c r="P54" s="127"/>
      <c r="Q54" s="129"/>
      <c r="R54" s="129"/>
      <c r="T54" s="76"/>
      <c r="V54" s="79"/>
      <c r="W54" s="79"/>
      <c r="X54" s="79"/>
      <c r="AB54" s="87"/>
    </row>
    <row r="55" spans="1:28" x14ac:dyDescent="0.25">
      <c r="A55" s="131"/>
      <c r="B55" s="77"/>
      <c r="C55" s="78"/>
      <c r="D55" s="106"/>
      <c r="E55" s="80"/>
      <c r="F55" s="81"/>
      <c r="G55" s="81"/>
      <c r="H55" s="81"/>
      <c r="I55" s="82"/>
      <c r="J55" s="83"/>
      <c r="K55" s="83"/>
      <c r="L55" s="83"/>
      <c r="M55" s="83"/>
      <c r="N55" s="83"/>
      <c r="O55" s="83"/>
      <c r="P55" s="127" t="s">
        <v>256</v>
      </c>
      <c r="Q55" s="130">
        <f>+'Vashon Disposal TG220857'!C24*References!C60</f>
        <v>2844.4288478728886</v>
      </c>
      <c r="R55" s="97">
        <f>+References!E60</f>
        <v>9.389085636683013E-2</v>
      </c>
      <c r="T55" s="79"/>
      <c r="V55" s="79"/>
      <c r="W55" s="79"/>
      <c r="X55" s="79"/>
      <c r="AB55" s="87"/>
    </row>
    <row r="56" spans="1:28" x14ac:dyDescent="0.25">
      <c r="A56" s="131"/>
      <c r="C56" s="132"/>
      <c r="D56" s="133"/>
      <c r="E56" s="80"/>
      <c r="F56" s="114"/>
      <c r="G56" s="81"/>
      <c r="H56" s="114"/>
      <c r="J56" s="83"/>
      <c r="K56" s="84"/>
      <c r="L56" s="84"/>
      <c r="M56" s="84"/>
      <c r="N56" s="84"/>
      <c r="O56" s="83"/>
      <c r="P56" s="127"/>
      <c r="Q56" s="83"/>
      <c r="R56" s="129"/>
      <c r="T56" s="79"/>
      <c r="V56" s="79"/>
      <c r="W56" s="79"/>
      <c r="X56" s="79"/>
      <c r="AB56" s="87"/>
    </row>
    <row r="57" spans="1:28" x14ac:dyDescent="0.25">
      <c r="A57" s="131"/>
      <c r="C57" s="134"/>
      <c r="P57" s="127" t="s">
        <v>416</v>
      </c>
      <c r="Q57" s="129">
        <f ca="1">Q53+Q55</f>
        <v>45074.215211291608</v>
      </c>
      <c r="R57" s="129"/>
      <c r="T57" s="79"/>
      <c r="V57" s="79"/>
      <c r="W57" s="79"/>
      <c r="X57" s="79"/>
      <c r="AB57" s="87"/>
    </row>
    <row r="58" spans="1:28" x14ac:dyDescent="0.25">
      <c r="A58" s="131"/>
      <c r="C58" s="134"/>
      <c r="Q58"/>
      <c r="R58"/>
      <c r="T58" s="79"/>
      <c r="V58" s="79"/>
      <c r="W58" s="79"/>
      <c r="X58" s="79"/>
      <c r="AB58" s="87"/>
    </row>
    <row r="59" spans="1:28" x14ac:dyDescent="0.25">
      <c r="A59" s="131"/>
      <c r="C59" s="275" t="s">
        <v>258</v>
      </c>
      <c r="D59" s="275"/>
      <c r="H59" s="135"/>
      <c r="I59" s="81"/>
      <c r="P59" s="175" t="s">
        <v>405</v>
      </c>
      <c r="Q59"/>
      <c r="R59"/>
      <c r="T59" s="79"/>
      <c r="V59" s="79"/>
      <c r="W59" s="79"/>
      <c r="X59" s="79"/>
      <c r="AB59" s="87"/>
    </row>
    <row r="60" spans="1:28" x14ac:dyDescent="0.25">
      <c r="A60" s="131"/>
      <c r="D60" s="136" t="s">
        <v>0</v>
      </c>
      <c r="E60" s="137"/>
      <c r="F60" s="137"/>
      <c r="H60" s="135"/>
      <c r="I60" s="81"/>
      <c r="J60" s="101"/>
      <c r="O60" s="171" t="s">
        <v>309</v>
      </c>
      <c r="P60" s="172">
        <f>+'Vashon Price Out TG220857'!AH36</f>
        <v>2456.4892911455959</v>
      </c>
      <c r="Q60"/>
      <c r="R60"/>
      <c r="T60" s="79"/>
      <c r="V60" s="79"/>
      <c r="W60" s="79"/>
      <c r="X60" s="79"/>
      <c r="AB60" s="87"/>
    </row>
    <row r="61" spans="1:28" x14ac:dyDescent="0.25">
      <c r="A61" s="131"/>
      <c r="C61" s="74" t="s">
        <v>259</v>
      </c>
      <c r="D61" s="138">
        <f>+'Vashon Disposal TG220857'!B24</f>
        <v>2606.1795129833067</v>
      </c>
      <c r="E61" s="114"/>
      <c r="F61" s="114"/>
      <c r="G61" s="139"/>
      <c r="H61" s="140"/>
      <c r="I61" s="81"/>
      <c r="J61" s="101"/>
      <c r="O61" s="171" t="s">
        <v>310</v>
      </c>
      <c r="P61" s="173">
        <f>+'Vashon Price Out TG220857'!AH92</f>
        <v>238.61500714790648</v>
      </c>
      <c r="Q61"/>
      <c r="R61"/>
      <c r="T61" s="79"/>
      <c r="V61" s="79"/>
      <c r="W61" s="79"/>
      <c r="X61" s="79"/>
      <c r="AB61" s="87"/>
    </row>
    <row r="62" spans="1:28" x14ac:dyDescent="0.25">
      <c r="A62" s="131"/>
      <c r="C62" s="74" t="s">
        <v>260</v>
      </c>
      <c r="D62" s="141">
        <f>D61*References!H18</f>
        <v>5212359.0259666136</v>
      </c>
      <c r="E62" s="141"/>
      <c r="F62" s="141"/>
      <c r="G62" s="141"/>
      <c r="H62" s="142"/>
      <c r="I62" s="81"/>
      <c r="J62" s="101"/>
      <c r="O62" s="171" t="s">
        <v>311</v>
      </c>
      <c r="P62" s="249">
        <f>+'Vashon Price Out TG220857'!AH128</f>
        <v>5.2008405264963278</v>
      </c>
      <c r="Q62"/>
      <c r="R62"/>
      <c r="T62" s="79"/>
      <c r="V62" s="79"/>
      <c r="W62" s="79"/>
      <c r="X62" s="79"/>
      <c r="AB62" s="87"/>
    </row>
    <row r="63" spans="1:28" x14ac:dyDescent="0.25">
      <c r="C63" s="74" t="s">
        <v>261</v>
      </c>
      <c r="D63" s="141">
        <f ca="1">F42</f>
        <v>146392.86855842383</v>
      </c>
      <c r="E63" s="114"/>
      <c r="F63" s="114"/>
      <c r="G63" s="114"/>
      <c r="H63" s="143"/>
      <c r="I63" s="81"/>
      <c r="J63" s="101"/>
      <c r="O63" s="74" t="s">
        <v>0</v>
      </c>
      <c r="P63" s="248">
        <f>SUM(P60:P62)</f>
        <v>2700.3051388199988</v>
      </c>
      <c r="T63" s="79"/>
      <c r="V63" s="79"/>
      <c r="W63" s="79"/>
      <c r="X63" s="79"/>
      <c r="AB63" s="87"/>
    </row>
    <row r="64" spans="1:28" x14ac:dyDescent="0.25">
      <c r="C64" s="135" t="s">
        <v>262</v>
      </c>
      <c r="D64" s="144">
        <f ca="1">D62/$H$42</f>
        <v>0.6434478455110989</v>
      </c>
      <c r="E64" s="144"/>
      <c r="F64" s="144"/>
      <c r="G64" s="144"/>
      <c r="H64" s="145"/>
      <c r="I64" s="81"/>
      <c r="J64" s="101"/>
      <c r="M64" s="146"/>
      <c r="N64" s="146"/>
      <c r="O64" s="146"/>
      <c r="P64" s="147"/>
      <c r="T64" s="79"/>
      <c r="V64" s="79"/>
      <c r="W64" s="79"/>
      <c r="X64" s="79"/>
      <c r="AB64" s="87"/>
    </row>
    <row r="65" spans="4:28" x14ac:dyDescent="0.25">
      <c r="G65" s="148"/>
      <c r="H65" s="80"/>
      <c r="I65" s="81"/>
      <c r="J65" s="101"/>
      <c r="M65" s="116"/>
      <c r="N65" s="149"/>
      <c r="O65" s="149"/>
      <c r="P65" s="150"/>
      <c r="T65" s="79"/>
      <c r="V65" s="79"/>
      <c r="W65" s="79"/>
      <c r="X65" s="79"/>
      <c r="AB65" s="87"/>
    </row>
    <row r="66" spans="4:28" x14ac:dyDescent="0.25">
      <c r="D66" s="151"/>
      <c r="E66" s="152"/>
      <c r="G66" s="148"/>
      <c r="H66" s="80"/>
      <c r="I66" s="81"/>
      <c r="J66" s="101"/>
      <c r="M66" s="116"/>
      <c r="N66" s="149"/>
      <c r="O66" s="149"/>
      <c r="P66" s="150"/>
      <c r="T66" s="79"/>
      <c r="V66" s="79"/>
      <c r="W66" s="79"/>
      <c r="X66" s="79"/>
      <c r="AB66" s="87"/>
    </row>
    <row r="67" spans="4:28" x14ac:dyDescent="0.25">
      <c r="D67" s="151"/>
      <c r="E67" s="152"/>
      <c r="G67" s="148"/>
      <c r="H67" s="153"/>
      <c r="J67" s="101"/>
      <c r="M67" s="116"/>
      <c r="N67" s="149"/>
      <c r="O67" s="149"/>
      <c r="P67" s="150"/>
      <c r="T67" s="79"/>
      <c r="V67" s="79"/>
      <c r="W67" s="79"/>
      <c r="X67" s="79"/>
    </row>
    <row r="68" spans="4:28" x14ac:dyDescent="0.25">
      <c r="D68" s="74"/>
      <c r="I68" s="74"/>
      <c r="T68" s="79"/>
      <c r="V68" s="79"/>
      <c r="W68" s="79"/>
      <c r="X68" s="79"/>
    </row>
    <row r="69" spans="4:28" x14ac:dyDescent="0.25">
      <c r="D69" s="74"/>
      <c r="E69" s="101"/>
      <c r="I69" s="74"/>
      <c r="T69" s="79"/>
      <c r="V69" s="79"/>
      <c r="W69" s="79"/>
      <c r="X69" s="79"/>
    </row>
    <row r="70" spans="4:28" x14ac:dyDescent="0.25">
      <c r="D70" s="74"/>
      <c r="I70" s="74"/>
      <c r="T70" s="79"/>
      <c r="V70" s="79"/>
      <c r="W70" s="79"/>
      <c r="X70" s="79"/>
    </row>
    <row r="71" spans="4:28" x14ac:dyDescent="0.25">
      <c r="D71" s="74"/>
      <c r="I71" s="74"/>
      <c r="T71" s="79"/>
      <c r="V71" s="79"/>
      <c r="W71" s="79"/>
      <c r="X71" s="79"/>
    </row>
    <row r="72" spans="4:28" x14ac:dyDescent="0.25">
      <c r="D72" s="74"/>
    </row>
  </sheetData>
  <mergeCells count="4">
    <mergeCell ref="A15:A39"/>
    <mergeCell ref="A46:A53"/>
    <mergeCell ref="C59:D59"/>
    <mergeCell ref="A2:A13"/>
  </mergeCells>
  <conditionalFormatting sqref="W3:W12">
    <cfRule type="cellIs" dxfId="3" priority="6" operator="equal">
      <formula>"""Review)"</formula>
    </cfRule>
  </conditionalFormatting>
  <conditionalFormatting sqref="W3:W12">
    <cfRule type="containsText" dxfId="2" priority="5" operator="containsText" text="Review">
      <formula>NOT(ISERROR(SEARCH("Review",W3)))</formula>
    </cfRule>
  </conditionalFormatting>
  <conditionalFormatting sqref="W16:W39">
    <cfRule type="cellIs" dxfId="1" priority="2" operator="equal">
      <formula>"""Review)"</formula>
    </cfRule>
  </conditionalFormatting>
  <conditionalFormatting sqref="W16:W39">
    <cfRule type="containsText" dxfId="0" priority="1" operator="containsText" text="Review">
      <formula>NOT(ISERROR(SEARCH("Review",W16)))</formula>
    </cfRule>
  </conditionalFormatting>
  <pageMargins left="0.45" right="0.45" top="0.75" bottom="0.75" header="0.3" footer="0.3"/>
  <pageSetup scale="67" fitToWidth="2" fitToHeight="4" pageOrder="overThenDown" orientation="landscape" r:id="rId1"/>
  <headerFooter>
    <oddHeader>&amp;C&amp;"-,Bold"&amp;12Vashon Disposal&amp;"-,Regular"
&amp;"-,Bold"Dump Fee Calculation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7"/>
  <sheetViews>
    <sheetView tabSelected="1" topLeftCell="A29" workbookViewId="0">
      <selection activeCell="B43" sqref="B43"/>
    </sheetView>
  </sheetViews>
  <sheetFormatPr defaultColWidth="9.140625" defaultRowHeight="15" x14ac:dyDescent="0.25"/>
  <cols>
    <col min="1" max="1" width="28.28515625" style="74" customWidth="1"/>
    <col min="2" max="2" width="8.140625" style="74" bestFit="1" customWidth="1"/>
    <col min="3" max="3" width="10.140625" style="87" customWidth="1"/>
    <col min="4" max="4" width="12" style="74" customWidth="1"/>
    <col min="5" max="5" width="11.28515625" style="74" customWidth="1"/>
    <col min="6" max="6" width="18" style="74" customWidth="1"/>
    <col min="7" max="16384" width="9.140625" style="74"/>
  </cols>
  <sheetData>
    <row r="1" spans="1:7" x14ac:dyDescent="0.25">
      <c r="A1" s="154" t="s">
        <v>263</v>
      </c>
      <c r="B1" s="154"/>
      <c r="C1" s="155"/>
      <c r="D1" s="156"/>
      <c r="E1" s="156"/>
      <c r="F1" s="156"/>
      <c r="G1" s="156"/>
    </row>
    <row r="2" spans="1:7" x14ac:dyDescent="0.25">
      <c r="A2" s="154" t="s">
        <v>264</v>
      </c>
      <c r="B2" s="154"/>
      <c r="C2" s="155"/>
      <c r="D2" s="156"/>
      <c r="E2" s="156"/>
      <c r="F2" s="156"/>
      <c r="G2" s="156"/>
    </row>
    <row r="3" spans="1:7" x14ac:dyDescent="0.25">
      <c r="A3" s="158" t="s">
        <v>406</v>
      </c>
      <c r="B3" s="156"/>
      <c r="C3" s="159"/>
      <c r="D3" s="156"/>
      <c r="E3" s="156"/>
      <c r="F3" s="156"/>
      <c r="G3" s="160"/>
    </row>
    <row r="4" spans="1:7" ht="45" x14ac:dyDescent="0.25">
      <c r="A4" s="156"/>
      <c r="B4" s="156"/>
      <c r="C4" s="161" t="s">
        <v>265</v>
      </c>
      <c r="D4" s="162" t="s">
        <v>266</v>
      </c>
      <c r="E4" s="162" t="s">
        <v>407</v>
      </c>
      <c r="F4" s="160"/>
      <c r="G4" s="160"/>
    </row>
    <row r="5" spans="1:7" x14ac:dyDescent="0.25">
      <c r="A5" s="158" t="s">
        <v>267</v>
      </c>
      <c r="B5" s="158"/>
      <c r="C5" s="159"/>
      <c r="D5" s="156"/>
      <c r="E5" s="156"/>
      <c r="F5" s="156"/>
      <c r="G5" s="156"/>
    </row>
    <row r="6" spans="1:7" x14ac:dyDescent="0.25">
      <c r="A6" s="156" t="s">
        <v>268</v>
      </c>
      <c r="B6" s="156" t="s">
        <v>269</v>
      </c>
      <c r="C6" s="159">
        <v>3.48</v>
      </c>
      <c r="D6" s="163">
        <f ca="1">ROUND(+'DF Calculation'!L12,2)</f>
        <v>0.18</v>
      </c>
      <c r="E6" s="163">
        <f ca="1">SUM(C6:D6)</f>
        <v>3.66</v>
      </c>
      <c r="F6" s="163"/>
      <c r="G6" s="163"/>
    </row>
    <row r="7" spans="1:7" x14ac:dyDescent="0.25">
      <c r="A7" s="156"/>
      <c r="B7" s="156"/>
      <c r="C7" s="159"/>
      <c r="D7" s="156"/>
      <c r="E7" s="156"/>
      <c r="F7" s="156"/>
      <c r="G7" s="156"/>
    </row>
    <row r="8" spans="1:7" x14ac:dyDescent="0.25">
      <c r="A8" s="158" t="s">
        <v>270</v>
      </c>
      <c r="B8" s="158"/>
      <c r="C8" s="159"/>
      <c r="D8" s="156"/>
      <c r="E8" s="156"/>
      <c r="F8" s="156"/>
      <c r="G8" s="156"/>
    </row>
    <row r="9" spans="1:7" x14ac:dyDescent="0.25">
      <c r="A9" s="156" t="s">
        <v>271</v>
      </c>
      <c r="B9" s="156" t="s">
        <v>272</v>
      </c>
      <c r="C9" s="159">
        <v>7.1085737002362483</v>
      </c>
      <c r="D9" s="163">
        <f ca="1">ROUND('DF Calculation'!L5,2)</f>
        <v>0.18</v>
      </c>
      <c r="E9" s="163">
        <f ca="1">SUM(C9:D9)</f>
        <v>7.2885737002362481</v>
      </c>
      <c r="F9" s="156"/>
      <c r="G9" s="156"/>
    </row>
    <row r="10" spans="1:7" x14ac:dyDescent="0.25">
      <c r="A10" s="156" t="s">
        <v>271</v>
      </c>
      <c r="B10" s="156" t="s">
        <v>273</v>
      </c>
      <c r="C10" s="159">
        <v>17.480832181084107</v>
      </c>
      <c r="D10" s="163">
        <f ca="1">ROUND('DF Calculation'!L6,2)</f>
        <v>0.38</v>
      </c>
      <c r="E10" s="163">
        <f t="shared" ref="E10:E15" ca="1" si="0">SUM(C10:D10)</f>
        <v>17.860832181084106</v>
      </c>
      <c r="F10" s="156"/>
      <c r="G10" s="156"/>
    </row>
    <row r="11" spans="1:7" x14ac:dyDescent="0.25">
      <c r="A11" s="156" t="s">
        <v>274</v>
      </c>
      <c r="B11" s="156" t="s">
        <v>269</v>
      </c>
      <c r="C11" s="159">
        <v>15.916051806818265</v>
      </c>
      <c r="D11" s="163">
        <f ca="1">ROUND('DF Calculation'!L4,2)</f>
        <v>0.45</v>
      </c>
      <c r="E11" s="163">
        <f t="shared" ca="1" si="0"/>
        <v>16.366051806818266</v>
      </c>
      <c r="F11" s="156"/>
      <c r="G11" s="163"/>
    </row>
    <row r="12" spans="1:7" x14ac:dyDescent="0.25">
      <c r="A12" s="156" t="s">
        <v>271</v>
      </c>
      <c r="B12" s="156" t="s">
        <v>269</v>
      </c>
      <c r="C12" s="159">
        <v>22.801085453587962</v>
      </c>
      <c r="D12" s="163">
        <f ca="1">ROUND('DF Calculation'!L7,2)</f>
        <v>0.77</v>
      </c>
      <c r="E12" s="163">
        <f t="shared" ca="1" si="0"/>
        <v>23.571085453587962</v>
      </c>
      <c r="F12" s="156"/>
      <c r="G12" s="163"/>
    </row>
    <row r="13" spans="1:7" x14ac:dyDescent="0.25">
      <c r="A13" s="156" t="s">
        <v>275</v>
      </c>
      <c r="B13" s="156" t="s">
        <v>269</v>
      </c>
      <c r="C13" s="159">
        <v>32.077997672449733</v>
      </c>
      <c r="D13" s="163">
        <f ca="1">ROUND('DF Calculation'!L8,2)</f>
        <v>1.1499999999999999</v>
      </c>
      <c r="E13" s="163">
        <f t="shared" ca="1" si="0"/>
        <v>33.227997672449732</v>
      </c>
      <c r="F13" s="156"/>
      <c r="G13" s="163"/>
    </row>
    <row r="14" spans="1:7" x14ac:dyDescent="0.25">
      <c r="A14" s="156" t="s">
        <v>276</v>
      </c>
      <c r="B14" s="156" t="s">
        <v>269</v>
      </c>
      <c r="C14" s="159">
        <v>43.713257455383591</v>
      </c>
      <c r="D14" s="163">
        <f ca="1">ROUND('DF Calculation'!L9,2)</f>
        <v>1.74</v>
      </c>
      <c r="E14" s="163">
        <f t="shared" ca="1" si="0"/>
        <v>45.453257455383593</v>
      </c>
      <c r="F14" s="156"/>
      <c r="G14" s="163"/>
    </row>
    <row r="15" spans="1:7" x14ac:dyDescent="0.25">
      <c r="A15" s="156" t="s">
        <v>277</v>
      </c>
      <c r="B15" s="156" t="s">
        <v>269</v>
      </c>
      <c r="C15" s="159">
        <v>54.744959093957767</v>
      </c>
      <c r="D15" s="163">
        <f ca="1">ROUND('DF Calculation'!L10,2)</f>
        <v>2.19</v>
      </c>
      <c r="E15" s="163">
        <f t="shared" ca="1" si="0"/>
        <v>56.934959093957765</v>
      </c>
      <c r="F15" s="156"/>
      <c r="G15" s="163"/>
    </row>
    <row r="16" spans="1:7" x14ac:dyDescent="0.25">
      <c r="A16" s="156"/>
      <c r="B16" s="156"/>
      <c r="C16" s="159"/>
      <c r="D16" s="156"/>
      <c r="E16" s="163"/>
      <c r="F16" s="156"/>
      <c r="G16" s="163"/>
    </row>
    <row r="17" spans="1:7" x14ac:dyDescent="0.25">
      <c r="A17" s="158" t="s">
        <v>278</v>
      </c>
      <c r="B17" s="156"/>
      <c r="C17" s="159"/>
      <c r="D17" s="156"/>
      <c r="E17" s="156"/>
      <c r="F17" s="156"/>
      <c r="G17" s="163"/>
    </row>
    <row r="18" spans="1:7" x14ac:dyDescent="0.25">
      <c r="A18" s="156" t="s">
        <v>172</v>
      </c>
      <c r="B18" s="156" t="s">
        <v>279</v>
      </c>
      <c r="C18" s="159">
        <v>4.9625891869573806</v>
      </c>
      <c r="D18" s="163">
        <f ca="1">ROUND('DF Calculation'!L3,2)</f>
        <v>0.18</v>
      </c>
      <c r="E18" s="163">
        <f t="shared" ref="E18:E19" ca="1" si="1">SUM(C18:D18)</f>
        <v>5.1425891869573803</v>
      </c>
      <c r="F18" s="156"/>
      <c r="G18" s="163"/>
    </row>
    <row r="19" spans="1:7" x14ac:dyDescent="0.25">
      <c r="A19" s="156" t="s">
        <v>280</v>
      </c>
      <c r="B19" s="156" t="s">
        <v>279</v>
      </c>
      <c r="C19" s="159">
        <v>7.2203437269695225</v>
      </c>
      <c r="D19" s="163">
        <f ca="1">ROUND('DF Calculation'!L11,2)</f>
        <v>0.18</v>
      </c>
      <c r="E19" s="163">
        <f t="shared" ca="1" si="1"/>
        <v>7.4003437269695223</v>
      </c>
      <c r="F19" s="156" t="s">
        <v>281</v>
      </c>
      <c r="G19" s="163"/>
    </row>
    <row r="20" spans="1:7" x14ac:dyDescent="0.25">
      <c r="A20" s="156"/>
      <c r="B20" s="156"/>
      <c r="C20" s="159"/>
      <c r="D20" s="156"/>
      <c r="E20" s="156"/>
      <c r="F20" s="156"/>
      <c r="G20" s="163"/>
    </row>
    <row r="21" spans="1:7" x14ac:dyDescent="0.25">
      <c r="A21" s="158" t="s">
        <v>282</v>
      </c>
      <c r="B21" s="156"/>
      <c r="C21" s="159"/>
      <c r="D21" s="156"/>
      <c r="E21" s="156"/>
      <c r="F21" s="156"/>
      <c r="G21" s="163"/>
    </row>
    <row r="22" spans="1:7" x14ac:dyDescent="0.25">
      <c r="A22" s="156" t="s">
        <v>254</v>
      </c>
      <c r="B22" s="156" t="s">
        <v>279</v>
      </c>
      <c r="C22" s="159">
        <v>18.88</v>
      </c>
      <c r="D22" s="163">
        <f ca="1">ROUND('DF Calculation'!$L$46,2)</f>
        <v>0.65</v>
      </c>
      <c r="E22" s="163">
        <f t="shared" ref="E22:E27" ca="1" si="2">SUM(C22:D22)</f>
        <v>19.529999999999998</v>
      </c>
      <c r="F22" s="156" t="s">
        <v>281</v>
      </c>
      <c r="G22" s="163"/>
    </row>
    <row r="23" spans="1:7" x14ac:dyDescent="0.25">
      <c r="A23" s="156" t="s">
        <v>283</v>
      </c>
      <c r="B23" s="156" t="s">
        <v>279</v>
      </c>
      <c r="C23" s="159">
        <f>+C22</f>
        <v>18.88</v>
      </c>
      <c r="D23" s="163">
        <f ca="1">ROUND('DF Calculation'!$L$17,2)</f>
        <v>0.65</v>
      </c>
      <c r="E23" s="163">
        <f t="shared" ca="1" si="2"/>
        <v>19.529999999999998</v>
      </c>
      <c r="F23" s="156" t="s">
        <v>281</v>
      </c>
      <c r="G23" s="163"/>
    </row>
    <row r="24" spans="1:7" x14ac:dyDescent="0.25">
      <c r="A24" s="156" t="s">
        <v>284</v>
      </c>
      <c r="B24" s="156" t="s">
        <v>279</v>
      </c>
      <c r="C24" s="159">
        <f t="shared" ref="C24:C25" si="3">+C23</f>
        <v>18.88</v>
      </c>
      <c r="D24" s="163">
        <f ca="1">ROUND('DF Calculation'!$L$48,2)</f>
        <v>0.65</v>
      </c>
      <c r="E24" s="163">
        <f t="shared" ca="1" si="2"/>
        <v>19.529999999999998</v>
      </c>
      <c r="F24" s="156" t="s">
        <v>281</v>
      </c>
      <c r="G24" s="163"/>
    </row>
    <row r="25" spans="1:7" x14ac:dyDescent="0.25">
      <c r="A25" s="156" t="s">
        <v>284</v>
      </c>
      <c r="B25" s="156" t="s">
        <v>279</v>
      </c>
      <c r="C25" s="159">
        <f t="shared" si="3"/>
        <v>18.88</v>
      </c>
      <c r="D25" s="163">
        <f ca="1">ROUND('DF Calculation'!$L$48,2)</f>
        <v>0.65</v>
      </c>
      <c r="E25" s="163">
        <f t="shared" ca="1" si="2"/>
        <v>19.529999999999998</v>
      </c>
      <c r="F25" s="156" t="s">
        <v>281</v>
      </c>
      <c r="G25" s="163"/>
    </row>
    <row r="26" spans="1:7" x14ac:dyDescent="0.25">
      <c r="A26" s="156" t="s">
        <v>285</v>
      </c>
      <c r="B26" s="156" t="s">
        <v>279</v>
      </c>
      <c r="C26" s="159">
        <v>21.06</v>
      </c>
      <c r="D26" s="163">
        <f ca="1">ROUND('DF Calculation'!$L$47,2)</f>
        <v>0.65</v>
      </c>
      <c r="E26" s="163">
        <f t="shared" ca="1" si="2"/>
        <v>21.709999999999997</v>
      </c>
      <c r="F26" s="156"/>
      <c r="G26" s="163"/>
    </row>
    <row r="27" spans="1:7" x14ac:dyDescent="0.25">
      <c r="A27" s="156" t="s">
        <v>285</v>
      </c>
      <c r="B27" s="156" t="s">
        <v>279</v>
      </c>
      <c r="C27" s="159">
        <f>+C26</f>
        <v>21.06</v>
      </c>
      <c r="D27" s="163">
        <f ca="1">ROUND('DF Calculation'!$L$47,2)</f>
        <v>0.65</v>
      </c>
      <c r="E27" s="163">
        <f t="shared" ca="1" si="2"/>
        <v>21.709999999999997</v>
      </c>
      <c r="F27" s="156" t="s">
        <v>281</v>
      </c>
      <c r="G27" s="163"/>
    </row>
    <row r="28" spans="1:7" x14ac:dyDescent="0.25">
      <c r="A28" s="156"/>
      <c r="B28" s="156"/>
      <c r="C28" s="159"/>
      <c r="D28" s="156"/>
      <c r="E28" s="156"/>
      <c r="F28" s="156"/>
      <c r="G28" s="163"/>
    </row>
    <row r="29" spans="1:7" x14ac:dyDescent="0.25">
      <c r="A29" s="158" t="s">
        <v>286</v>
      </c>
      <c r="B29" s="156"/>
      <c r="C29" s="159"/>
      <c r="D29" s="156"/>
      <c r="E29" s="156"/>
      <c r="F29" s="156"/>
      <c r="G29" s="163"/>
    </row>
    <row r="30" spans="1:7" x14ac:dyDescent="0.25">
      <c r="A30" s="156" t="s">
        <v>287</v>
      </c>
      <c r="B30" s="156" t="s">
        <v>279</v>
      </c>
      <c r="C30" s="159">
        <v>22.75</v>
      </c>
      <c r="D30" s="163">
        <f ca="1">ROUND('DF Calculation'!L49,2)</f>
        <v>0.65</v>
      </c>
      <c r="E30" s="163">
        <f t="shared" ref="E30" ca="1" si="4">SUM(C30:D30)</f>
        <v>23.4</v>
      </c>
      <c r="F30" s="156" t="s">
        <v>281</v>
      </c>
      <c r="G30" s="163"/>
    </row>
    <row r="31" spans="1:7" x14ac:dyDescent="0.25">
      <c r="A31" s="156"/>
      <c r="B31" s="156"/>
      <c r="C31" s="159"/>
      <c r="D31" s="156"/>
      <c r="E31" s="156"/>
      <c r="F31" s="156"/>
      <c r="G31" s="163"/>
    </row>
    <row r="32" spans="1:7" x14ac:dyDescent="0.25">
      <c r="A32" s="158" t="s">
        <v>288</v>
      </c>
      <c r="B32" s="156"/>
      <c r="C32" s="159"/>
      <c r="D32" s="156"/>
      <c r="E32" s="156"/>
      <c r="F32" s="156"/>
      <c r="G32" s="163"/>
    </row>
    <row r="33" spans="1:7" x14ac:dyDescent="0.25">
      <c r="A33" s="156" t="s">
        <v>6</v>
      </c>
      <c r="B33" s="156" t="s">
        <v>289</v>
      </c>
      <c r="C33" s="159">
        <v>168.68</v>
      </c>
      <c r="D33" s="183">
        <f>References!C60</f>
        <v>15.837509651956907</v>
      </c>
      <c r="E33" s="163">
        <f t="shared" ref="E33" si="5">SUM(C33:D33)</f>
        <v>184.51750965195691</v>
      </c>
      <c r="F33" s="156"/>
      <c r="G33" s="163"/>
    </row>
    <row r="34" spans="1:7" x14ac:dyDescent="0.25">
      <c r="A34" s="156"/>
      <c r="B34" s="156"/>
      <c r="C34" s="159"/>
      <c r="D34" s="156"/>
      <c r="E34" s="156"/>
      <c r="F34" s="156"/>
      <c r="G34" s="163"/>
    </row>
    <row r="35" spans="1:7" x14ac:dyDescent="0.25">
      <c r="A35" s="158" t="s">
        <v>290</v>
      </c>
      <c r="B35" s="156"/>
      <c r="C35" s="159"/>
      <c r="D35" s="156"/>
      <c r="E35" s="156"/>
      <c r="F35" s="156"/>
      <c r="G35" s="163"/>
    </row>
    <row r="36" spans="1:7" x14ac:dyDescent="0.25">
      <c r="A36" s="156" t="s">
        <v>291</v>
      </c>
      <c r="B36" s="156"/>
      <c r="C36" s="159"/>
      <c r="D36" s="156"/>
      <c r="E36" s="156"/>
      <c r="F36" s="156"/>
      <c r="G36" s="163"/>
    </row>
    <row r="37" spans="1:7" x14ac:dyDescent="0.25">
      <c r="A37" s="156" t="s">
        <v>292</v>
      </c>
      <c r="B37" s="156" t="s">
        <v>279</v>
      </c>
      <c r="C37" s="159">
        <v>23.695245667454156</v>
      </c>
      <c r="D37" s="163">
        <f ca="1">ROUND('DF Calculation'!L34,2)</f>
        <v>0.91</v>
      </c>
      <c r="E37" s="163">
        <f t="shared" ref="E37:E39" ca="1" si="6">SUM(C37:D37)</f>
        <v>24.605245667454156</v>
      </c>
      <c r="F37" s="156"/>
      <c r="G37" s="163"/>
    </row>
    <row r="38" spans="1:7" x14ac:dyDescent="0.25">
      <c r="A38" s="156" t="s">
        <v>293</v>
      </c>
      <c r="B38" s="156" t="s">
        <v>279</v>
      </c>
      <c r="C38" s="159">
        <v>30.367916263430637</v>
      </c>
      <c r="D38" s="163">
        <f ca="1">ROUND('DF Calculation'!L35,2)</f>
        <v>1.3</v>
      </c>
      <c r="E38" s="163">
        <f t="shared" ca="1" si="6"/>
        <v>31.667916263430637</v>
      </c>
      <c r="F38" s="156"/>
      <c r="G38" s="163"/>
    </row>
    <row r="39" spans="1:7" x14ac:dyDescent="0.25">
      <c r="A39" s="156" t="s">
        <v>294</v>
      </c>
      <c r="B39" s="156" t="s">
        <v>279</v>
      </c>
      <c r="C39" s="159">
        <v>41.913760024977876</v>
      </c>
      <c r="D39" s="163">
        <f ca="1">ROUND('DF Calculation'!L36,2)</f>
        <v>1.69</v>
      </c>
      <c r="E39" s="163">
        <f t="shared" ca="1" si="6"/>
        <v>43.603760024977873</v>
      </c>
      <c r="F39" s="163"/>
      <c r="G39" s="163"/>
    </row>
    <row r="40" spans="1:7" x14ac:dyDescent="0.25">
      <c r="A40" s="156"/>
      <c r="B40" s="156"/>
      <c r="C40" s="159"/>
      <c r="D40" s="156"/>
      <c r="E40" s="156"/>
      <c r="F40" s="156"/>
      <c r="G40" s="163"/>
    </row>
    <row r="41" spans="1:7" x14ac:dyDescent="0.25">
      <c r="A41" s="156" t="s">
        <v>296</v>
      </c>
      <c r="B41" s="156"/>
      <c r="C41" s="159"/>
      <c r="D41" s="156"/>
      <c r="E41" s="156"/>
      <c r="F41" s="156"/>
      <c r="G41" s="163"/>
    </row>
    <row r="42" spans="1:7" x14ac:dyDescent="0.25">
      <c r="A42" s="156" t="s">
        <v>292</v>
      </c>
      <c r="B42" s="156" t="s">
        <v>279</v>
      </c>
      <c r="C42" s="159">
        <v>26.064770234199571</v>
      </c>
      <c r="D42" s="163">
        <f ca="1">ROUND('DF Calculation'!L32,2)</f>
        <v>0.91</v>
      </c>
      <c r="E42" s="163">
        <f t="shared" ref="E42:E44" ca="1" si="7">SUM(C42:D42)</f>
        <v>26.974770234199571</v>
      </c>
      <c r="F42" s="156"/>
      <c r="G42" s="163"/>
    </row>
    <row r="43" spans="1:7" x14ac:dyDescent="0.25">
      <c r="A43" s="156" t="s">
        <v>293</v>
      </c>
      <c r="B43" s="156" t="s">
        <v>279</v>
      </c>
      <c r="C43" s="159">
        <v>32.726263827502727</v>
      </c>
      <c r="D43" s="163">
        <f ca="1">+'DF Calculation'!L27</f>
        <v>1.3032805739478339</v>
      </c>
      <c r="E43" s="163">
        <f t="shared" ca="1" si="7"/>
        <v>34.029544401450558</v>
      </c>
      <c r="F43" s="156"/>
      <c r="G43" s="163"/>
    </row>
    <row r="44" spans="1:7" x14ac:dyDescent="0.25">
      <c r="A44" s="156" t="s">
        <v>294</v>
      </c>
      <c r="B44" s="156" t="s">
        <v>279</v>
      </c>
      <c r="C44" s="159">
        <v>44.272107589049966</v>
      </c>
      <c r="D44" s="163">
        <f ca="1">ROUND('DF Calculation'!L33,2)</f>
        <v>1.69</v>
      </c>
      <c r="E44" s="163">
        <f t="shared" ca="1" si="7"/>
        <v>45.962107589049964</v>
      </c>
      <c r="F44" s="156"/>
      <c r="G44" s="163"/>
    </row>
    <row r="45" spans="1:7" x14ac:dyDescent="0.25">
      <c r="A45" s="156"/>
      <c r="B45" s="156"/>
      <c r="C45" s="159"/>
      <c r="D45" s="156"/>
      <c r="E45" s="156"/>
      <c r="F45" s="156"/>
      <c r="G45" s="163"/>
    </row>
    <row r="46" spans="1:7" x14ac:dyDescent="0.25">
      <c r="A46" s="158" t="s">
        <v>297</v>
      </c>
      <c r="B46" s="156"/>
      <c r="C46" s="159"/>
      <c r="D46" s="156"/>
      <c r="E46" s="156"/>
      <c r="F46" s="156"/>
      <c r="G46" s="163"/>
    </row>
    <row r="47" spans="1:7" x14ac:dyDescent="0.25">
      <c r="A47" s="156" t="s">
        <v>298</v>
      </c>
      <c r="B47" s="156" t="s">
        <v>279</v>
      </c>
      <c r="C47" s="159">
        <v>4.3366770372510439</v>
      </c>
      <c r="D47" s="163">
        <f ca="1">ROUND('DF Calculation'!L19,2)</f>
        <v>0.15</v>
      </c>
      <c r="E47" s="163">
        <f t="shared" ref="E47:E50" ca="1" si="8">SUM(C47:D47)</f>
        <v>4.4866770372510443</v>
      </c>
      <c r="F47" s="156"/>
      <c r="G47" s="163"/>
    </row>
    <row r="48" spans="1:7" x14ac:dyDescent="0.25">
      <c r="A48" s="156" t="s">
        <v>299</v>
      </c>
      <c r="B48" s="156" t="s">
        <v>279</v>
      </c>
      <c r="C48" s="159">
        <v>7.5444768044960178</v>
      </c>
      <c r="D48" s="163">
        <f ca="1">ROUND('DF Calculation'!L51,2)</f>
        <v>0.15</v>
      </c>
      <c r="E48" s="163">
        <f t="shared" ca="1" si="8"/>
        <v>7.6944768044960181</v>
      </c>
      <c r="F48" s="156" t="s">
        <v>281</v>
      </c>
      <c r="G48" s="163"/>
    </row>
    <row r="49" spans="1:7" x14ac:dyDescent="0.25">
      <c r="A49" s="156" t="s">
        <v>300</v>
      </c>
      <c r="B49" s="156" t="s">
        <v>295</v>
      </c>
      <c r="C49" s="159">
        <v>18.788541493863413</v>
      </c>
      <c r="D49" s="163">
        <f ca="1">ROUND('DF Calculation'!L50,2)</f>
        <v>0.66</v>
      </c>
      <c r="E49" s="163">
        <f t="shared" ca="1" si="8"/>
        <v>19.448541493863413</v>
      </c>
      <c r="F49" s="156" t="s">
        <v>281</v>
      </c>
      <c r="G49" s="163"/>
    </row>
    <row r="50" spans="1:7" x14ac:dyDescent="0.25">
      <c r="A50" s="156" t="s">
        <v>301</v>
      </c>
      <c r="B50" s="156" t="s">
        <v>279</v>
      </c>
      <c r="C50" s="159">
        <v>4.8731731655707611</v>
      </c>
      <c r="D50" s="163">
        <f ca="1">ROUND('DF Calculation'!L16,2)</f>
        <v>0.15</v>
      </c>
      <c r="E50" s="163">
        <f t="shared" ca="1" si="8"/>
        <v>5.0231731655707614</v>
      </c>
      <c r="F50" s="156"/>
      <c r="G50" s="163"/>
    </row>
    <row r="51" spans="1:7" x14ac:dyDescent="0.25">
      <c r="A51" s="156"/>
      <c r="B51" s="156"/>
      <c r="C51" s="159"/>
      <c r="D51" s="163"/>
      <c r="E51" s="163"/>
      <c r="F51" s="156"/>
      <c r="G51" s="163"/>
    </row>
    <row r="52" spans="1:7" x14ac:dyDescent="0.25">
      <c r="A52" s="158" t="s">
        <v>302</v>
      </c>
      <c r="B52" s="156"/>
      <c r="C52" s="159"/>
      <c r="D52" s="156"/>
      <c r="E52" s="156"/>
      <c r="F52" s="156"/>
      <c r="G52" s="163"/>
    </row>
    <row r="53" spans="1:7" x14ac:dyDescent="0.25">
      <c r="A53" s="156" t="s">
        <v>294</v>
      </c>
      <c r="B53" s="160">
        <v>3</v>
      </c>
      <c r="C53" s="159">
        <v>111.39</v>
      </c>
      <c r="D53" s="163">
        <f ca="1">ROUND('DF Calculation'!L52,2)</f>
        <v>5.07</v>
      </c>
      <c r="E53" s="163">
        <f t="shared" ref="E53:E56" ca="1" si="9">SUM(C53:D53)</f>
        <v>116.46000000000001</v>
      </c>
      <c r="F53" s="156" t="s">
        <v>281</v>
      </c>
      <c r="G53" s="163"/>
    </row>
    <row r="54" spans="1:7" x14ac:dyDescent="0.25">
      <c r="A54" s="156"/>
      <c r="B54" s="160"/>
      <c r="C54" s="159"/>
      <c r="D54" s="163"/>
      <c r="E54" s="163"/>
      <c r="F54" s="156"/>
      <c r="G54" s="163"/>
    </row>
    <row r="55" spans="1:7" x14ac:dyDescent="0.25">
      <c r="A55" s="158" t="s">
        <v>303</v>
      </c>
      <c r="B55" s="160"/>
      <c r="C55" s="159"/>
      <c r="D55" s="163"/>
      <c r="E55" s="163"/>
      <c r="F55" s="156"/>
      <c r="G55" s="163"/>
    </row>
    <row r="56" spans="1:7" x14ac:dyDescent="0.25">
      <c r="A56" s="156" t="s">
        <v>294</v>
      </c>
      <c r="B56" s="160">
        <v>5</v>
      </c>
      <c r="C56" s="159">
        <v>173.12</v>
      </c>
      <c r="D56" s="163">
        <f ca="1">ROUND('DF Calculation'!L53,2)</f>
        <v>8.4499999999999993</v>
      </c>
      <c r="E56" s="163">
        <f t="shared" ca="1" si="9"/>
        <v>181.57</v>
      </c>
      <c r="F56" s="156" t="s">
        <v>281</v>
      </c>
      <c r="G56" s="163"/>
    </row>
    <row r="57" spans="1:7" x14ac:dyDescent="0.25">
      <c r="A57" s="156"/>
      <c r="B57" s="156"/>
      <c r="C57" s="159"/>
      <c r="D57" s="156"/>
      <c r="E57" s="157"/>
      <c r="F57" s="156"/>
      <c r="G57" s="163"/>
    </row>
    <row r="58" spans="1:7" x14ac:dyDescent="0.25">
      <c r="A58" s="156"/>
      <c r="B58" s="156"/>
      <c r="C58" s="159"/>
      <c r="D58" s="156"/>
      <c r="E58" s="157"/>
      <c r="F58" s="156"/>
      <c r="G58" s="163"/>
    </row>
    <row r="59" spans="1:7" x14ac:dyDescent="0.25">
      <c r="A59" s="156"/>
      <c r="B59" s="160"/>
      <c r="C59" s="159"/>
      <c r="D59" s="163"/>
      <c r="E59" s="164"/>
      <c r="F59" s="156"/>
      <c r="G59" s="163"/>
    </row>
    <row r="60" spans="1:7" x14ac:dyDescent="0.25">
      <c r="A60" s="156"/>
      <c r="B60" s="160"/>
      <c r="C60" s="159"/>
      <c r="D60" s="163"/>
      <c r="E60" s="164"/>
      <c r="F60" s="156"/>
      <c r="G60" s="163"/>
    </row>
    <row r="61" spans="1:7" x14ac:dyDescent="0.25">
      <c r="A61" s="156"/>
      <c r="B61" s="160"/>
      <c r="C61" s="159"/>
      <c r="D61" s="163"/>
      <c r="E61" s="164"/>
      <c r="F61" s="156"/>
      <c r="G61" s="163"/>
    </row>
    <row r="62" spans="1:7" x14ac:dyDescent="0.25">
      <c r="A62" s="156"/>
      <c r="B62" s="160"/>
      <c r="C62" s="159"/>
      <c r="D62" s="163"/>
      <c r="E62" s="163"/>
      <c r="F62" s="156"/>
      <c r="G62" s="163"/>
    </row>
    <row r="63" spans="1:7" x14ac:dyDescent="0.25">
      <c r="A63" s="158"/>
      <c r="B63" s="160"/>
      <c r="C63" s="159"/>
      <c r="D63" s="163"/>
      <c r="E63" s="156"/>
      <c r="F63" s="156"/>
      <c r="G63" s="163"/>
    </row>
    <row r="64" spans="1:7" x14ac:dyDescent="0.25">
      <c r="A64" s="156"/>
      <c r="B64" s="160"/>
      <c r="C64" s="159"/>
      <c r="D64" s="163"/>
      <c r="E64" s="163"/>
      <c r="F64" s="156"/>
      <c r="G64" s="163"/>
    </row>
    <row r="65" spans="1:7" x14ac:dyDescent="0.25">
      <c r="A65" s="156"/>
      <c r="B65" s="160"/>
      <c r="C65" s="159"/>
      <c r="D65" s="163"/>
      <c r="E65" s="163"/>
      <c r="F65" s="156"/>
      <c r="G65" s="163"/>
    </row>
    <row r="66" spans="1:7" x14ac:dyDescent="0.25">
      <c r="A66" s="156"/>
      <c r="B66" s="160"/>
      <c r="C66" s="159"/>
      <c r="D66" s="163"/>
      <c r="E66" s="163"/>
      <c r="F66" s="156"/>
      <c r="G66" s="163"/>
    </row>
    <row r="67" spans="1:7" x14ac:dyDescent="0.25">
      <c r="A67" s="156"/>
      <c r="B67" s="160"/>
      <c r="C67" s="159"/>
      <c r="D67" s="163"/>
      <c r="E67" s="163"/>
      <c r="F67" s="156"/>
      <c r="G67" s="163"/>
    </row>
    <row r="68" spans="1:7" x14ac:dyDescent="0.25">
      <c r="A68" s="156"/>
      <c r="B68" s="156"/>
      <c r="C68" s="159"/>
      <c r="D68" s="156"/>
      <c r="E68" s="156"/>
      <c r="F68" s="156"/>
      <c r="G68" s="163"/>
    </row>
    <row r="69" spans="1:7" x14ac:dyDescent="0.25">
      <c r="A69" s="158"/>
      <c r="B69" s="156"/>
      <c r="C69" s="159"/>
      <c r="D69" s="156"/>
      <c r="E69" s="156"/>
      <c r="F69" s="156"/>
      <c r="G69" s="163"/>
    </row>
    <row r="70" spans="1:7" x14ac:dyDescent="0.25">
      <c r="A70" s="156"/>
      <c r="B70" s="160"/>
      <c r="C70" s="159"/>
      <c r="D70" s="163"/>
      <c r="E70" s="163"/>
      <c r="F70" s="156"/>
      <c r="G70" s="163"/>
    </row>
    <row r="71" spans="1:7" x14ac:dyDescent="0.25">
      <c r="A71" s="156"/>
      <c r="B71" s="160"/>
      <c r="C71" s="159"/>
      <c r="D71" s="163"/>
      <c r="E71" s="163"/>
      <c r="F71" s="163"/>
      <c r="G71" s="163"/>
    </row>
    <row r="72" spans="1:7" x14ac:dyDescent="0.25">
      <c r="A72" s="156"/>
      <c r="B72" s="160"/>
      <c r="C72" s="159"/>
      <c r="D72" s="163"/>
      <c r="E72" s="163"/>
      <c r="F72" s="156"/>
      <c r="G72" s="163"/>
    </row>
    <row r="73" spans="1:7" x14ac:dyDescent="0.25">
      <c r="A73" s="156"/>
      <c r="B73" s="160"/>
      <c r="C73" s="159"/>
      <c r="D73" s="163"/>
      <c r="E73" s="156"/>
      <c r="F73" s="156"/>
      <c r="G73" s="163"/>
    </row>
    <row r="74" spans="1:7" x14ac:dyDescent="0.25">
      <c r="A74" s="156"/>
      <c r="B74" s="160"/>
      <c r="C74" s="159"/>
      <c r="D74" s="163"/>
      <c r="E74" s="163"/>
      <c r="F74" s="156"/>
      <c r="G74" s="163"/>
    </row>
    <row r="75" spans="1:7" x14ac:dyDescent="0.25">
      <c r="A75" s="156"/>
      <c r="B75" s="160"/>
      <c r="C75" s="159"/>
      <c r="D75" s="163"/>
      <c r="E75" s="163"/>
      <c r="F75" s="156"/>
      <c r="G75" s="163"/>
    </row>
    <row r="76" spans="1:7" x14ac:dyDescent="0.25">
      <c r="A76" s="156"/>
      <c r="B76" s="160"/>
      <c r="C76" s="159"/>
      <c r="D76" s="163"/>
      <c r="E76" s="163"/>
      <c r="F76" s="156"/>
      <c r="G76" s="163"/>
    </row>
    <row r="77" spans="1:7" x14ac:dyDescent="0.25">
      <c r="A77" s="156"/>
      <c r="B77" s="156"/>
      <c r="C77" s="159"/>
      <c r="D77" s="156"/>
      <c r="E77" s="156"/>
      <c r="F77" s="156"/>
      <c r="G77" s="163"/>
    </row>
    <row r="78" spans="1:7" x14ac:dyDescent="0.25">
      <c r="A78" s="158"/>
      <c r="B78" s="156"/>
      <c r="C78" s="159"/>
      <c r="D78" s="156"/>
      <c r="E78" s="156"/>
      <c r="F78" s="156"/>
      <c r="G78" s="163"/>
    </row>
    <row r="79" spans="1:7" x14ac:dyDescent="0.25">
      <c r="A79" s="156"/>
      <c r="B79" s="160"/>
      <c r="C79" s="159"/>
      <c r="D79" s="163"/>
      <c r="E79" s="163"/>
      <c r="F79" s="156"/>
      <c r="G79" s="163"/>
    </row>
    <row r="80" spans="1:7" x14ac:dyDescent="0.25">
      <c r="A80" s="156"/>
      <c r="B80" s="160"/>
      <c r="C80" s="159"/>
      <c r="D80" s="163"/>
      <c r="E80" s="163"/>
      <c r="F80" s="156"/>
      <c r="G80" s="163"/>
    </row>
    <row r="81" spans="1:7" x14ac:dyDescent="0.25">
      <c r="A81" s="156"/>
      <c r="B81" s="160"/>
      <c r="C81" s="159"/>
      <c r="D81" s="163"/>
      <c r="E81" s="156"/>
      <c r="F81" s="156"/>
      <c r="G81" s="163"/>
    </row>
    <row r="82" spans="1:7" x14ac:dyDescent="0.25">
      <c r="A82" s="156"/>
      <c r="B82" s="160"/>
      <c r="C82" s="159"/>
      <c r="D82" s="163"/>
      <c r="E82" s="163"/>
      <c r="F82" s="156"/>
      <c r="G82" s="163"/>
    </row>
    <row r="83" spans="1:7" x14ac:dyDescent="0.25">
      <c r="A83" s="156"/>
      <c r="B83" s="160"/>
      <c r="C83" s="159"/>
      <c r="D83" s="163"/>
      <c r="E83" s="163"/>
      <c r="F83" s="156"/>
      <c r="G83" s="163"/>
    </row>
    <row r="84" spans="1:7" x14ac:dyDescent="0.25">
      <c r="A84" s="156"/>
      <c r="B84" s="156"/>
      <c r="C84" s="159"/>
      <c r="D84" s="156"/>
      <c r="E84" s="156"/>
      <c r="F84" s="156"/>
      <c r="G84" s="163"/>
    </row>
    <row r="85" spans="1:7" x14ac:dyDescent="0.25">
      <c r="A85" s="158"/>
      <c r="B85" s="156"/>
      <c r="C85" s="159"/>
      <c r="D85" s="156"/>
      <c r="E85" s="156"/>
      <c r="F85" s="156"/>
      <c r="G85" s="163"/>
    </row>
    <row r="86" spans="1:7" x14ac:dyDescent="0.25">
      <c r="A86" s="156"/>
      <c r="B86" s="160"/>
      <c r="C86" s="159"/>
      <c r="D86" s="163"/>
      <c r="E86" s="163"/>
      <c r="F86" s="156"/>
      <c r="G86" s="163"/>
    </row>
    <row r="87" spans="1:7" x14ac:dyDescent="0.25">
      <c r="A87" s="156"/>
      <c r="B87" s="160"/>
      <c r="C87" s="159"/>
      <c r="D87" s="163"/>
      <c r="E87" s="163"/>
      <c r="F87" s="156"/>
      <c r="G87" s="163"/>
    </row>
    <row r="88" spans="1:7" x14ac:dyDescent="0.25">
      <c r="A88" s="156"/>
      <c r="B88" s="160"/>
      <c r="C88" s="159"/>
      <c r="D88" s="163"/>
      <c r="E88" s="163"/>
      <c r="F88" s="156"/>
      <c r="G88" s="163"/>
    </row>
    <row r="89" spans="1:7" x14ac:dyDescent="0.25">
      <c r="A89" s="156"/>
      <c r="B89" s="160"/>
      <c r="C89" s="159"/>
      <c r="D89" s="163"/>
      <c r="E89" s="156"/>
      <c r="F89" s="156"/>
      <c r="G89" s="163"/>
    </row>
    <row r="90" spans="1:7" x14ac:dyDescent="0.25">
      <c r="A90" s="156"/>
      <c r="B90" s="160"/>
      <c r="C90" s="159"/>
      <c r="D90" s="163"/>
      <c r="E90" s="163"/>
      <c r="F90" s="156"/>
      <c r="G90" s="163"/>
    </row>
    <row r="91" spans="1:7" x14ac:dyDescent="0.25">
      <c r="A91" s="156"/>
      <c r="B91" s="160"/>
      <c r="C91" s="159"/>
      <c r="D91" s="163"/>
      <c r="E91" s="163"/>
      <c r="F91" s="156"/>
      <c r="G91" s="163"/>
    </row>
    <row r="92" spans="1:7" x14ac:dyDescent="0.25">
      <c r="A92" s="156"/>
      <c r="B92" s="160"/>
      <c r="C92" s="159"/>
      <c r="D92" s="163"/>
      <c r="E92" s="163"/>
      <c r="F92" s="156"/>
      <c r="G92" s="163"/>
    </row>
    <row r="93" spans="1:7" x14ac:dyDescent="0.25">
      <c r="A93" s="156"/>
      <c r="B93" s="156"/>
      <c r="C93" s="159"/>
      <c r="D93" s="156"/>
      <c r="E93" s="156"/>
      <c r="F93" s="156"/>
      <c r="G93" s="163"/>
    </row>
    <row r="94" spans="1:7" x14ac:dyDescent="0.25">
      <c r="A94" s="158"/>
      <c r="B94" s="156"/>
      <c r="C94" s="159"/>
      <c r="D94" s="156"/>
      <c r="E94" s="156"/>
      <c r="F94" s="156"/>
      <c r="G94" s="163"/>
    </row>
    <row r="95" spans="1:7" x14ac:dyDescent="0.25">
      <c r="A95" s="156"/>
      <c r="B95" s="160"/>
      <c r="C95" s="159"/>
      <c r="D95" s="163"/>
      <c r="E95" s="163"/>
      <c r="F95" s="156"/>
      <c r="G95" s="163"/>
    </row>
    <row r="96" spans="1:7" x14ac:dyDescent="0.25">
      <c r="A96" s="156"/>
      <c r="B96" s="160"/>
      <c r="C96" s="159"/>
      <c r="D96" s="163"/>
      <c r="E96" s="163"/>
      <c r="F96" s="156"/>
      <c r="G96" s="163"/>
    </row>
    <row r="97" spans="1:7" x14ac:dyDescent="0.25">
      <c r="A97" s="156"/>
      <c r="B97" s="160"/>
      <c r="C97" s="159"/>
      <c r="D97" s="163"/>
      <c r="E97" s="163"/>
      <c r="F97" s="156"/>
      <c r="G97" s="163"/>
    </row>
    <row r="98" spans="1:7" x14ac:dyDescent="0.25">
      <c r="A98" s="156"/>
      <c r="B98" s="160"/>
      <c r="C98" s="159"/>
      <c r="D98" s="163"/>
      <c r="E98" s="163"/>
      <c r="F98" s="156"/>
      <c r="G98" s="163"/>
    </row>
    <row r="99" spans="1:7" x14ac:dyDescent="0.25">
      <c r="A99" s="158"/>
      <c r="B99" s="160"/>
      <c r="C99" s="159"/>
      <c r="D99" s="163"/>
      <c r="E99" s="156"/>
      <c r="F99" s="156"/>
      <c r="G99" s="163"/>
    </row>
    <row r="100" spans="1:7" x14ac:dyDescent="0.25">
      <c r="A100" s="156"/>
      <c r="B100" s="160"/>
      <c r="C100" s="159"/>
      <c r="D100" s="163"/>
      <c r="E100" s="163"/>
      <c r="F100" s="156"/>
      <c r="G100" s="163"/>
    </row>
    <row r="101" spans="1:7" x14ac:dyDescent="0.25">
      <c r="A101" s="156"/>
      <c r="B101" s="160"/>
      <c r="C101" s="159"/>
      <c r="D101" s="163"/>
      <c r="E101" s="163"/>
      <c r="F101" s="156"/>
      <c r="G101" s="163"/>
    </row>
    <row r="102" spans="1:7" x14ac:dyDescent="0.25">
      <c r="A102" s="156"/>
      <c r="B102" s="160"/>
      <c r="C102" s="159"/>
      <c r="D102" s="163"/>
      <c r="E102" s="163"/>
      <c r="F102" s="156"/>
      <c r="G102" s="163"/>
    </row>
    <row r="103" spans="1:7" x14ac:dyDescent="0.25">
      <c r="A103" s="156"/>
      <c r="B103" s="160"/>
      <c r="C103" s="159"/>
      <c r="D103" s="163"/>
      <c r="E103" s="163"/>
      <c r="F103" s="156"/>
      <c r="G103" s="163"/>
    </row>
    <row r="104" spans="1:7" x14ac:dyDescent="0.25">
      <c r="A104" s="156"/>
      <c r="B104" s="156"/>
      <c r="C104" s="159"/>
      <c r="D104" s="156"/>
      <c r="E104" s="156"/>
      <c r="F104" s="156"/>
      <c r="G104" s="163"/>
    </row>
    <row r="105" spans="1:7" x14ac:dyDescent="0.25">
      <c r="A105" s="158"/>
      <c r="B105" s="156"/>
      <c r="C105" s="159"/>
      <c r="D105" s="156"/>
      <c r="E105" s="156"/>
      <c r="F105" s="156"/>
      <c r="G105" s="163"/>
    </row>
    <row r="106" spans="1:7" x14ac:dyDescent="0.25">
      <c r="A106" s="156"/>
      <c r="B106" s="160"/>
      <c r="C106" s="159"/>
      <c r="D106" s="163"/>
      <c r="E106" s="163"/>
      <c r="F106" s="156"/>
      <c r="G106" s="163"/>
    </row>
    <row r="107" spans="1:7" x14ac:dyDescent="0.25">
      <c r="A107" s="156"/>
      <c r="B107" s="160"/>
      <c r="C107" s="159"/>
      <c r="D107" s="163"/>
      <c r="E107" s="163"/>
      <c r="F107" s="156"/>
      <c r="G107" s="163"/>
    </row>
    <row r="108" spans="1:7" x14ac:dyDescent="0.25">
      <c r="A108" s="156"/>
      <c r="B108" s="160"/>
      <c r="C108" s="159"/>
      <c r="D108" s="163"/>
      <c r="E108" s="163"/>
      <c r="F108" s="156"/>
      <c r="G108" s="163"/>
    </row>
    <row r="109" spans="1:7" x14ac:dyDescent="0.25">
      <c r="A109" s="156"/>
      <c r="B109" s="160"/>
      <c r="C109" s="159"/>
      <c r="D109" s="163"/>
      <c r="E109" s="163"/>
      <c r="F109" s="156"/>
      <c r="G109" s="163"/>
    </row>
    <row r="110" spans="1:7" x14ac:dyDescent="0.25">
      <c r="A110" s="156"/>
      <c r="B110" s="160"/>
      <c r="C110" s="159"/>
      <c r="D110" s="163"/>
      <c r="E110" s="163"/>
      <c r="F110" s="156"/>
      <c r="G110" s="163"/>
    </row>
    <row r="111" spans="1:7" x14ac:dyDescent="0.25">
      <c r="A111" s="156"/>
      <c r="B111" s="160"/>
      <c r="C111" s="159"/>
      <c r="D111" s="163"/>
      <c r="E111" s="163"/>
      <c r="F111" s="156"/>
      <c r="G111" s="163"/>
    </row>
    <row r="112" spans="1:7" x14ac:dyDescent="0.25">
      <c r="A112" s="156"/>
      <c r="B112" s="160"/>
      <c r="C112" s="159"/>
      <c r="D112" s="163"/>
      <c r="E112" s="163"/>
      <c r="F112" s="156"/>
      <c r="G112" s="163"/>
    </row>
    <row r="113" spans="1:7" x14ac:dyDescent="0.25">
      <c r="A113" s="156"/>
      <c r="B113" s="156"/>
      <c r="C113" s="159"/>
      <c r="D113" s="156"/>
      <c r="E113" s="163"/>
      <c r="F113" s="156"/>
      <c r="G113" s="163"/>
    </row>
    <row r="114" spans="1:7" x14ac:dyDescent="0.25">
      <c r="A114" s="158"/>
      <c r="B114" s="156"/>
      <c r="C114" s="159"/>
      <c r="D114" s="156"/>
      <c r="E114" s="163"/>
      <c r="F114" s="156"/>
      <c r="G114" s="163"/>
    </row>
    <row r="115" spans="1:7" x14ac:dyDescent="0.25">
      <c r="A115" s="156"/>
      <c r="B115" s="160"/>
      <c r="C115" s="159"/>
      <c r="D115" s="163"/>
      <c r="E115" s="163"/>
      <c r="F115" s="156"/>
      <c r="G115" s="163"/>
    </row>
    <row r="116" spans="1:7" x14ac:dyDescent="0.25">
      <c r="A116" s="156"/>
      <c r="B116" s="160"/>
      <c r="C116" s="159"/>
      <c r="D116" s="163"/>
      <c r="E116" s="163"/>
      <c r="F116" s="156"/>
      <c r="G116" s="163"/>
    </row>
    <row r="117" spans="1:7" x14ac:dyDescent="0.25">
      <c r="A117" s="156"/>
      <c r="B117" s="160"/>
      <c r="C117" s="159"/>
      <c r="D117" s="163"/>
      <c r="E117" s="163"/>
      <c r="F117" s="156"/>
      <c r="G117" s="163"/>
    </row>
    <row r="118" spans="1:7" x14ac:dyDescent="0.25">
      <c r="A118" s="156"/>
      <c r="B118" s="160"/>
      <c r="C118" s="159"/>
      <c r="D118" s="163"/>
      <c r="E118" s="163"/>
      <c r="F118" s="156"/>
      <c r="G118" s="163"/>
    </row>
    <row r="119" spans="1:7" x14ac:dyDescent="0.25">
      <c r="A119" s="156"/>
      <c r="B119" s="160"/>
      <c r="C119" s="159"/>
      <c r="D119" s="163"/>
      <c r="E119" s="163"/>
      <c r="F119" s="156"/>
      <c r="G119" s="163"/>
    </row>
    <row r="120" spans="1:7" x14ac:dyDescent="0.25">
      <c r="A120" s="156"/>
      <c r="B120" s="156"/>
      <c r="C120" s="159"/>
      <c r="D120" s="156"/>
      <c r="E120" s="156"/>
      <c r="F120" s="156"/>
      <c r="G120" s="163"/>
    </row>
    <row r="121" spans="1:7" x14ac:dyDescent="0.25">
      <c r="A121" s="156"/>
      <c r="B121" s="156"/>
      <c r="C121" s="159"/>
      <c r="D121" s="156"/>
      <c r="E121" s="156"/>
      <c r="F121" s="156"/>
      <c r="G121" s="163"/>
    </row>
    <row r="122" spans="1:7" x14ac:dyDescent="0.25">
      <c r="A122" s="156"/>
      <c r="B122" s="156"/>
      <c r="C122" s="159"/>
      <c r="D122" s="156"/>
      <c r="E122" s="156"/>
      <c r="F122" s="156"/>
      <c r="G122" s="163"/>
    </row>
    <row r="123" spans="1:7" x14ac:dyDescent="0.25">
      <c r="A123" s="156"/>
      <c r="B123" s="156"/>
      <c r="C123" s="159"/>
      <c r="D123" s="156"/>
      <c r="E123" s="156"/>
      <c r="F123" s="156"/>
      <c r="G123" s="163"/>
    </row>
    <row r="124" spans="1:7" x14ac:dyDescent="0.25">
      <c r="A124" s="156"/>
      <c r="B124" s="156"/>
      <c r="C124" s="159"/>
      <c r="D124" s="156"/>
      <c r="E124" s="156"/>
      <c r="F124" s="156"/>
      <c r="G124" s="163"/>
    </row>
    <row r="125" spans="1:7" x14ac:dyDescent="0.25">
      <c r="A125" s="156"/>
      <c r="B125" s="156"/>
      <c r="C125" s="159"/>
      <c r="D125" s="156"/>
      <c r="E125" s="156"/>
      <c r="F125" s="156"/>
      <c r="G125" s="163"/>
    </row>
    <row r="126" spans="1:7" x14ac:dyDescent="0.25">
      <c r="A126" s="158"/>
      <c r="B126" s="156"/>
      <c r="C126" s="159"/>
      <c r="D126" s="156"/>
      <c r="E126" s="156"/>
      <c r="F126" s="156"/>
      <c r="G126" s="163"/>
    </row>
    <row r="127" spans="1:7" x14ac:dyDescent="0.25">
      <c r="A127" s="158"/>
      <c r="B127" s="156"/>
      <c r="C127" s="159"/>
      <c r="D127" s="156"/>
      <c r="E127" s="156"/>
      <c r="F127" s="156"/>
      <c r="G127" s="163"/>
    </row>
  </sheetData>
  <pageMargins left="0.7" right="0.7" top="0.75" bottom="0.75" header="0.3" footer="0.3"/>
  <pageSetup scale="85" pageOrder="overThenDown" orientation="portrait" r:id="rId1"/>
  <headerFooter>
    <oddFooter>&amp;L&amp;F - &amp;A&amp;C&amp;D&amp;R&amp;P of &amp;N</oddFooter>
  </headerFooter>
  <rowBreaks count="2" manualBreakCount="2">
    <brk id="40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A61E-94B0-4095-A29A-EA55D66E53E1}">
  <sheetPr>
    <tabColor theme="8" tint="0.59999389629810485"/>
    <pageSetUpPr fitToPage="1"/>
  </sheetPr>
  <dimension ref="A1:AX170"/>
  <sheetViews>
    <sheetView tabSelected="1" topLeftCell="C128" workbookViewId="0">
      <selection activeCell="B43" sqref="B43"/>
    </sheetView>
  </sheetViews>
  <sheetFormatPr defaultColWidth="10.28515625" defaultRowHeight="15" outlineLevelRow="1" outlineLevelCol="1" x14ac:dyDescent="0.25"/>
  <cols>
    <col min="1" max="1" width="26.7109375" style="1" hidden="1" customWidth="1" outlineLevel="1"/>
    <col min="2" max="2" width="29.140625" style="1" customWidth="1" collapsed="1"/>
    <col min="3" max="3" width="32.140625" style="1" bestFit="1" customWidth="1"/>
    <col min="4" max="4" width="18.5703125" style="1" customWidth="1"/>
    <col min="5" max="5" width="15.7109375" style="1" customWidth="1"/>
    <col min="6" max="6" width="14.42578125" style="1" hidden="1" customWidth="1" outlineLevel="1"/>
    <col min="7" max="7" width="12.28515625" style="1" hidden="1" customWidth="1" outlineLevel="1"/>
    <col min="8" max="8" width="11.85546875" style="1" hidden="1" customWidth="1" outlineLevel="1"/>
    <col min="9" max="9" width="12.28515625" style="1" hidden="1" customWidth="1" outlineLevel="1"/>
    <col min="10" max="10" width="11.85546875" style="1" hidden="1" customWidth="1" outlineLevel="1"/>
    <col min="11" max="11" width="12.7109375" style="1" hidden="1" customWidth="1" outlineLevel="1"/>
    <col min="12" max="12" width="12.28515625" style="1" hidden="1" customWidth="1" outlineLevel="1"/>
    <col min="13" max="14" width="12.7109375" style="1" hidden="1" customWidth="1" outlineLevel="1"/>
    <col min="15" max="15" width="12.28515625" style="1" hidden="1" customWidth="1" outlineLevel="1"/>
    <col min="16" max="17" width="12.7109375" style="1" hidden="1" customWidth="1" outlineLevel="1"/>
    <col min="18" max="18" width="12.28515625" style="1" hidden="1" customWidth="1" outlineLevel="1"/>
    <col min="19" max="19" width="15" style="1" customWidth="1" collapsed="1"/>
    <col min="20" max="20" width="5.85546875" style="184" customWidth="1"/>
    <col min="21" max="21" width="9.7109375" style="184" hidden="1" customWidth="1" outlineLevel="1"/>
    <col min="22" max="22" width="10.42578125" style="184" hidden="1" customWidth="1" outlineLevel="1"/>
    <col min="23" max="23" width="10.140625" style="184" hidden="1" customWidth="1" outlineLevel="1"/>
    <col min="24" max="24" width="9.85546875" style="184" hidden="1" customWidth="1" outlineLevel="1"/>
    <col min="25" max="25" width="9.7109375" style="184" hidden="1" customWidth="1" outlineLevel="1"/>
    <col min="26" max="26" width="10.42578125" style="184" hidden="1" customWidth="1" outlineLevel="1"/>
    <col min="27" max="27" width="10.140625" style="184" hidden="1" customWidth="1" outlineLevel="1"/>
    <col min="28" max="32" width="10.7109375" style="1" hidden="1" customWidth="1" outlineLevel="1"/>
    <col min="33" max="33" width="15.85546875" style="1" customWidth="1" collapsed="1"/>
    <col min="34" max="34" width="19.7109375" style="1" bestFit="1" customWidth="1"/>
    <col min="35" max="35" width="14.28515625" style="1" customWidth="1"/>
    <col min="36" max="39" width="14.28515625" style="185" hidden="1" customWidth="1" outlineLevel="1"/>
    <col min="40" max="40" width="21.85546875" style="186" customWidth="1" collapsed="1"/>
    <col min="41" max="41" width="10.28515625" style="1" customWidth="1"/>
    <col min="42" max="42" width="11.140625" style="1" bestFit="1" customWidth="1"/>
    <col min="43" max="43" width="11.140625" style="1" customWidth="1"/>
    <col min="44" max="44" width="10.28515625" style="1"/>
    <col min="45" max="45" width="17.28515625" style="1" bestFit="1" customWidth="1"/>
    <col min="46" max="46" width="10.28515625" style="1"/>
    <col min="47" max="47" width="18.42578125" style="1" bestFit="1" customWidth="1"/>
    <col min="48" max="48" width="14.5703125" style="1" customWidth="1"/>
    <col min="49" max="49" width="14.7109375" style="1" bestFit="1" customWidth="1"/>
    <col min="50" max="55" width="10.28515625" style="1"/>
    <col min="56" max="56" width="10.85546875" style="1" bestFit="1" customWidth="1"/>
    <col min="57" max="16384" width="10.28515625" style="1"/>
  </cols>
  <sheetData>
    <row r="1" spans="1:50" ht="26.25" x14ac:dyDescent="0.25">
      <c r="B1" s="2" t="s">
        <v>4</v>
      </c>
      <c r="C1" s="2"/>
      <c r="D1" s="2"/>
      <c r="AP1" s="187"/>
      <c r="AQ1" s="187"/>
      <c r="AR1" s="188" t="s">
        <v>314</v>
      </c>
      <c r="AS1" s="188" t="s">
        <v>3</v>
      </c>
      <c r="AT1" s="188" t="s">
        <v>315</v>
      </c>
      <c r="AU1" s="188" t="s">
        <v>316</v>
      </c>
      <c r="AV1" s="188" t="s">
        <v>317</v>
      </c>
      <c r="AW1" s="188" t="s">
        <v>5</v>
      </c>
    </row>
    <row r="2" spans="1:50" x14ac:dyDescent="0.25">
      <c r="B2" s="2" t="s">
        <v>7</v>
      </c>
      <c r="C2" s="2"/>
      <c r="D2" s="2"/>
      <c r="S2" s="7"/>
      <c r="AA2" s="8" t="s">
        <v>8</v>
      </c>
      <c r="AB2" s="189">
        <f>+'[51]Murrey''s American G-9 Reg.'!$AC$2</f>
        <v>12</v>
      </c>
      <c r="AD2" s="5"/>
      <c r="AE2" s="5"/>
      <c r="AF2" s="5"/>
      <c r="AG2" s="5"/>
      <c r="AH2" s="5"/>
      <c r="AP2" s="190" t="s">
        <v>6</v>
      </c>
      <c r="AQ2" s="190"/>
      <c r="AR2" s="191">
        <f>+'[52]LG BRG - Vashon MSW'!K22</f>
        <v>0.11420026733274335</v>
      </c>
      <c r="AS2" s="192">
        <v>3.5000000000000001E-3</v>
      </c>
      <c r="AT2" s="193">
        <f>+AR2+AS2</f>
        <v>0.11770026733274336</v>
      </c>
      <c r="AU2" s="194">
        <f>+AS159</f>
        <v>126748.0917100216</v>
      </c>
      <c r="AV2" s="195">
        <f>+'[52]LG BRG - Vashon MSW'!J7</f>
        <v>121842.34470476373</v>
      </c>
      <c r="AW2" s="196">
        <f>AU2-AV2</f>
        <v>4905.7470052578719</v>
      </c>
      <c r="AX2" s="174" t="s">
        <v>318</v>
      </c>
    </row>
    <row r="3" spans="1:50" x14ac:dyDescent="0.25">
      <c r="B3" s="2" t="str">
        <f>+'[51]Murrey''s American G-9 Reg.'!B3</f>
        <v>June 2021 - May 2022</v>
      </c>
      <c r="C3" s="2"/>
      <c r="G3" s="1">
        <f>+'[51]Murrey''s American G-9 Reg.'!G3</f>
        <v>6</v>
      </c>
      <c r="H3" s="1">
        <f>+'[51]Murrey''s American G-9 Reg.'!H3</f>
        <v>7</v>
      </c>
      <c r="I3" s="1">
        <f>+'[51]Murrey''s American G-9 Reg.'!I3</f>
        <v>8</v>
      </c>
      <c r="J3" s="1">
        <f>+'[51]Murrey''s American G-9 Reg.'!J3</f>
        <v>9</v>
      </c>
      <c r="K3" s="1">
        <f>+'[51]Murrey''s American G-9 Reg.'!K3</f>
        <v>10</v>
      </c>
      <c r="L3" s="1">
        <f>+'[51]Murrey''s American G-9 Reg.'!L3</f>
        <v>11</v>
      </c>
      <c r="M3" s="1">
        <f>+'[51]Murrey''s American G-9 Reg.'!M3</f>
        <v>12</v>
      </c>
      <c r="N3" s="1">
        <f>+'[51]Murrey''s American G-9 Reg.'!N3</f>
        <v>1</v>
      </c>
      <c r="O3" s="1">
        <f>+'[51]Murrey''s American G-9 Reg.'!O3</f>
        <v>2</v>
      </c>
      <c r="P3" s="1">
        <f>+'[51]Murrey''s American G-9 Reg.'!P3</f>
        <v>3</v>
      </c>
      <c r="Q3" s="1">
        <f>+'[51]Murrey''s American G-9 Reg.'!Q3</f>
        <v>4</v>
      </c>
      <c r="R3" s="1">
        <f>+'[51]Murrey''s American G-9 Reg.'!R3</f>
        <v>5</v>
      </c>
      <c r="AP3" s="190" t="s">
        <v>9</v>
      </c>
      <c r="AQ3" s="190"/>
      <c r="AR3" s="191">
        <f>+'[52]LG BRG -Vashon Recycle'!K22</f>
        <v>-3.6553430728963554E-2</v>
      </c>
      <c r="AS3" s="192">
        <v>4.0000000000000001E-3</v>
      </c>
      <c r="AT3" s="193">
        <f>+AR3+AS3</f>
        <v>-3.2553430728963551E-2</v>
      </c>
      <c r="AU3" s="194">
        <f>+AS160</f>
        <v>-8363.792468779111</v>
      </c>
      <c r="AV3" s="195">
        <f>+'[52]LG BRG -Vashon Recycle'!J7</f>
        <v>-9095.1878782478452</v>
      </c>
      <c r="AW3" s="196">
        <f>AU3-AV3</f>
        <v>731.39540946873421</v>
      </c>
      <c r="AX3" s="174" t="s">
        <v>318</v>
      </c>
    </row>
    <row r="4" spans="1:50" x14ac:dyDescent="0.25">
      <c r="B4" s="244" t="s">
        <v>408</v>
      </c>
      <c r="C4" s="2"/>
      <c r="AP4" s="190"/>
      <c r="AQ4" s="190"/>
      <c r="AR4" s="191"/>
      <c r="AS4" s="192"/>
      <c r="AT4" s="193"/>
      <c r="AU4" s="194"/>
      <c r="AV4" s="195"/>
      <c r="AW4" s="196"/>
      <c r="AX4" s="174"/>
    </row>
    <row r="5" spans="1:50" x14ac:dyDescent="0.25">
      <c r="A5" s="1" t="s">
        <v>4</v>
      </c>
      <c r="C5" s="9"/>
      <c r="D5" s="9"/>
      <c r="G5" s="276" t="s">
        <v>10</v>
      </c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197"/>
      <c r="U5" s="276" t="s">
        <v>11</v>
      </c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J5" s="278" t="s">
        <v>319</v>
      </c>
      <c r="AK5" s="278"/>
      <c r="AL5" s="278"/>
      <c r="AM5" s="278"/>
      <c r="AN5" s="278"/>
    </row>
    <row r="6" spans="1:50" ht="46.5" customHeight="1" x14ac:dyDescent="0.25">
      <c r="B6" s="10" t="s">
        <v>12</v>
      </c>
      <c r="C6" s="9" t="s">
        <v>13</v>
      </c>
      <c r="D6" s="9" t="s">
        <v>320</v>
      </c>
      <c r="E6" s="9" t="s">
        <v>321</v>
      </c>
      <c r="F6" s="9"/>
      <c r="G6" s="11">
        <f>'[51]Murrey''s American G-9 Reg.'!G5</f>
        <v>44348</v>
      </c>
      <c r="H6" s="11">
        <f>'[51]Murrey''s American G-9 Reg.'!H5</f>
        <v>44378</v>
      </c>
      <c r="I6" s="11">
        <f>'[51]Murrey''s American G-9 Reg.'!I5</f>
        <v>44409</v>
      </c>
      <c r="J6" s="11">
        <f>'[51]Murrey''s American G-9 Reg.'!J5</f>
        <v>44440</v>
      </c>
      <c r="K6" s="11">
        <f>'[51]Murrey''s American G-9 Reg.'!K5</f>
        <v>44470</v>
      </c>
      <c r="L6" s="11">
        <f>'[51]Murrey''s American G-9 Reg.'!L5</f>
        <v>44501</v>
      </c>
      <c r="M6" s="11">
        <f>'[51]Murrey''s American G-9 Reg.'!M5</f>
        <v>44531</v>
      </c>
      <c r="N6" s="11">
        <f>'[51]Murrey''s American G-9 Reg.'!N5</f>
        <v>44562</v>
      </c>
      <c r="O6" s="11">
        <f>'[51]Murrey''s American G-9 Reg.'!O5</f>
        <v>44593</v>
      </c>
      <c r="P6" s="11">
        <f>'[51]Murrey''s American G-9 Reg.'!P5</f>
        <v>44624</v>
      </c>
      <c r="Q6" s="11">
        <f>'[51]Murrey''s American G-9 Reg.'!Q5</f>
        <v>44655</v>
      </c>
      <c r="R6" s="11">
        <f>'[51]Murrey''s American G-9 Reg.'!R5</f>
        <v>44686</v>
      </c>
      <c r="S6" s="11" t="s">
        <v>0</v>
      </c>
      <c r="U6" s="11">
        <f t="shared" ref="U6:AA6" si="0">+G6</f>
        <v>44348</v>
      </c>
      <c r="V6" s="11">
        <f t="shared" si="0"/>
        <v>44378</v>
      </c>
      <c r="W6" s="11">
        <f t="shared" si="0"/>
        <v>44409</v>
      </c>
      <c r="X6" s="11">
        <f t="shared" si="0"/>
        <v>44440</v>
      </c>
      <c r="Y6" s="11">
        <f t="shared" si="0"/>
        <v>44470</v>
      </c>
      <c r="Z6" s="11">
        <f t="shared" si="0"/>
        <v>44501</v>
      </c>
      <c r="AA6" s="11">
        <f t="shared" si="0"/>
        <v>44531</v>
      </c>
      <c r="AB6" s="11">
        <f>+N6</f>
        <v>44562</v>
      </c>
      <c r="AC6" s="11">
        <f>+O6</f>
        <v>44593</v>
      </c>
      <c r="AD6" s="11">
        <f>+P6</f>
        <v>44624</v>
      </c>
      <c r="AE6" s="11">
        <f>+Q6</f>
        <v>44655</v>
      </c>
      <c r="AF6" s="11">
        <f>+R6</f>
        <v>44686</v>
      </c>
      <c r="AG6" s="11" t="s">
        <v>322</v>
      </c>
      <c r="AH6" s="11" t="s">
        <v>323</v>
      </c>
      <c r="AJ6" s="199" t="s">
        <v>324</v>
      </c>
      <c r="AK6" s="199" t="s">
        <v>325</v>
      </c>
      <c r="AL6" s="199" t="s">
        <v>326</v>
      </c>
      <c r="AM6" s="199" t="s">
        <v>327</v>
      </c>
      <c r="AN6" s="198" t="s">
        <v>328</v>
      </c>
      <c r="AQ6" s="200" t="s">
        <v>265</v>
      </c>
      <c r="AR6" s="201" t="s">
        <v>14</v>
      </c>
      <c r="AS6" s="201" t="s">
        <v>15</v>
      </c>
      <c r="AT6" s="201" t="s">
        <v>329</v>
      </c>
      <c r="AU6" s="201" t="s">
        <v>330</v>
      </c>
    </row>
    <row r="8" spans="1:50" outlineLevel="1" x14ac:dyDescent="0.25">
      <c r="B8" s="12" t="s">
        <v>16</v>
      </c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50" outlineLevel="1" x14ac:dyDescent="0.25">
      <c r="B9" s="12"/>
      <c r="C9" s="1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50" outlineLevel="1" x14ac:dyDescent="0.25">
      <c r="A10" s="1" t="s">
        <v>247</v>
      </c>
      <c r="B10" s="15" t="s">
        <v>17</v>
      </c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50" outlineLevel="1" x14ac:dyDescent="0.25">
      <c r="A11" s="1" t="str">
        <f t="shared" ref="A11:A34" si="1">+$A$5&amp;$A$10&amp;B11</f>
        <v>VashonResidential20RW1</v>
      </c>
      <c r="B11" s="1" t="s">
        <v>18</v>
      </c>
      <c r="C11" s="1" t="s">
        <v>19</v>
      </c>
      <c r="D11" s="202">
        <f>IFERROR(VLOOKUP(A11,[53]Vashon!$A$10:$S$434,4,FALSE),0)</f>
        <v>13.4</v>
      </c>
      <c r="E11" s="202">
        <f>IFERROR(VLOOKUP(A11,'[51]PI Default Pricing 3.1.21'!A:L,12,FALSE),0)</f>
        <v>13.8</v>
      </c>
      <c r="F11" s="16"/>
      <c r="G11" s="203">
        <v>2428.75</v>
      </c>
      <c r="H11" s="203">
        <v>2432.1</v>
      </c>
      <c r="I11" s="203">
        <v>2447.1750000000002</v>
      </c>
      <c r="J11" s="203">
        <v>2479.0000000000005</v>
      </c>
      <c r="K11" s="203">
        <v>2378.5</v>
      </c>
      <c r="L11" s="203">
        <v>2475.65</v>
      </c>
      <c r="M11" s="203">
        <v>2502.3250000000003</v>
      </c>
      <c r="N11" s="17">
        <v>2496.4499999999998</v>
      </c>
      <c r="O11" s="17">
        <v>2592.6750000000002</v>
      </c>
      <c r="P11" s="17">
        <v>2647.875</v>
      </c>
      <c r="Q11" s="17">
        <v>2601.3000000000002</v>
      </c>
      <c r="R11" s="17">
        <v>2617.3650000000002</v>
      </c>
      <c r="S11" s="17">
        <v>30099.165000000001</v>
      </c>
      <c r="U11" s="204">
        <f t="shared" ref="U11:AA34" si="2">+IFERROR(G11/$D11,0)</f>
        <v>181.25</v>
      </c>
      <c r="V11" s="204">
        <f t="shared" si="2"/>
        <v>181.5</v>
      </c>
      <c r="W11" s="204">
        <f t="shared" si="2"/>
        <v>182.625</v>
      </c>
      <c r="X11" s="204">
        <f t="shared" si="2"/>
        <v>185.00000000000003</v>
      </c>
      <c r="Y11" s="204">
        <f t="shared" si="2"/>
        <v>177.5</v>
      </c>
      <c r="Z11" s="204">
        <f t="shared" si="2"/>
        <v>184.75</v>
      </c>
      <c r="AA11" s="204">
        <f t="shared" si="2"/>
        <v>186.74067164179107</v>
      </c>
      <c r="AB11" s="204">
        <f t="shared" ref="AB11:AF26" si="3">+IFERROR(N11/$E11,0)</f>
        <v>180.90217391304347</v>
      </c>
      <c r="AC11" s="204">
        <f t="shared" si="3"/>
        <v>187.875</v>
      </c>
      <c r="AD11" s="204">
        <f t="shared" si="3"/>
        <v>191.875</v>
      </c>
      <c r="AE11" s="204">
        <f t="shared" si="3"/>
        <v>188.5</v>
      </c>
      <c r="AF11" s="204">
        <f t="shared" si="3"/>
        <v>189.66413043478261</v>
      </c>
      <c r="AG11" s="239">
        <f t="shared" ref="AG11" si="4">SUM(U11:AF11)</f>
        <v>2218.1819759896171</v>
      </c>
      <c r="AH11" s="239">
        <f t="shared" ref="AH11" si="5">+SUM(U11:AF11)/$AB$2</f>
        <v>184.84849799913476</v>
      </c>
      <c r="AI11" s="5">
        <f>+SUMIF('DF Calculation'!$C$3:$C$13,C11,'DF Calculation'!$D$3:$D$13)-AG11</f>
        <v>-2</v>
      </c>
      <c r="AN11" s="186">
        <f t="shared" ref="AN11:AN35" si="6">AM11*AH11</f>
        <v>0</v>
      </c>
      <c r="AQ11" s="205">
        <v>14.24</v>
      </c>
      <c r="AR11" s="19">
        <f>+$AT$2*AQ11</f>
        <v>1.6760518068182655</v>
      </c>
      <c r="AS11" s="19">
        <f>+AH11*AR11*12</f>
        <v>3717.7879087091083</v>
      </c>
      <c r="AT11" s="19">
        <f>+AR11+AQ11</f>
        <v>15.916051806818265</v>
      </c>
      <c r="AU11" s="19">
        <f>+AS11+S11</f>
        <v>33816.952908709107</v>
      </c>
      <c r="AV11" s="206"/>
      <c r="AW11" s="206"/>
    </row>
    <row r="12" spans="1:50" outlineLevel="1" x14ac:dyDescent="0.25">
      <c r="A12" s="1" t="str">
        <f t="shared" si="1"/>
        <v>VashonResidential20RW1R</v>
      </c>
      <c r="B12" s="1" t="s">
        <v>20</v>
      </c>
      <c r="C12" s="174" t="s">
        <v>21</v>
      </c>
      <c r="D12" s="202">
        <v>13.4</v>
      </c>
      <c r="E12" s="202">
        <v>13.8</v>
      </c>
      <c r="F12" s="16"/>
      <c r="G12" s="203">
        <v>0</v>
      </c>
      <c r="H12" s="203">
        <v>-26.8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-26.8</v>
      </c>
      <c r="U12" s="204">
        <f t="shared" si="2"/>
        <v>0</v>
      </c>
      <c r="V12" s="204">
        <f t="shared" si="2"/>
        <v>-2</v>
      </c>
      <c r="W12" s="204">
        <f t="shared" si="2"/>
        <v>0</v>
      </c>
      <c r="X12" s="204">
        <f t="shared" si="2"/>
        <v>0</v>
      </c>
      <c r="Y12" s="204">
        <f t="shared" si="2"/>
        <v>0</v>
      </c>
      <c r="Z12" s="204">
        <f t="shared" si="2"/>
        <v>0</v>
      </c>
      <c r="AA12" s="204">
        <f t="shared" si="2"/>
        <v>0</v>
      </c>
      <c r="AB12" s="204">
        <f t="shared" si="3"/>
        <v>0</v>
      </c>
      <c r="AC12" s="204">
        <f t="shared" si="3"/>
        <v>0</v>
      </c>
      <c r="AD12" s="204">
        <f t="shared" si="3"/>
        <v>0</v>
      </c>
      <c r="AE12" s="204">
        <f t="shared" si="3"/>
        <v>0</v>
      </c>
      <c r="AF12" s="204">
        <f t="shared" si="3"/>
        <v>0</v>
      </c>
      <c r="AG12" s="239">
        <f t="shared" ref="AG12:AG34" si="7">SUM(U12:AF12)</f>
        <v>-2</v>
      </c>
      <c r="AH12" s="239">
        <f t="shared" ref="AH12:AH34" si="8">+SUM(U12:AF12)/$AB$2</f>
        <v>-0.16666666666666666</v>
      </c>
      <c r="AI12" s="5">
        <f>+SUMIF('DF Calculation'!$C$3:$C$13,C12,'DF Calculation'!$D$3:$D$13)-AG12</f>
        <v>2</v>
      </c>
      <c r="AN12" s="186">
        <f t="shared" si="6"/>
        <v>0</v>
      </c>
      <c r="AQ12" s="205">
        <v>14.24</v>
      </c>
      <c r="AR12" s="19">
        <f t="shared" ref="AR12:AR34" si="9">+$AT$2*AQ12</f>
        <v>1.6760518068182655</v>
      </c>
      <c r="AS12" s="19">
        <f t="shared" ref="AS12:AS35" si="10">+AH12*AR12*12</f>
        <v>-3.3521036136365305</v>
      </c>
      <c r="AT12" s="19">
        <f t="shared" ref="AT12:AT34" si="11">+AR12+AQ12</f>
        <v>15.916051806818265</v>
      </c>
      <c r="AU12" s="19">
        <f t="shared" ref="AU12:AU35" si="12">+AS12+S12</f>
        <v>-30.15210361363653</v>
      </c>
      <c r="AV12" s="206"/>
      <c r="AW12" s="206"/>
    </row>
    <row r="13" spans="1:50" outlineLevel="1" x14ac:dyDescent="0.25">
      <c r="A13" s="1" t="str">
        <f t="shared" si="1"/>
        <v>VashonResidential32RE1</v>
      </c>
      <c r="B13" s="1" t="s">
        <v>22</v>
      </c>
      <c r="C13" s="1" t="s">
        <v>23</v>
      </c>
      <c r="D13" s="202">
        <f>IFERROR(VLOOKUP(A13,[53]Vashon!$A$10:$S$434,4,FALSE),0)</f>
        <v>14.92</v>
      </c>
      <c r="E13" s="202">
        <f>IFERROR(VLOOKUP(A13,'[51]PI Default Pricing 3.1.21'!A:L,12,FALSE),0)</f>
        <v>15.26</v>
      </c>
      <c r="F13" s="16"/>
      <c r="G13" s="203">
        <v>4427.51</v>
      </c>
      <c r="H13" s="203">
        <v>4449.8899999999994</v>
      </c>
      <c r="I13" s="203">
        <v>4542.8649999999998</v>
      </c>
      <c r="J13" s="203">
        <v>4527.9449999999988</v>
      </c>
      <c r="K13" s="203">
        <v>4439.5749999999998</v>
      </c>
      <c r="L13" s="203">
        <v>4574.8450000000003</v>
      </c>
      <c r="M13" s="203">
        <v>4589.97</v>
      </c>
      <c r="N13" s="17">
        <v>4669.17</v>
      </c>
      <c r="O13" s="17">
        <v>4712.9449999999997</v>
      </c>
      <c r="P13" s="17">
        <v>4738.2249999999995</v>
      </c>
      <c r="Q13" s="17">
        <v>4719.1549999999997</v>
      </c>
      <c r="R13" s="17">
        <v>4718.3549999999996</v>
      </c>
      <c r="S13" s="17">
        <v>55110.45</v>
      </c>
      <c r="U13" s="204">
        <f t="shared" si="2"/>
        <v>296.75</v>
      </c>
      <c r="V13" s="204">
        <f t="shared" si="2"/>
        <v>298.24999999999994</v>
      </c>
      <c r="W13" s="204">
        <f t="shared" si="2"/>
        <v>304.48156836461123</v>
      </c>
      <c r="X13" s="204">
        <f t="shared" si="2"/>
        <v>303.48156836461118</v>
      </c>
      <c r="Y13" s="204">
        <f t="shared" si="2"/>
        <v>297.55864611260051</v>
      </c>
      <c r="Z13" s="204">
        <f t="shared" si="2"/>
        <v>306.625</v>
      </c>
      <c r="AA13" s="204">
        <f t="shared" si="2"/>
        <v>307.63873994638072</v>
      </c>
      <c r="AB13" s="204">
        <f t="shared" si="3"/>
        <v>305.97444298820449</v>
      </c>
      <c r="AC13" s="204">
        <f t="shared" si="3"/>
        <v>308.84305373525558</v>
      </c>
      <c r="AD13" s="204">
        <f t="shared" si="3"/>
        <v>310.49967234600257</v>
      </c>
      <c r="AE13" s="204">
        <f t="shared" si="3"/>
        <v>309.25</v>
      </c>
      <c r="AF13" s="204">
        <f t="shared" si="3"/>
        <v>309.19757536041936</v>
      </c>
      <c r="AG13" s="239">
        <f t="shared" si="7"/>
        <v>3658.5502672180855</v>
      </c>
      <c r="AH13" s="239">
        <f t="shared" si="8"/>
        <v>304.87918893484044</v>
      </c>
      <c r="AI13" s="5">
        <f>+SUMIF('DF Calculation'!$C$3:$C$13,C13,'DF Calculation'!$D$3:$D$13)-AG13</f>
        <v>0</v>
      </c>
      <c r="AN13" s="186">
        <f t="shared" si="6"/>
        <v>0</v>
      </c>
      <c r="AQ13" s="205">
        <v>15.64</v>
      </c>
      <c r="AR13" s="19">
        <f t="shared" si="9"/>
        <v>1.8408321810841062</v>
      </c>
      <c r="AS13" s="19">
        <f t="shared" si="10"/>
        <v>6734.7770680089079</v>
      </c>
      <c r="AT13" s="19">
        <f t="shared" si="11"/>
        <v>17.480832181084107</v>
      </c>
      <c r="AU13" s="19">
        <f t="shared" si="12"/>
        <v>61845.227068008906</v>
      </c>
      <c r="AV13" s="206"/>
      <c r="AW13" s="206"/>
    </row>
    <row r="14" spans="1:50" outlineLevel="1" x14ac:dyDescent="0.25">
      <c r="A14" s="1" t="str">
        <f t="shared" si="1"/>
        <v>VashonResidential32RM1</v>
      </c>
      <c r="B14" s="1" t="s">
        <v>24</v>
      </c>
      <c r="C14" s="1" t="s">
        <v>25</v>
      </c>
      <c r="D14" s="202">
        <f>IFERROR(VLOOKUP(A14,[53]Vashon!$A$10:$S$434,4,FALSE),0)/2</f>
        <v>6.03</v>
      </c>
      <c r="E14" s="202">
        <f>IFERROR(VLOOKUP(A14,'[51]PI Default Pricing 3.1.21'!A:L,12,FALSE),0)/2</f>
        <v>6.19</v>
      </c>
      <c r="F14" s="16"/>
      <c r="G14" s="203">
        <v>744.70500000000004</v>
      </c>
      <c r="H14" s="203">
        <v>756.76499999999999</v>
      </c>
      <c r="I14" s="203">
        <v>744.70499999999993</v>
      </c>
      <c r="J14" s="203">
        <v>743.19</v>
      </c>
      <c r="K14" s="203">
        <v>732.64499999999998</v>
      </c>
      <c r="L14" s="203">
        <v>744.70499999999993</v>
      </c>
      <c r="M14" s="203">
        <v>742.005</v>
      </c>
      <c r="N14" s="17">
        <v>752.17</v>
      </c>
      <c r="O14" s="17">
        <v>764.46500000000003</v>
      </c>
      <c r="P14" s="17">
        <v>789.22500000000014</v>
      </c>
      <c r="Q14" s="17">
        <v>795.41500000000008</v>
      </c>
      <c r="R14" s="17">
        <v>801.39499999999998</v>
      </c>
      <c r="S14" s="17">
        <v>9111.3900000000012</v>
      </c>
      <c r="U14" s="204">
        <f t="shared" si="2"/>
        <v>123.5</v>
      </c>
      <c r="V14" s="204">
        <f t="shared" si="2"/>
        <v>125.49999999999999</v>
      </c>
      <c r="W14" s="204">
        <f t="shared" si="2"/>
        <v>123.49999999999999</v>
      </c>
      <c r="X14" s="204">
        <f t="shared" si="2"/>
        <v>123.24875621890547</v>
      </c>
      <c r="Y14" s="204">
        <f t="shared" si="2"/>
        <v>121.49999999999999</v>
      </c>
      <c r="Z14" s="204">
        <f t="shared" si="2"/>
        <v>123.49999999999999</v>
      </c>
      <c r="AA14" s="204">
        <f t="shared" si="2"/>
        <v>123.05223880597015</v>
      </c>
      <c r="AB14" s="204">
        <f t="shared" si="3"/>
        <v>121.51373182552503</v>
      </c>
      <c r="AC14" s="204">
        <f t="shared" si="3"/>
        <v>123.5</v>
      </c>
      <c r="AD14" s="204">
        <f t="shared" si="3"/>
        <v>127.50000000000001</v>
      </c>
      <c r="AE14" s="204">
        <f t="shared" si="3"/>
        <v>128.5</v>
      </c>
      <c r="AF14" s="204">
        <f t="shared" si="3"/>
        <v>129.46607431340871</v>
      </c>
      <c r="AG14" s="239">
        <f t="shared" si="7"/>
        <v>1494.2808011638094</v>
      </c>
      <c r="AH14" s="239">
        <f t="shared" si="8"/>
        <v>124.52340009698412</v>
      </c>
      <c r="AI14" s="5">
        <f>+SUMIF('DF Calculation'!$C$3:$C$13,C14,'DF Calculation'!$D$3:$D$13)-AG14</f>
        <v>0</v>
      </c>
      <c r="AN14" s="186">
        <f t="shared" si="6"/>
        <v>0</v>
      </c>
      <c r="AQ14" s="205">
        <v>6.36</v>
      </c>
      <c r="AR14" s="19">
        <f t="shared" si="9"/>
        <v>0.74857370023624781</v>
      </c>
      <c r="AS14" s="19">
        <f t="shared" si="10"/>
        <v>1118.5793085191776</v>
      </c>
      <c r="AT14" s="19">
        <f t="shared" si="11"/>
        <v>7.1085737002362483</v>
      </c>
      <c r="AU14" s="19">
        <f t="shared" si="12"/>
        <v>10229.969308519179</v>
      </c>
      <c r="AV14" s="206"/>
      <c r="AW14" s="206"/>
    </row>
    <row r="15" spans="1:50" outlineLevel="1" x14ac:dyDescent="0.25">
      <c r="A15" s="1" t="str">
        <f t="shared" si="1"/>
        <v>VashonResidential32ROCPU</v>
      </c>
      <c r="B15" s="1" t="s">
        <v>26</v>
      </c>
      <c r="C15" s="1" t="s">
        <v>27</v>
      </c>
      <c r="D15" s="202">
        <f>IFERROR(VLOOKUP(A15,[53]Vashon!$A$10:$S$434,4,FALSE),0)</f>
        <v>6.13</v>
      </c>
      <c r="E15" s="202">
        <v>6.29</v>
      </c>
      <c r="F15" s="16"/>
      <c r="G15" s="203">
        <v>24.52</v>
      </c>
      <c r="H15" s="203">
        <v>0</v>
      </c>
      <c r="I15" s="203">
        <v>0</v>
      </c>
      <c r="J15" s="203">
        <v>6.13</v>
      </c>
      <c r="K15" s="203">
        <v>0</v>
      </c>
      <c r="L15" s="203">
        <v>12.26</v>
      </c>
      <c r="M15" s="203">
        <v>0</v>
      </c>
      <c r="N15" s="17">
        <v>12.26</v>
      </c>
      <c r="O15" s="17">
        <v>18.39</v>
      </c>
      <c r="P15" s="17">
        <v>6.29</v>
      </c>
      <c r="Q15" s="17">
        <v>6.13</v>
      </c>
      <c r="R15" s="17">
        <v>12.26</v>
      </c>
      <c r="S15" s="17">
        <v>98.240000000000009</v>
      </c>
      <c r="U15" s="204">
        <f t="shared" si="2"/>
        <v>4</v>
      </c>
      <c r="V15" s="204">
        <f t="shared" si="2"/>
        <v>0</v>
      </c>
      <c r="W15" s="204">
        <f t="shared" si="2"/>
        <v>0</v>
      </c>
      <c r="X15" s="204">
        <f t="shared" si="2"/>
        <v>1</v>
      </c>
      <c r="Y15" s="204">
        <f t="shared" si="2"/>
        <v>0</v>
      </c>
      <c r="Z15" s="204">
        <f t="shared" si="2"/>
        <v>2</v>
      </c>
      <c r="AA15" s="204">
        <f t="shared" si="2"/>
        <v>0</v>
      </c>
      <c r="AB15" s="204">
        <f t="shared" si="3"/>
        <v>1.9491255961844196</v>
      </c>
      <c r="AC15" s="204">
        <f t="shared" si="3"/>
        <v>2.9236883942766299</v>
      </c>
      <c r="AD15" s="204">
        <f t="shared" si="3"/>
        <v>1</v>
      </c>
      <c r="AE15" s="204">
        <f t="shared" si="3"/>
        <v>0.9745627980922098</v>
      </c>
      <c r="AF15" s="204">
        <f t="shared" si="3"/>
        <v>1.9491255961844196</v>
      </c>
      <c r="AG15" s="239">
        <f t="shared" si="7"/>
        <v>15.796502384737678</v>
      </c>
      <c r="AH15" s="239">
        <f t="shared" si="8"/>
        <v>1.3163751987281398</v>
      </c>
      <c r="AI15" s="5">
        <f>+SUMIF('DF Calculation'!$C$3:$C$13,C15,'DF Calculation'!$D$3:$D$13)-AG15</f>
        <v>0</v>
      </c>
      <c r="AN15" s="186">
        <f t="shared" si="6"/>
        <v>0</v>
      </c>
      <c r="AQ15" s="205">
        <v>6.46</v>
      </c>
      <c r="AR15" s="19">
        <f t="shared" si="9"/>
        <v>0.76034372696952213</v>
      </c>
      <c r="AS15" s="19">
        <f t="shared" si="10"/>
        <v>12.010771496294389</v>
      </c>
      <c r="AT15" s="19">
        <f t="shared" si="11"/>
        <v>7.2203437269695225</v>
      </c>
      <c r="AU15" s="19">
        <f t="shared" si="12"/>
        <v>110.25077149629439</v>
      </c>
      <c r="AV15" s="206"/>
      <c r="AW15" s="206"/>
    </row>
    <row r="16" spans="1:50" outlineLevel="1" x14ac:dyDescent="0.25">
      <c r="A16" s="1" t="str">
        <f t="shared" si="1"/>
        <v>VashonResidential32RW1</v>
      </c>
      <c r="B16" s="1" t="s">
        <v>28</v>
      </c>
      <c r="C16" s="1" t="s">
        <v>29</v>
      </c>
      <c r="D16" s="202">
        <f>IFERROR(VLOOKUP(A16,[53]Vashon!$A$10:$S$434,4,FALSE),0)</f>
        <v>18.97</v>
      </c>
      <c r="E16" s="202">
        <f>IFERROR(VLOOKUP(A16,'[51]PI Default Pricing 3.1.21'!A:L,12,FALSE),0)</f>
        <v>19.649999999999999</v>
      </c>
      <c r="F16" s="16"/>
      <c r="G16" s="203">
        <v>28653.185000000001</v>
      </c>
      <c r="H16" s="203">
        <v>29061.535</v>
      </c>
      <c r="I16" s="203">
        <v>29264.264999999999</v>
      </c>
      <c r="J16" s="203">
        <v>29689.81</v>
      </c>
      <c r="K16" s="203">
        <v>29271.62</v>
      </c>
      <c r="L16" s="203">
        <v>29063.975000000002</v>
      </c>
      <c r="M16" s="203">
        <v>28972.62</v>
      </c>
      <c r="N16" s="17">
        <v>29274.715</v>
      </c>
      <c r="O16" s="17">
        <v>29431.345000000001</v>
      </c>
      <c r="P16" s="17">
        <v>29954.420000000002</v>
      </c>
      <c r="Q16" s="17">
        <v>29636.17</v>
      </c>
      <c r="R16" s="17">
        <v>30003.814999999999</v>
      </c>
      <c r="S16" s="17">
        <v>352277.47499999998</v>
      </c>
      <c r="U16" s="204">
        <f t="shared" si="2"/>
        <v>1510.4472851871378</v>
      </c>
      <c r="V16" s="204">
        <f t="shared" si="2"/>
        <v>1531.9733790195046</v>
      </c>
      <c r="W16" s="204">
        <f t="shared" si="2"/>
        <v>1542.6602530311018</v>
      </c>
      <c r="X16" s="204">
        <f t="shared" si="2"/>
        <v>1565.0927780706379</v>
      </c>
      <c r="Y16" s="204">
        <f t="shared" si="2"/>
        <v>1543.0479704797049</v>
      </c>
      <c r="Z16" s="204">
        <f t="shared" si="2"/>
        <v>1532.1020031628889</v>
      </c>
      <c r="AA16" s="204">
        <f t="shared" si="2"/>
        <v>1527.2862414338429</v>
      </c>
      <c r="AB16" s="204">
        <f t="shared" si="3"/>
        <v>1489.8073791348602</v>
      </c>
      <c r="AC16" s="204">
        <f t="shared" si="3"/>
        <v>1497.7783715012724</v>
      </c>
      <c r="AD16" s="204">
        <f t="shared" si="3"/>
        <v>1524.3979643765906</v>
      </c>
      <c r="AE16" s="204">
        <f t="shared" si="3"/>
        <v>1508.2020356234098</v>
      </c>
      <c r="AF16" s="204">
        <f t="shared" si="3"/>
        <v>1526.9117048346056</v>
      </c>
      <c r="AG16" s="239">
        <f t="shared" si="7"/>
        <v>18299.707365855556</v>
      </c>
      <c r="AH16" s="239">
        <f t="shared" si="8"/>
        <v>1524.9756138212963</v>
      </c>
      <c r="AI16" s="5">
        <f>+SUMIF('DF Calculation'!$C$3:$C$13,C16,'DF Calculation'!$D$3:$D$13)-AG16</f>
        <v>0</v>
      </c>
      <c r="AN16" s="186">
        <f t="shared" si="6"/>
        <v>0</v>
      </c>
      <c r="AQ16" s="205">
        <v>20.399999999999999</v>
      </c>
      <c r="AR16" s="19">
        <f t="shared" si="9"/>
        <v>2.4010854535879642</v>
      </c>
      <c r="AS16" s="19">
        <f t="shared" si="10"/>
        <v>43939.161161072298</v>
      </c>
      <c r="AT16" s="19">
        <f t="shared" si="11"/>
        <v>22.801085453587962</v>
      </c>
      <c r="AU16" s="19">
        <f t="shared" si="12"/>
        <v>396216.6361610723</v>
      </c>
      <c r="AV16" s="206"/>
      <c r="AW16" s="206"/>
    </row>
    <row r="17" spans="1:49" outlineLevel="1" x14ac:dyDescent="0.25">
      <c r="A17" s="1" t="str">
        <f t="shared" si="1"/>
        <v>VashonResidential32RW2</v>
      </c>
      <c r="B17" s="1" t="s">
        <v>30</v>
      </c>
      <c r="C17" s="1" t="s">
        <v>31</v>
      </c>
      <c r="D17" s="202">
        <f>IFERROR(VLOOKUP(A17,[53]Vashon!$A$10:$S$434,4,FALSE),0)</f>
        <v>26.55</v>
      </c>
      <c r="E17" s="202">
        <f>IFERROR(VLOOKUP(A17,'[51]PI Default Pricing 3.1.21'!A:L,12,FALSE),0)</f>
        <v>27.57</v>
      </c>
      <c r="F17" s="16"/>
      <c r="G17" s="203">
        <v>7699.4749999999995</v>
      </c>
      <c r="H17" s="203">
        <v>7961.6399999999994</v>
      </c>
      <c r="I17" s="203">
        <v>7951.7</v>
      </c>
      <c r="J17" s="203">
        <v>8101.07</v>
      </c>
      <c r="K17" s="203">
        <v>7741.53</v>
      </c>
      <c r="L17" s="203">
        <v>7915.9149999999991</v>
      </c>
      <c r="M17" s="203">
        <v>8013.8399999999992</v>
      </c>
      <c r="N17" s="17">
        <v>8040.085</v>
      </c>
      <c r="O17" s="17">
        <v>8164.1549999999997</v>
      </c>
      <c r="P17" s="17">
        <v>8140.0349999999989</v>
      </c>
      <c r="Q17" s="17">
        <v>8222.74</v>
      </c>
      <c r="R17" s="17">
        <v>8106.19</v>
      </c>
      <c r="S17" s="17">
        <v>96058.375000000015</v>
      </c>
      <c r="U17" s="204">
        <f t="shared" si="2"/>
        <v>289.99905838041428</v>
      </c>
      <c r="V17" s="204">
        <f t="shared" si="2"/>
        <v>299.87344632768361</v>
      </c>
      <c r="W17" s="204">
        <f t="shared" si="2"/>
        <v>299.49905838041428</v>
      </c>
      <c r="X17" s="204">
        <f t="shared" si="2"/>
        <v>305.12504708097924</v>
      </c>
      <c r="Y17" s="204">
        <f t="shared" si="2"/>
        <v>291.58305084745763</v>
      </c>
      <c r="Z17" s="204">
        <f t="shared" si="2"/>
        <v>298.15122410546132</v>
      </c>
      <c r="AA17" s="204">
        <f t="shared" si="2"/>
        <v>301.83954802259882</v>
      </c>
      <c r="AB17" s="204">
        <f t="shared" si="3"/>
        <v>291.62441059122233</v>
      </c>
      <c r="AC17" s="204">
        <f t="shared" si="3"/>
        <v>296.12459194776932</v>
      </c>
      <c r="AD17" s="204">
        <f t="shared" si="3"/>
        <v>295.24972796517949</v>
      </c>
      <c r="AE17" s="204">
        <f t="shared" si="3"/>
        <v>298.24954660863256</v>
      </c>
      <c r="AF17" s="204">
        <f t="shared" si="3"/>
        <v>294.02212549873047</v>
      </c>
      <c r="AG17" s="239">
        <f t="shared" si="7"/>
        <v>3561.3408357565427</v>
      </c>
      <c r="AH17" s="239">
        <f t="shared" si="8"/>
        <v>296.77840297971187</v>
      </c>
      <c r="AI17" s="5">
        <f>+SUMIF('DF Calculation'!$C$3:$C$13,C17,'DF Calculation'!$D$3:$D$13)-AG17</f>
        <v>0</v>
      </c>
      <c r="AN17" s="186">
        <f t="shared" si="6"/>
        <v>0</v>
      </c>
      <c r="AQ17" s="205">
        <v>28.7</v>
      </c>
      <c r="AR17" s="19">
        <f t="shared" si="9"/>
        <v>3.3779976724497343</v>
      </c>
      <c r="AS17" s="19">
        <f t="shared" si="10"/>
        <v>12030.201053985791</v>
      </c>
      <c r="AT17" s="19">
        <f t="shared" si="11"/>
        <v>32.077997672449733</v>
      </c>
      <c r="AU17" s="19">
        <f t="shared" si="12"/>
        <v>108088.5760539858</v>
      </c>
      <c r="AV17" s="206"/>
      <c r="AW17" s="206"/>
    </row>
    <row r="18" spans="1:49" outlineLevel="1" x14ac:dyDescent="0.25">
      <c r="A18" s="1" t="str">
        <f t="shared" si="1"/>
        <v>VashonResidential32RW3</v>
      </c>
      <c r="B18" s="1" t="s">
        <v>32</v>
      </c>
      <c r="C18" s="1" t="s">
        <v>33</v>
      </c>
      <c r="D18" s="202">
        <f>IFERROR(VLOOKUP(A18,[53]Vashon!$A$10:$S$434,4,FALSE),0)</f>
        <v>35.86</v>
      </c>
      <c r="E18" s="202">
        <f>IFERROR(VLOOKUP(A18,'[51]PI Default Pricing 3.1.21'!A:L,12,FALSE),0)</f>
        <v>37.4</v>
      </c>
      <c r="F18" s="16"/>
      <c r="G18" s="203">
        <v>596.16999999999996</v>
      </c>
      <c r="H18" s="203">
        <v>632.03</v>
      </c>
      <c r="I18" s="203">
        <v>654.44500000000005</v>
      </c>
      <c r="J18" s="203">
        <v>690.31500000000005</v>
      </c>
      <c r="K18" s="203">
        <v>519.97</v>
      </c>
      <c r="L18" s="203">
        <v>385.5</v>
      </c>
      <c r="M18" s="203">
        <v>438.79</v>
      </c>
      <c r="N18" s="17">
        <v>440.33</v>
      </c>
      <c r="O18" s="17">
        <v>448.79999999999995</v>
      </c>
      <c r="P18" s="17">
        <v>476.84999999999997</v>
      </c>
      <c r="Q18" s="17">
        <v>467.5</v>
      </c>
      <c r="R18" s="17">
        <v>523.6</v>
      </c>
      <c r="S18" s="17">
        <v>6274.3000000000011</v>
      </c>
      <c r="U18" s="204">
        <f t="shared" si="2"/>
        <v>16.624930284439486</v>
      </c>
      <c r="V18" s="204">
        <f t="shared" si="2"/>
        <v>17.624930284439486</v>
      </c>
      <c r="W18" s="204">
        <f t="shared" si="2"/>
        <v>18.25</v>
      </c>
      <c r="X18" s="204">
        <f t="shared" si="2"/>
        <v>19.250278862242055</v>
      </c>
      <c r="Y18" s="204">
        <f t="shared" si="2"/>
        <v>14.500000000000002</v>
      </c>
      <c r="Z18" s="204">
        <f t="shared" si="2"/>
        <v>10.750139431121026</v>
      </c>
      <c r="AA18" s="204">
        <f t="shared" si="2"/>
        <v>12.236196319018406</v>
      </c>
      <c r="AB18" s="204">
        <f t="shared" si="3"/>
        <v>11.773529411764706</v>
      </c>
      <c r="AC18" s="204">
        <f t="shared" si="3"/>
        <v>12</v>
      </c>
      <c r="AD18" s="204">
        <f t="shared" si="3"/>
        <v>12.75</v>
      </c>
      <c r="AE18" s="204">
        <f t="shared" si="3"/>
        <v>12.5</v>
      </c>
      <c r="AF18" s="204">
        <f t="shared" si="3"/>
        <v>14.000000000000002</v>
      </c>
      <c r="AG18" s="239">
        <f t="shared" si="7"/>
        <v>172.26000459302517</v>
      </c>
      <c r="AH18" s="239">
        <f t="shared" si="8"/>
        <v>14.355000382752097</v>
      </c>
      <c r="AI18" s="5">
        <f>+SUMIF('DF Calculation'!$C$3:$C$13,C18,'DF Calculation'!$D$3:$D$13)-AG18</f>
        <v>0</v>
      </c>
      <c r="AN18" s="186">
        <f t="shared" si="6"/>
        <v>0</v>
      </c>
      <c r="AQ18" s="205">
        <v>39.11</v>
      </c>
      <c r="AR18" s="19">
        <f t="shared" si="9"/>
        <v>4.6032574553835923</v>
      </c>
      <c r="AS18" s="19">
        <f t="shared" si="10"/>
        <v>792.95715040725486</v>
      </c>
      <c r="AT18" s="19">
        <f t="shared" si="11"/>
        <v>43.713257455383591</v>
      </c>
      <c r="AU18" s="19">
        <f t="shared" si="12"/>
        <v>7067.2571504072557</v>
      </c>
      <c r="AV18" s="206"/>
      <c r="AW18" s="206"/>
    </row>
    <row r="19" spans="1:49" outlineLevel="1" x14ac:dyDescent="0.25">
      <c r="A19" s="1" t="str">
        <f t="shared" si="1"/>
        <v>VashonResidential32RW4</v>
      </c>
      <c r="B19" s="1" t="s">
        <v>34</v>
      </c>
      <c r="C19" s="1" t="s">
        <v>35</v>
      </c>
      <c r="D19" s="202">
        <f>IFERROR(VLOOKUP(A19,[53]Vashon!$A$10:$S$434,4,FALSE),0)</f>
        <v>44.89</v>
      </c>
      <c r="E19" s="202">
        <f>IFERROR(VLOOKUP(A19,'[51]PI Default Pricing 3.1.21'!A:L,12,FALSE),0)</f>
        <v>46.83</v>
      </c>
      <c r="F19" s="16"/>
      <c r="G19" s="203">
        <v>224.45</v>
      </c>
      <c r="H19" s="203">
        <v>224.45</v>
      </c>
      <c r="I19" s="203">
        <v>224.45</v>
      </c>
      <c r="J19" s="203">
        <v>404.01</v>
      </c>
      <c r="K19" s="203">
        <v>134.67000000000002</v>
      </c>
      <c r="L19" s="203">
        <v>269.34000000000003</v>
      </c>
      <c r="M19" s="203">
        <v>273.22000000000003</v>
      </c>
      <c r="N19" s="17">
        <v>265.40000000000003</v>
      </c>
      <c r="O19" s="17">
        <v>234.15</v>
      </c>
      <c r="P19" s="17">
        <v>169.76</v>
      </c>
      <c r="Q19" s="17">
        <v>158.05000000000001</v>
      </c>
      <c r="R19" s="17">
        <v>140.49</v>
      </c>
      <c r="S19" s="17">
        <v>2722.4399999999996</v>
      </c>
      <c r="U19" s="204">
        <f t="shared" si="2"/>
        <v>5</v>
      </c>
      <c r="V19" s="204">
        <f t="shared" si="2"/>
        <v>5</v>
      </c>
      <c r="W19" s="204">
        <f t="shared" si="2"/>
        <v>5</v>
      </c>
      <c r="X19" s="204">
        <f t="shared" si="2"/>
        <v>9</v>
      </c>
      <c r="Y19" s="204">
        <f t="shared" si="2"/>
        <v>3.0000000000000004</v>
      </c>
      <c r="Z19" s="204">
        <f t="shared" si="2"/>
        <v>6.0000000000000009</v>
      </c>
      <c r="AA19" s="204">
        <f t="shared" si="2"/>
        <v>6.0864335041211852</v>
      </c>
      <c r="AB19" s="204">
        <f t="shared" si="3"/>
        <v>5.6673072816570587</v>
      </c>
      <c r="AC19" s="204">
        <f t="shared" si="3"/>
        <v>5</v>
      </c>
      <c r="AD19" s="204">
        <f t="shared" si="3"/>
        <v>3.6250266922912662</v>
      </c>
      <c r="AE19" s="204">
        <f t="shared" si="3"/>
        <v>3.3749733077087343</v>
      </c>
      <c r="AF19" s="204">
        <f t="shared" si="3"/>
        <v>3.0000000000000004</v>
      </c>
      <c r="AG19" s="239">
        <f t="shared" si="7"/>
        <v>59.753740785778248</v>
      </c>
      <c r="AH19" s="239">
        <f t="shared" si="8"/>
        <v>4.9794783988148543</v>
      </c>
      <c r="AI19" s="5">
        <f>+SUMIF('DF Calculation'!$C$3:$C$13,C19,'DF Calculation'!$D$3:$D$13)-AG19</f>
        <v>0</v>
      </c>
      <c r="AN19" s="186">
        <f t="shared" si="6"/>
        <v>0</v>
      </c>
      <c r="AQ19" s="205">
        <v>48.98</v>
      </c>
      <c r="AR19" s="19">
        <f t="shared" si="9"/>
        <v>5.7649590939577697</v>
      </c>
      <c r="AS19" s="19">
        <f t="shared" si="10"/>
        <v>344.47787134096762</v>
      </c>
      <c r="AT19" s="19">
        <f t="shared" si="11"/>
        <v>54.744959093957767</v>
      </c>
      <c r="AU19" s="19">
        <f t="shared" si="12"/>
        <v>3066.9178713409674</v>
      </c>
      <c r="AV19" s="206"/>
      <c r="AW19" s="206"/>
    </row>
    <row r="20" spans="1:49" outlineLevel="1" x14ac:dyDescent="0.25">
      <c r="A20" s="1" t="str">
        <f t="shared" si="1"/>
        <v>VashonResidentialCARRY-RES</v>
      </c>
      <c r="B20" s="1" t="s">
        <v>36</v>
      </c>
      <c r="C20" s="1" t="s">
        <v>37</v>
      </c>
      <c r="D20" s="202">
        <f>IFERROR(VLOOKUP(A20,[53]Vashon!$A$10:$S$434,4,FALSE),0)</f>
        <v>2.4300000000000002</v>
      </c>
      <c r="E20" s="202">
        <f>IFERROR(VLOOKUP(A20,'[51]PI Default Pricing 3.1.21'!A:L,12,FALSE),0)</f>
        <v>2.4300000000000002</v>
      </c>
      <c r="F20" s="16"/>
      <c r="G20" s="203">
        <v>9.7200000000000006</v>
      </c>
      <c r="H20" s="203">
        <v>9.7200000000000006</v>
      </c>
      <c r="I20" s="203">
        <v>9.7200000000000006</v>
      </c>
      <c r="J20" s="203">
        <v>9.7200000000000006</v>
      </c>
      <c r="K20" s="203">
        <v>9.7200000000000006</v>
      </c>
      <c r="L20" s="203">
        <v>9.7200000000000006</v>
      </c>
      <c r="M20" s="203">
        <v>9.7200000000000006</v>
      </c>
      <c r="N20" s="17">
        <v>9.7200000000000006</v>
      </c>
      <c r="O20" s="17">
        <v>10.935</v>
      </c>
      <c r="P20" s="17">
        <v>10.935</v>
      </c>
      <c r="Q20" s="17">
        <v>12.15</v>
      </c>
      <c r="R20" s="17">
        <v>12.15</v>
      </c>
      <c r="S20" s="17">
        <v>123.93000000000002</v>
      </c>
      <c r="U20" s="18">
        <f t="shared" si="2"/>
        <v>4</v>
      </c>
      <c r="V20" s="18">
        <f t="shared" si="2"/>
        <v>4</v>
      </c>
      <c r="W20" s="18">
        <f t="shared" si="2"/>
        <v>4</v>
      </c>
      <c r="X20" s="18">
        <f t="shared" si="2"/>
        <v>4</v>
      </c>
      <c r="Y20" s="18">
        <f t="shared" si="2"/>
        <v>4</v>
      </c>
      <c r="Z20" s="18">
        <f t="shared" si="2"/>
        <v>4</v>
      </c>
      <c r="AA20" s="18">
        <f t="shared" si="2"/>
        <v>4</v>
      </c>
      <c r="AB20" s="18">
        <f t="shared" si="3"/>
        <v>4</v>
      </c>
      <c r="AC20" s="18">
        <f t="shared" si="3"/>
        <v>4.5</v>
      </c>
      <c r="AD20" s="18">
        <f t="shared" si="3"/>
        <v>4.5</v>
      </c>
      <c r="AE20" s="18">
        <f t="shared" si="3"/>
        <v>5</v>
      </c>
      <c r="AF20" s="18">
        <f t="shared" si="3"/>
        <v>5</v>
      </c>
      <c r="AG20" s="18">
        <f t="shared" si="7"/>
        <v>51</v>
      </c>
      <c r="AH20" s="18">
        <f t="shared" si="8"/>
        <v>4.25</v>
      </c>
      <c r="AN20" s="186">
        <f t="shared" si="6"/>
        <v>0</v>
      </c>
      <c r="AQ20" s="205">
        <v>2.4300000000000002</v>
      </c>
      <c r="AR20" s="19">
        <f t="shared" si="9"/>
        <v>0.2860116496185664</v>
      </c>
      <c r="AS20" s="19">
        <f t="shared" si="10"/>
        <v>14.586594130546885</v>
      </c>
      <c r="AT20" s="19">
        <f t="shared" si="11"/>
        <v>2.7160116496185664</v>
      </c>
      <c r="AU20" s="19">
        <f t="shared" si="12"/>
        <v>138.51659413054691</v>
      </c>
      <c r="AV20" s="206"/>
      <c r="AW20" s="206"/>
    </row>
    <row r="21" spans="1:49" outlineLevel="1" x14ac:dyDescent="0.25">
      <c r="A21" s="1" t="str">
        <f t="shared" si="1"/>
        <v>VashonResidentialDRIVEPRVT-RES</v>
      </c>
      <c r="B21" s="1" t="s">
        <v>38</v>
      </c>
      <c r="C21" s="1" t="s">
        <v>39</v>
      </c>
      <c r="D21" s="202">
        <f>IFERROR(VLOOKUP(A21,[53]Vashon!$A$10:$S$434,4,FALSE),0)</f>
        <v>5.62</v>
      </c>
      <c r="E21" s="202">
        <f>IFERROR(VLOOKUP(A21,'[51]PI Default Pricing 3.1.21'!A:L,12,FALSE),0)</f>
        <v>5.62</v>
      </c>
      <c r="F21" s="16"/>
      <c r="G21" s="203">
        <v>56.2</v>
      </c>
      <c r="H21" s="203">
        <v>56.2</v>
      </c>
      <c r="I21" s="203">
        <v>56.2</v>
      </c>
      <c r="J21" s="203">
        <v>56.2</v>
      </c>
      <c r="K21" s="203">
        <v>56.2</v>
      </c>
      <c r="L21" s="203">
        <v>56.2</v>
      </c>
      <c r="M21" s="203">
        <v>56.2</v>
      </c>
      <c r="N21" s="17">
        <v>54.800000000000004</v>
      </c>
      <c r="O21" s="17">
        <v>55.494999999999997</v>
      </c>
      <c r="P21" s="17">
        <v>55.494999999999997</v>
      </c>
      <c r="Q21" s="17">
        <v>44.96</v>
      </c>
      <c r="R21" s="17">
        <v>50.58</v>
      </c>
      <c r="S21" s="17">
        <v>654.73</v>
      </c>
      <c r="U21" s="18">
        <f t="shared" si="2"/>
        <v>10</v>
      </c>
      <c r="V21" s="18">
        <f t="shared" si="2"/>
        <v>10</v>
      </c>
      <c r="W21" s="18">
        <f t="shared" si="2"/>
        <v>10</v>
      </c>
      <c r="X21" s="18">
        <f t="shared" si="2"/>
        <v>10</v>
      </c>
      <c r="Y21" s="18">
        <f t="shared" si="2"/>
        <v>10</v>
      </c>
      <c r="Z21" s="18">
        <f t="shared" si="2"/>
        <v>10</v>
      </c>
      <c r="AA21" s="18">
        <f t="shared" si="2"/>
        <v>10</v>
      </c>
      <c r="AB21" s="18">
        <f t="shared" si="3"/>
        <v>9.7508896797153035</v>
      </c>
      <c r="AC21" s="18">
        <f t="shared" si="3"/>
        <v>9.8745551601423482</v>
      </c>
      <c r="AD21" s="18">
        <f t="shared" si="3"/>
        <v>9.8745551601423482</v>
      </c>
      <c r="AE21" s="18">
        <f t="shared" si="3"/>
        <v>8</v>
      </c>
      <c r="AF21" s="18">
        <f t="shared" si="3"/>
        <v>9</v>
      </c>
      <c r="AG21" s="18">
        <f t="shared" si="7"/>
        <v>116.5</v>
      </c>
      <c r="AH21" s="18">
        <f t="shared" si="8"/>
        <v>9.7083333333333339</v>
      </c>
      <c r="AN21" s="186">
        <f t="shared" si="6"/>
        <v>0</v>
      </c>
      <c r="AQ21" s="205">
        <v>5.62</v>
      </c>
      <c r="AR21" s="19">
        <f t="shared" si="9"/>
        <v>0.66147550241001773</v>
      </c>
      <c r="AS21" s="19">
        <f t="shared" si="10"/>
        <v>77.061896030767073</v>
      </c>
      <c r="AT21" s="19">
        <f t="shared" si="11"/>
        <v>6.281475502410018</v>
      </c>
      <c r="AU21" s="19">
        <f t="shared" si="12"/>
        <v>731.79189603076713</v>
      </c>
      <c r="AV21" s="206"/>
      <c r="AW21" s="206"/>
    </row>
    <row r="22" spans="1:49" outlineLevel="1" x14ac:dyDescent="0.25">
      <c r="A22" s="1" t="str">
        <f t="shared" si="1"/>
        <v>VashonResidentialDRVNRE1</v>
      </c>
      <c r="B22" s="1" t="s">
        <v>40</v>
      </c>
      <c r="C22" s="1" t="s">
        <v>41</v>
      </c>
      <c r="D22" s="202">
        <f>IFERROR(VLOOKUP(A22,[53]Vashon!$A$10:$S$434,4,FALSE),0)</f>
        <v>2.81</v>
      </c>
      <c r="E22" s="202">
        <f>IFERROR(VLOOKUP(A22,'[51]PI Default Pricing 3.1.21'!A:L,12,FALSE),0)</f>
        <v>2.81</v>
      </c>
      <c r="F22" s="16"/>
      <c r="G22" s="203">
        <v>35.125</v>
      </c>
      <c r="H22" s="203">
        <v>35.125</v>
      </c>
      <c r="I22" s="203">
        <v>30.91</v>
      </c>
      <c r="J22" s="203">
        <v>33.015000000000001</v>
      </c>
      <c r="K22" s="203">
        <v>30.205000000000002</v>
      </c>
      <c r="L22" s="203">
        <v>33.72</v>
      </c>
      <c r="M22" s="203">
        <v>30.91</v>
      </c>
      <c r="N22" s="17">
        <v>30.91</v>
      </c>
      <c r="O22" s="17">
        <v>19.32</v>
      </c>
      <c r="P22" s="17">
        <v>31.96</v>
      </c>
      <c r="Q22" s="17">
        <v>33.72</v>
      </c>
      <c r="R22" s="17">
        <v>33.72</v>
      </c>
      <c r="S22" s="17">
        <v>378.64</v>
      </c>
      <c r="U22" s="18">
        <f t="shared" si="2"/>
        <v>12.5</v>
      </c>
      <c r="V22" s="18">
        <f t="shared" si="2"/>
        <v>12.5</v>
      </c>
      <c r="W22" s="18">
        <f t="shared" si="2"/>
        <v>11</v>
      </c>
      <c r="X22" s="18">
        <f t="shared" si="2"/>
        <v>11.749110320284698</v>
      </c>
      <c r="Y22" s="18">
        <f t="shared" si="2"/>
        <v>10.749110320284698</v>
      </c>
      <c r="Z22" s="18">
        <f t="shared" si="2"/>
        <v>12</v>
      </c>
      <c r="AA22" s="18">
        <f t="shared" si="2"/>
        <v>11</v>
      </c>
      <c r="AB22" s="18">
        <f t="shared" si="3"/>
        <v>11</v>
      </c>
      <c r="AC22" s="18">
        <f t="shared" si="3"/>
        <v>6.8754448398576509</v>
      </c>
      <c r="AD22" s="18">
        <f t="shared" si="3"/>
        <v>11.373665480427047</v>
      </c>
      <c r="AE22" s="18">
        <f t="shared" si="3"/>
        <v>12</v>
      </c>
      <c r="AF22" s="18">
        <f t="shared" si="3"/>
        <v>12</v>
      </c>
      <c r="AG22" s="18">
        <f t="shared" si="7"/>
        <v>134.7473309608541</v>
      </c>
      <c r="AH22" s="18">
        <f t="shared" si="8"/>
        <v>11.228944246737841</v>
      </c>
      <c r="AN22" s="186">
        <f t="shared" si="6"/>
        <v>0</v>
      </c>
      <c r="AQ22" s="205">
        <v>2.81</v>
      </c>
      <c r="AR22" s="19">
        <f t="shared" si="9"/>
        <v>0.33073775120500887</v>
      </c>
      <c r="AS22" s="19">
        <f t="shared" si="10"/>
        <v>44.56602922286995</v>
      </c>
      <c r="AT22" s="19">
        <f t="shared" si="11"/>
        <v>3.140737751205009</v>
      </c>
      <c r="AU22" s="19">
        <f t="shared" si="12"/>
        <v>423.20602922286992</v>
      </c>
      <c r="AV22" s="206"/>
      <c r="AW22" s="206"/>
    </row>
    <row r="23" spans="1:49" outlineLevel="1" x14ac:dyDescent="0.25">
      <c r="A23" s="1" t="str">
        <f t="shared" si="1"/>
        <v>VashonResidentialDRVNRW1</v>
      </c>
      <c r="B23" s="1" t="s">
        <v>42</v>
      </c>
      <c r="C23" s="1" t="s">
        <v>43</v>
      </c>
      <c r="D23" s="202">
        <f>IFERROR(VLOOKUP(A23,[53]Vashon!$A$10:$S$434,4,FALSE),0)</f>
        <v>2.81</v>
      </c>
      <c r="E23" s="202">
        <f>IFERROR(VLOOKUP(A23,'[51]PI Default Pricing 3.1.21'!A:L,12,FALSE),0)</f>
        <v>2.81</v>
      </c>
      <c r="F23" s="16"/>
      <c r="G23" s="203">
        <v>150.33500000000001</v>
      </c>
      <c r="H23" s="203">
        <v>151.73500000000001</v>
      </c>
      <c r="I23" s="203">
        <v>147.52500000000001</v>
      </c>
      <c r="J23" s="203">
        <v>147.52500000000001</v>
      </c>
      <c r="K23" s="203">
        <v>144.01</v>
      </c>
      <c r="L23" s="203">
        <v>144.01</v>
      </c>
      <c r="M23" s="203">
        <v>142.60499999999999</v>
      </c>
      <c r="N23" s="17">
        <v>142.60499999999999</v>
      </c>
      <c r="O23" s="17">
        <v>141.905</v>
      </c>
      <c r="P23" s="17">
        <v>144.715</v>
      </c>
      <c r="Q23" s="17">
        <v>146.12</v>
      </c>
      <c r="R23" s="17">
        <v>146.12</v>
      </c>
      <c r="S23" s="17">
        <v>1749.2099999999996</v>
      </c>
      <c r="U23" s="18">
        <f t="shared" si="2"/>
        <v>53.5</v>
      </c>
      <c r="V23" s="18">
        <f t="shared" si="2"/>
        <v>53.9982206405694</v>
      </c>
      <c r="W23" s="18">
        <f t="shared" si="2"/>
        <v>52.5</v>
      </c>
      <c r="X23" s="18">
        <f t="shared" si="2"/>
        <v>52.5</v>
      </c>
      <c r="Y23" s="18">
        <f t="shared" si="2"/>
        <v>51.249110320284693</v>
      </c>
      <c r="Z23" s="18">
        <f t="shared" si="2"/>
        <v>51.249110320284693</v>
      </c>
      <c r="AA23" s="18">
        <f t="shared" si="2"/>
        <v>50.749110320284693</v>
      </c>
      <c r="AB23" s="18">
        <f t="shared" si="3"/>
        <v>50.749110320284693</v>
      </c>
      <c r="AC23" s="18">
        <f t="shared" si="3"/>
        <v>50.5</v>
      </c>
      <c r="AD23" s="18">
        <f t="shared" si="3"/>
        <v>51.5</v>
      </c>
      <c r="AE23" s="18">
        <f t="shared" si="3"/>
        <v>52</v>
      </c>
      <c r="AF23" s="18">
        <f t="shared" si="3"/>
        <v>52</v>
      </c>
      <c r="AG23" s="18">
        <f t="shared" si="7"/>
        <v>622.49466192170803</v>
      </c>
      <c r="AH23" s="18">
        <f t="shared" si="8"/>
        <v>51.874555160142336</v>
      </c>
      <c r="AN23" s="186">
        <f t="shared" si="6"/>
        <v>0</v>
      </c>
      <c r="AQ23" s="205">
        <v>2.81</v>
      </c>
      <c r="AR23" s="19">
        <f t="shared" si="9"/>
        <v>0.33073775120500887</v>
      </c>
      <c r="AS23" s="19">
        <f t="shared" si="10"/>
        <v>205.88248462110798</v>
      </c>
      <c r="AT23" s="19">
        <f t="shared" si="11"/>
        <v>3.140737751205009</v>
      </c>
      <c r="AU23" s="19">
        <f t="shared" si="12"/>
        <v>1955.0924846211076</v>
      </c>
      <c r="AV23" s="206"/>
      <c r="AW23" s="206"/>
    </row>
    <row r="24" spans="1:49" outlineLevel="1" x14ac:dyDescent="0.25">
      <c r="A24" s="1" t="str">
        <f t="shared" si="1"/>
        <v>VashonResidentialDRVNRW2</v>
      </c>
      <c r="B24" s="1" t="s">
        <v>44</v>
      </c>
      <c r="C24" s="1" t="s">
        <v>45</v>
      </c>
      <c r="D24" s="202">
        <f>IFERROR(VLOOKUP(A24,[53]Vashon!$A$10:$S$434,4,FALSE),0)</f>
        <v>2.81</v>
      </c>
      <c r="E24" s="202">
        <f>IFERROR(VLOOKUP(A24,'[51]PI Default Pricing 3.1.21'!A:L,12,FALSE),0)</f>
        <v>2.81</v>
      </c>
      <c r="F24" s="16"/>
      <c r="G24" s="203">
        <v>14.05</v>
      </c>
      <c r="H24" s="203">
        <v>14.05</v>
      </c>
      <c r="I24" s="203">
        <v>18.259999999999998</v>
      </c>
      <c r="J24" s="203">
        <v>25.29</v>
      </c>
      <c r="K24" s="203">
        <v>25.290000000000003</v>
      </c>
      <c r="L24" s="203">
        <v>25.290000000000003</v>
      </c>
      <c r="M24" s="203">
        <v>25.290000000000003</v>
      </c>
      <c r="N24" s="17">
        <v>25.290000000000003</v>
      </c>
      <c r="O24" s="17">
        <v>25.290000000000003</v>
      </c>
      <c r="P24" s="17">
        <v>25.290000000000003</v>
      </c>
      <c r="Q24" s="17">
        <v>25.290000000000003</v>
      </c>
      <c r="R24" s="17">
        <v>25.290000000000003</v>
      </c>
      <c r="S24" s="17">
        <v>273.96999999999997</v>
      </c>
      <c r="U24" s="18">
        <f t="shared" si="2"/>
        <v>5</v>
      </c>
      <c r="V24" s="18">
        <f t="shared" si="2"/>
        <v>5</v>
      </c>
      <c r="W24" s="18">
        <f t="shared" si="2"/>
        <v>6.4982206405693939</v>
      </c>
      <c r="X24" s="18">
        <f t="shared" si="2"/>
        <v>9</v>
      </c>
      <c r="Y24" s="18">
        <f t="shared" si="2"/>
        <v>9</v>
      </c>
      <c r="Z24" s="18">
        <f t="shared" si="2"/>
        <v>9</v>
      </c>
      <c r="AA24" s="18">
        <f t="shared" si="2"/>
        <v>9</v>
      </c>
      <c r="AB24" s="18">
        <f t="shared" si="3"/>
        <v>9</v>
      </c>
      <c r="AC24" s="18">
        <f t="shared" si="3"/>
        <v>9</v>
      </c>
      <c r="AD24" s="18">
        <f t="shared" si="3"/>
        <v>9</v>
      </c>
      <c r="AE24" s="18">
        <f t="shared" si="3"/>
        <v>9</v>
      </c>
      <c r="AF24" s="18">
        <f t="shared" si="3"/>
        <v>9</v>
      </c>
      <c r="AG24" s="18">
        <f t="shared" si="7"/>
        <v>97.4982206405694</v>
      </c>
      <c r="AH24" s="18">
        <f t="shared" si="8"/>
        <v>8.1248517200474506</v>
      </c>
      <c r="AN24" s="186">
        <f t="shared" si="6"/>
        <v>0</v>
      </c>
      <c r="AQ24" s="205">
        <v>2.81</v>
      </c>
      <c r="AR24" s="19">
        <f t="shared" si="9"/>
        <v>0.33073775120500887</v>
      </c>
      <c r="AS24" s="19">
        <f t="shared" si="10"/>
        <v>32.246342241151709</v>
      </c>
      <c r="AT24" s="19">
        <f t="shared" si="11"/>
        <v>3.140737751205009</v>
      </c>
      <c r="AU24" s="19">
        <f t="shared" si="12"/>
        <v>306.21634224115166</v>
      </c>
      <c r="AV24" s="206"/>
      <c r="AW24" s="206"/>
    </row>
    <row r="25" spans="1:49" outlineLevel="1" x14ac:dyDescent="0.25">
      <c r="A25" s="1" t="str">
        <f t="shared" si="1"/>
        <v>VashonResidentialGWCR</v>
      </c>
      <c r="B25" s="1" t="s">
        <v>46</v>
      </c>
      <c r="C25" s="1" t="s">
        <v>47</v>
      </c>
      <c r="D25" s="207">
        <f>IFERROR(VLOOKUP(A25,[53]Vashon!$A$10:$S$434,4,FALSE),0)</f>
        <v>0</v>
      </c>
      <c r="E25" s="16">
        <f>IFERROR(VLOOKUP(A25,'[51]PI Default Pricing 3.1.21'!A:L,12,FALSE),0)</f>
        <v>0</v>
      </c>
      <c r="F25" s="16"/>
      <c r="G25" s="203">
        <v>0</v>
      </c>
      <c r="H25" s="203">
        <v>0</v>
      </c>
      <c r="I25" s="203">
        <v>-107.61</v>
      </c>
      <c r="J25" s="203">
        <v>0</v>
      </c>
      <c r="K25" s="203">
        <v>-15</v>
      </c>
      <c r="L25" s="203">
        <v>0</v>
      </c>
      <c r="M25" s="203">
        <v>0</v>
      </c>
      <c r="N25" s="17">
        <v>-83.79</v>
      </c>
      <c r="O25" s="17">
        <v>0</v>
      </c>
      <c r="P25" s="17">
        <v>-15</v>
      </c>
      <c r="Q25" s="17">
        <v>0</v>
      </c>
      <c r="R25" s="17">
        <v>0</v>
      </c>
      <c r="S25" s="17">
        <v>-221.4</v>
      </c>
      <c r="U25" s="18">
        <f t="shared" si="2"/>
        <v>0</v>
      </c>
      <c r="V25" s="18">
        <f t="shared" si="2"/>
        <v>0</v>
      </c>
      <c r="W25" s="18">
        <f t="shared" si="2"/>
        <v>0</v>
      </c>
      <c r="X25" s="18">
        <f t="shared" si="2"/>
        <v>0</v>
      </c>
      <c r="Y25" s="18">
        <f t="shared" si="2"/>
        <v>0</v>
      </c>
      <c r="Z25" s="18">
        <f t="shared" si="2"/>
        <v>0</v>
      </c>
      <c r="AA25" s="18">
        <f t="shared" si="2"/>
        <v>0</v>
      </c>
      <c r="AB25" s="18">
        <f t="shared" si="3"/>
        <v>0</v>
      </c>
      <c r="AC25" s="18">
        <f t="shared" si="3"/>
        <v>0</v>
      </c>
      <c r="AD25" s="18">
        <f t="shared" si="3"/>
        <v>0</v>
      </c>
      <c r="AE25" s="18">
        <f t="shared" si="3"/>
        <v>0</v>
      </c>
      <c r="AF25" s="18">
        <f t="shared" si="3"/>
        <v>0</v>
      </c>
      <c r="AG25" s="18">
        <f t="shared" si="7"/>
        <v>0</v>
      </c>
      <c r="AH25" s="18">
        <f t="shared" si="8"/>
        <v>0</v>
      </c>
      <c r="AN25" s="186">
        <f t="shared" si="6"/>
        <v>0</v>
      </c>
      <c r="AR25" s="19">
        <f t="shared" si="9"/>
        <v>0</v>
      </c>
      <c r="AS25" s="19">
        <f t="shared" si="10"/>
        <v>0</v>
      </c>
      <c r="AT25" s="19">
        <f t="shared" si="11"/>
        <v>0</v>
      </c>
      <c r="AU25" s="19">
        <f t="shared" si="12"/>
        <v>-221.4</v>
      </c>
      <c r="AV25" s="206"/>
      <c r="AW25" s="206"/>
    </row>
    <row r="26" spans="1:49" outlineLevel="1" x14ac:dyDescent="0.25">
      <c r="A26" s="1" t="str">
        <f t="shared" si="1"/>
        <v>VashonResidentialOBSR</v>
      </c>
      <c r="B26" s="1" t="s">
        <v>48</v>
      </c>
      <c r="C26" s="1" t="s">
        <v>49</v>
      </c>
      <c r="D26" s="202">
        <f>IFERROR(VLOOKUP(A26,[53]Vashon!$A$10:$S$434,4,FALSE),0)</f>
        <v>1.1200000000000001</v>
      </c>
      <c r="E26" s="202">
        <f>IFERROR(VLOOKUP(A26,'[51]PI Default Pricing 3.1.21'!A:L,12,FALSE),0)</f>
        <v>1.1200000000000001</v>
      </c>
      <c r="F26" s="16"/>
      <c r="G26" s="203">
        <v>5.25</v>
      </c>
      <c r="H26" s="203">
        <v>3.01</v>
      </c>
      <c r="I26" s="203">
        <v>3.01</v>
      </c>
      <c r="J26" s="203">
        <v>4.13</v>
      </c>
      <c r="K26" s="203">
        <v>4.13</v>
      </c>
      <c r="L26" s="203">
        <v>4.13</v>
      </c>
      <c r="M26" s="203">
        <v>4.4800000000000004</v>
      </c>
      <c r="N26" s="17">
        <v>4.4800000000000004</v>
      </c>
      <c r="O26" s="17">
        <v>4.4800000000000004</v>
      </c>
      <c r="P26" s="17">
        <v>4.4800000000000004</v>
      </c>
      <c r="Q26" s="17">
        <v>4.4800000000000004</v>
      </c>
      <c r="R26" s="17">
        <v>4.4800000000000004</v>
      </c>
      <c r="S26" s="17">
        <v>50.540000000000006</v>
      </c>
      <c r="U26" s="18">
        <f t="shared" si="2"/>
        <v>4.6874999999999991</v>
      </c>
      <c r="V26" s="18">
        <f t="shared" si="2"/>
        <v>2.6874999999999996</v>
      </c>
      <c r="W26" s="18">
        <f t="shared" si="2"/>
        <v>2.6874999999999996</v>
      </c>
      <c r="X26" s="18">
        <f t="shared" si="2"/>
        <v>3.6874999999999996</v>
      </c>
      <c r="Y26" s="18">
        <f t="shared" si="2"/>
        <v>3.6874999999999996</v>
      </c>
      <c r="Z26" s="18">
        <f t="shared" si="2"/>
        <v>3.6874999999999996</v>
      </c>
      <c r="AA26" s="18">
        <f t="shared" si="2"/>
        <v>4</v>
      </c>
      <c r="AB26" s="18">
        <f t="shared" si="3"/>
        <v>4</v>
      </c>
      <c r="AC26" s="18">
        <f t="shared" si="3"/>
        <v>4</v>
      </c>
      <c r="AD26" s="18">
        <f t="shared" si="3"/>
        <v>4</v>
      </c>
      <c r="AE26" s="18">
        <f t="shared" si="3"/>
        <v>4</v>
      </c>
      <c r="AF26" s="18">
        <f t="shared" si="3"/>
        <v>4</v>
      </c>
      <c r="AG26" s="18">
        <f t="shared" si="7"/>
        <v>45.125</v>
      </c>
      <c r="AH26" s="18">
        <f t="shared" si="8"/>
        <v>3.7604166666666665</v>
      </c>
      <c r="AN26" s="186">
        <f t="shared" si="6"/>
        <v>0</v>
      </c>
      <c r="AQ26" s="205">
        <v>1.1200000000000001</v>
      </c>
      <c r="AR26" s="19">
        <f t="shared" si="9"/>
        <v>0.13182429941267257</v>
      </c>
      <c r="AS26" s="19">
        <f t="shared" si="10"/>
        <v>5.9485715109968496</v>
      </c>
      <c r="AT26" s="19">
        <f t="shared" si="11"/>
        <v>1.2518242994126727</v>
      </c>
      <c r="AU26" s="19">
        <f t="shared" si="12"/>
        <v>56.488571510996856</v>
      </c>
      <c r="AV26" s="206"/>
      <c r="AW26" s="206"/>
    </row>
    <row r="27" spans="1:49" outlineLevel="1" x14ac:dyDescent="0.25">
      <c r="A27" s="1" t="str">
        <f t="shared" si="1"/>
        <v>VashonResidentialOS</v>
      </c>
      <c r="B27" s="1" t="s">
        <v>50</v>
      </c>
      <c r="C27" s="1" t="s">
        <v>51</v>
      </c>
      <c r="D27" s="202">
        <f>IFERROR(VLOOKUP(A27,[53]Vashon!$A$10:$S$434,4,FALSE),0)</f>
        <v>2.78</v>
      </c>
      <c r="E27" s="202">
        <v>2.94</v>
      </c>
      <c r="F27" s="16"/>
      <c r="G27" s="203">
        <v>572.68000000000006</v>
      </c>
      <c r="H27" s="203">
        <v>733.92</v>
      </c>
      <c r="I27" s="203">
        <v>656.08</v>
      </c>
      <c r="J27" s="203">
        <v>725.57999999999993</v>
      </c>
      <c r="K27" s="203">
        <v>675.54</v>
      </c>
      <c r="L27" s="203">
        <v>672.76</v>
      </c>
      <c r="M27" s="203">
        <v>592.14</v>
      </c>
      <c r="N27" s="17">
        <v>714.45999999999992</v>
      </c>
      <c r="O27" s="17">
        <v>628.28</v>
      </c>
      <c r="P27" s="17">
        <v>797.86</v>
      </c>
      <c r="Q27" s="17">
        <v>783.96</v>
      </c>
      <c r="R27" s="17">
        <v>658.86</v>
      </c>
      <c r="S27" s="17">
        <v>8212.119999999999</v>
      </c>
      <c r="U27" s="18">
        <f t="shared" si="2"/>
        <v>206.00000000000003</v>
      </c>
      <c r="V27" s="18">
        <f t="shared" si="2"/>
        <v>264</v>
      </c>
      <c r="W27" s="18">
        <f t="shared" si="2"/>
        <v>236.00000000000003</v>
      </c>
      <c r="X27" s="18">
        <f t="shared" si="2"/>
        <v>261</v>
      </c>
      <c r="Y27" s="18">
        <f t="shared" si="2"/>
        <v>243</v>
      </c>
      <c r="Z27" s="18">
        <f t="shared" si="2"/>
        <v>242</v>
      </c>
      <c r="AA27" s="18">
        <f t="shared" si="2"/>
        <v>213</v>
      </c>
      <c r="AB27" s="18">
        <f t="shared" ref="AB27:AF34" si="13">+IFERROR(N27/$E27,0)</f>
        <v>243.01360544217684</v>
      </c>
      <c r="AC27" s="18">
        <f t="shared" si="13"/>
        <v>213.70068027210883</v>
      </c>
      <c r="AD27" s="18">
        <f t="shared" si="13"/>
        <v>271.38095238095241</v>
      </c>
      <c r="AE27" s="18">
        <f t="shared" si="13"/>
        <v>266.65306122448982</v>
      </c>
      <c r="AF27" s="18">
        <f t="shared" si="13"/>
        <v>224.10204081632654</v>
      </c>
      <c r="AG27" s="239">
        <f t="shared" si="7"/>
        <v>2883.8503401360545</v>
      </c>
      <c r="AH27" s="239">
        <f t="shared" si="8"/>
        <v>240.32086167800455</v>
      </c>
      <c r="AI27" s="5">
        <f>+SUMIF('DF Calculation'!$C$3:$C$13,C27,'DF Calculation'!$D$3:$D$13)-AG27</f>
        <v>0</v>
      </c>
      <c r="AN27" s="186">
        <f t="shared" si="6"/>
        <v>0</v>
      </c>
      <c r="AQ27" s="205">
        <v>3.11</v>
      </c>
      <c r="AR27" s="19">
        <f t="shared" si="9"/>
        <v>0.36604783140483182</v>
      </c>
      <c r="AS27" s="19">
        <f t="shared" si="10"/>
        <v>1055.6271631028894</v>
      </c>
      <c r="AT27" s="19">
        <f t="shared" si="11"/>
        <v>3.4760478314048315</v>
      </c>
      <c r="AU27" s="19">
        <f t="shared" si="12"/>
        <v>9267.7471631028893</v>
      </c>
      <c r="AV27" s="206"/>
      <c r="AW27" s="206"/>
    </row>
    <row r="28" spans="1:49" outlineLevel="1" x14ac:dyDescent="0.25">
      <c r="A28" s="1" t="str">
        <f t="shared" si="1"/>
        <v>VashonResidentialOSOW</v>
      </c>
      <c r="B28" s="1" t="s">
        <v>52</v>
      </c>
      <c r="C28" s="1" t="s">
        <v>53</v>
      </c>
      <c r="D28" s="202">
        <f>IFERROR(VLOOKUP(A28,[53]Vashon!$A$10:$S$434,4,FALSE),0)</f>
        <v>2.78</v>
      </c>
      <c r="E28" s="202">
        <v>2.94</v>
      </c>
      <c r="F28" s="16"/>
      <c r="G28" s="203">
        <v>0</v>
      </c>
      <c r="H28" s="203">
        <v>-25.02</v>
      </c>
      <c r="I28" s="203">
        <v>0</v>
      </c>
      <c r="J28" s="203">
        <v>0</v>
      </c>
      <c r="K28" s="203">
        <v>0</v>
      </c>
      <c r="L28" s="203">
        <v>0</v>
      </c>
      <c r="M28" s="203">
        <v>0</v>
      </c>
      <c r="N28" s="17">
        <v>-5.56</v>
      </c>
      <c r="O28" s="17">
        <v>0</v>
      </c>
      <c r="P28" s="17">
        <v>0</v>
      </c>
      <c r="Q28" s="17">
        <v>0</v>
      </c>
      <c r="R28" s="17">
        <v>0</v>
      </c>
      <c r="S28" s="17">
        <v>-30.58</v>
      </c>
      <c r="U28" s="18">
        <f t="shared" si="2"/>
        <v>0</v>
      </c>
      <c r="V28" s="18">
        <f t="shared" si="2"/>
        <v>-9</v>
      </c>
      <c r="W28" s="18">
        <f t="shared" si="2"/>
        <v>0</v>
      </c>
      <c r="X28" s="18">
        <f t="shared" si="2"/>
        <v>0</v>
      </c>
      <c r="Y28" s="18">
        <f t="shared" si="2"/>
        <v>0</v>
      </c>
      <c r="Z28" s="18">
        <f t="shared" si="2"/>
        <v>0</v>
      </c>
      <c r="AA28" s="18">
        <f t="shared" si="2"/>
        <v>0</v>
      </c>
      <c r="AB28" s="18">
        <f t="shared" si="13"/>
        <v>-1.8911564625850339</v>
      </c>
      <c r="AC28" s="18">
        <f t="shared" si="13"/>
        <v>0</v>
      </c>
      <c r="AD28" s="18">
        <f t="shared" si="13"/>
        <v>0</v>
      </c>
      <c r="AE28" s="18">
        <f t="shared" si="13"/>
        <v>0</v>
      </c>
      <c r="AF28" s="18">
        <f t="shared" si="13"/>
        <v>0</v>
      </c>
      <c r="AG28" s="239">
        <f t="shared" si="7"/>
        <v>-10.891156462585034</v>
      </c>
      <c r="AH28" s="239">
        <f t="shared" si="8"/>
        <v>-0.90759637188208619</v>
      </c>
      <c r="AI28" s="5">
        <f>+SUMIF('DF Calculation'!$C$3:$C$13,C28,'DF Calculation'!$D$3:$D$13)-AG28</f>
        <v>10.891156462585034</v>
      </c>
      <c r="AN28" s="186">
        <f t="shared" si="6"/>
        <v>0</v>
      </c>
      <c r="AQ28" s="205">
        <v>3.11</v>
      </c>
      <c r="AR28" s="19">
        <f t="shared" si="9"/>
        <v>0.36604783140483182</v>
      </c>
      <c r="AS28" s="19">
        <f t="shared" si="10"/>
        <v>-3.9866842046199711</v>
      </c>
      <c r="AT28" s="19">
        <f t="shared" si="11"/>
        <v>3.4760478314048315</v>
      </c>
      <c r="AU28" s="19">
        <f t="shared" si="12"/>
        <v>-34.566684204619968</v>
      </c>
      <c r="AV28" s="206"/>
      <c r="AW28" s="206"/>
    </row>
    <row r="29" spans="1:49" outlineLevel="1" x14ac:dyDescent="0.25">
      <c r="A29" s="1" t="str">
        <f t="shared" si="1"/>
        <v>VashonResidentialOW</v>
      </c>
      <c r="B29" s="1" t="s">
        <v>54</v>
      </c>
      <c r="C29" s="1" t="s">
        <v>55</v>
      </c>
      <c r="D29" s="202">
        <f>IFERROR(VLOOKUP(A29,[53]Vashon!$A$10:$S$434,4,FALSE),0)</f>
        <v>2.78</v>
      </c>
      <c r="E29" s="202">
        <v>2.94</v>
      </c>
      <c r="F29" s="16"/>
      <c r="G29" s="203">
        <v>1067.52</v>
      </c>
      <c r="H29" s="203">
        <v>1192.6199999999999</v>
      </c>
      <c r="I29" s="203">
        <v>1014.7</v>
      </c>
      <c r="J29" s="203">
        <v>950.76</v>
      </c>
      <c r="K29" s="203">
        <v>808.98</v>
      </c>
      <c r="L29" s="203">
        <v>800.64</v>
      </c>
      <c r="M29" s="203">
        <v>778.4</v>
      </c>
      <c r="N29" s="17">
        <v>1175.94</v>
      </c>
      <c r="O29" s="17">
        <v>622.72</v>
      </c>
      <c r="P29" s="17">
        <v>708.9</v>
      </c>
      <c r="Q29" s="17">
        <v>639.4</v>
      </c>
      <c r="R29" s="17">
        <v>617.16</v>
      </c>
      <c r="S29" s="17">
        <v>10377.739999999998</v>
      </c>
      <c r="U29" s="18">
        <f t="shared" si="2"/>
        <v>384</v>
      </c>
      <c r="V29" s="18">
        <f t="shared" si="2"/>
        <v>429</v>
      </c>
      <c r="W29" s="18">
        <f t="shared" si="2"/>
        <v>365.00000000000006</v>
      </c>
      <c r="X29" s="18">
        <f t="shared" si="2"/>
        <v>342</v>
      </c>
      <c r="Y29" s="18">
        <f t="shared" si="2"/>
        <v>291</v>
      </c>
      <c r="Z29" s="18">
        <f t="shared" si="2"/>
        <v>288</v>
      </c>
      <c r="AA29" s="18">
        <f t="shared" si="2"/>
        <v>280</v>
      </c>
      <c r="AB29" s="18">
        <f t="shared" si="13"/>
        <v>399.9795918367347</v>
      </c>
      <c r="AC29" s="18">
        <f t="shared" si="13"/>
        <v>211.80952380952382</v>
      </c>
      <c r="AD29" s="18">
        <f t="shared" si="13"/>
        <v>241.12244897959184</v>
      </c>
      <c r="AE29" s="18">
        <f t="shared" si="13"/>
        <v>217.48299319727892</v>
      </c>
      <c r="AF29" s="18">
        <f t="shared" si="13"/>
        <v>209.91836734693877</v>
      </c>
      <c r="AG29" s="239">
        <f t="shared" si="7"/>
        <v>3659.312925170068</v>
      </c>
      <c r="AH29" s="239">
        <f t="shared" si="8"/>
        <v>304.94274376417235</v>
      </c>
      <c r="AI29" s="5">
        <f>+SUMIF('DF Calculation'!$C$3:$C$13,C29,'DF Calculation'!$D$3:$D$13)-AG29</f>
        <v>-10.891156462585059</v>
      </c>
      <c r="AN29" s="186">
        <f t="shared" si="6"/>
        <v>0</v>
      </c>
      <c r="AQ29" s="205">
        <v>3.11</v>
      </c>
      <c r="AR29" s="19">
        <f t="shared" si="9"/>
        <v>0.36604783140483182</v>
      </c>
      <c r="AS29" s="19">
        <f t="shared" si="10"/>
        <v>1339.4835606901752</v>
      </c>
      <c r="AT29" s="19">
        <f t="shared" si="11"/>
        <v>3.4760478314048315</v>
      </c>
      <c r="AU29" s="19">
        <f t="shared" si="12"/>
        <v>11717.223560690174</v>
      </c>
      <c r="AV29" s="206"/>
      <c r="AW29" s="206"/>
    </row>
    <row r="30" spans="1:49" outlineLevel="1" x14ac:dyDescent="0.25">
      <c r="A30" s="1" t="str">
        <f t="shared" si="1"/>
        <v>VashonResidentialPACKR</v>
      </c>
      <c r="B30" s="1" t="s">
        <v>56</v>
      </c>
      <c r="C30" s="1" t="s">
        <v>57</v>
      </c>
      <c r="D30" s="202">
        <v>2.4300000000000002</v>
      </c>
      <c r="E30" s="202">
        <v>2.4300000000000002</v>
      </c>
      <c r="F30" s="16"/>
      <c r="G30" s="203">
        <v>59.604999999999997</v>
      </c>
      <c r="H30" s="203">
        <v>59.604999999999997</v>
      </c>
      <c r="I30" s="203">
        <v>59.604999999999997</v>
      </c>
      <c r="J30" s="203">
        <v>66.894999999999996</v>
      </c>
      <c r="K30" s="203">
        <v>66.894999999999996</v>
      </c>
      <c r="L30" s="203">
        <v>66.894999999999996</v>
      </c>
      <c r="M30" s="203">
        <v>66.894999999999996</v>
      </c>
      <c r="N30" s="17">
        <v>74.954999999999998</v>
      </c>
      <c r="O30" s="17">
        <v>77.635000000000005</v>
      </c>
      <c r="P30" s="17">
        <v>77.635000000000005</v>
      </c>
      <c r="Q30" s="17">
        <v>73.105000000000004</v>
      </c>
      <c r="R30" s="17">
        <v>80.385000000000005</v>
      </c>
      <c r="S30" s="17">
        <v>830.1099999999999</v>
      </c>
      <c r="U30" s="18">
        <f t="shared" si="2"/>
        <v>24.528806584362137</v>
      </c>
      <c r="V30" s="18">
        <f t="shared" si="2"/>
        <v>24.528806584362137</v>
      </c>
      <c r="W30" s="18">
        <f t="shared" si="2"/>
        <v>24.528806584362137</v>
      </c>
      <c r="X30" s="18">
        <f t="shared" si="2"/>
        <v>27.528806584362137</v>
      </c>
      <c r="Y30" s="18">
        <f t="shared" si="2"/>
        <v>27.528806584362137</v>
      </c>
      <c r="Z30" s="18">
        <f t="shared" si="2"/>
        <v>27.528806584362137</v>
      </c>
      <c r="AA30" s="18">
        <f t="shared" si="2"/>
        <v>27.528806584362137</v>
      </c>
      <c r="AB30" s="18">
        <f t="shared" si="13"/>
        <v>30.845679012345677</v>
      </c>
      <c r="AC30" s="18">
        <f t="shared" si="13"/>
        <v>31.948559670781894</v>
      </c>
      <c r="AD30" s="18">
        <f t="shared" si="13"/>
        <v>31.948559670781894</v>
      </c>
      <c r="AE30" s="18">
        <f t="shared" si="13"/>
        <v>30.084362139917694</v>
      </c>
      <c r="AF30" s="18">
        <f t="shared" si="13"/>
        <v>33.080246913580247</v>
      </c>
      <c r="AG30" s="18">
        <f t="shared" si="7"/>
        <v>341.6090534979424</v>
      </c>
      <c r="AH30" s="18">
        <f t="shared" si="8"/>
        <v>28.467421124828533</v>
      </c>
      <c r="AN30" s="186">
        <f t="shared" si="6"/>
        <v>0</v>
      </c>
      <c r="AQ30" s="205">
        <v>2.4300000000000002</v>
      </c>
      <c r="AR30" s="19">
        <f t="shared" si="9"/>
        <v>0.2860116496185664</v>
      </c>
      <c r="AS30" s="19">
        <f t="shared" si="10"/>
        <v>97.704168915583608</v>
      </c>
      <c r="AT30" s="19">
        <f t="shared" si="11"/>
        <v>2.7160116496185664</v>
      </c>
      <c r="AU30" s="19">
        <f t="shared" si="12"/>
        <v>927.81416891558354</v>
      </c>
      <c r="AV30" s="206"/>
      <c r="AW30" s="206"/>
    </row>
    <row r="31" spans="1:49" outlineLevel="1" x14ac:dyDescent="0.25">
      <c r="A31" s="1" t="str">
        <f t="shared" si="1"/>
        <v>VashonResidentialRESTART FEE</v>
      </c>
      <c r="B31" s="1" t="s">
        <v>58</v>
      </c>
      <c r="C31" s="1" t="s">
        <v>58</v>
      </c>
      <c r="D31" s="202">
        <f>IFERROR(VLOOKUP(A31,[53]Vashon!$A$10:$S$434,4,FALSE),0)</f>
        <v>15.85</v>
      </c>
      <c r="E31" s="202">
        <f>IFERROR(VLOOKUP(A31,'[51]PI Default Pricing 3.1.21'!A:L,12,FALSE),0)</f>
        <v>15.85</v>
      </c>
      <c r="F31" s="16"/>
      <c r="G31" s="203">
        <v>47.55</v>
      </c>
      <c r="H31" s="203">
        <v>253.6</v>
      </c>
      <c r="I31" s="203">
        <v>31.7</v>
      </c>
      <c r="J31" s="203">
        <v>364.55</v>
      </c>
      <c r="K31" s="203">
        <v>15.85</v>
      </c>
      <c r="L31" s="203">
        <v>142.65</v>
      </c>
      <c r="M31" s="203">
        <v>0</v>
      </c>
      <c r="N31" s="17">
        <v>221.9</v>
      </c>
      <c r="O31" s="17">
        <v>95.1</v>
      </c>
      <c r="P31" s="17">
        <v>221.9</v>
      </c>
      <c r="Q31" s="17">
        <v>79.25</v>
      </c>
      <c r="R31" s="17">
        <v>221.9</v>
      </c>
      <c r="S31" s="17">
        <v>1695.95</v>
      </c>
      <c r="U31" s="18">
        <f t="shared" si="2"/>
        <v>3</v>
      </c>
      <c r="V31" s="18">
        <f t="shared" si="2"/>
        <v>16</v>
      </c>
      <c r="W31" s="18">
        <f t="shared" si="2"/>
        <v>2</v>
      </c>
      <c r="X31" s="18">
        <f t="shared" si="2"/>
        <v>23</v>
      </c>
      <c r="Y31" s="18">
        <f t="shared" si="2"/>
        <v>1</v>
      </c>
      <c r="Z31" s="18">
        <f t="shared" si="2"/>
        <v>9</v>
      </c>
      <c r="AA31" s="18">
        <f t="shared" si="2"/>
        <v>0</v>
      </c>
      <c r="AB31" s="18">
        <f t="shared" si="13"/>
        <v>14</v>
      </c>
      <c r="AC31" s="18">
        <f t="shared" si="13"/>
        <v>6</v>
      </c>
      <c r="AD31" s="18">
        <f t="shared" si="13"/>
        <v>14</v>
      </c>
      <c r="AE31" s="18">
        <f t="shared" si="13"/>
        <v>5</v>
      </c>
      <c r="AF31" s="18">
        <f t="shared" si="13"/>
        <v>14</v>
      </c>
      <c r="AG31" s="18">
        <f t="shared" si="7"/>
        <v>107</v>
      </c>
      <c r="AH31" s="18">
        <f t="shared" si="8"/>
        <v>8.9166666666666661</v>
      </c>
      <c r="AN31" s="186">
        <f t="shared" si="6"/>
        <v>0</v>
      </c>
      <c r="AQ31" s="205">
        <v>15.85</v>
      </c>
      <c r="AR31" s="19">
        <f t="shared" si="9"/>
        <v>1.8655492372239821</v>
      </c>
      <c r="AS31" s="19">
        <f t="shared" si="10"/>
        <v>199.6137683829661</v>
      </c>
      <c r="AT31" s="19">
        <f t="shared" si="11"/>
        <v>17.715549237223982</v>
      </c>
      <c r="AU31" s="19">
        <f t="shared" si="12"/>
        <v>1895.5637683829661</v>
      </c>
      <c r="AV31" s="206"/>
      <c r="AW31" s="206"/>
    </row>
    <row r="32" spans="1:49" outlineLevel="1" x14ac:dyDescent="0.25">
      <c r="A32" s="1" t="str">
        <f t="shared" si="1"/>
        <v>VashonResidentialREXTRA</v>
      </c>
      <c r="B32" s="1" t="s">
        <v>59</v>
      </c>
      <c r="C32" s="1" t="s">
        <v>60</v>
      </c>
      <c r="D32" s="202">
        <f>IFERROR(VLOOKUP(A32,[53]Vashon!$A$10:$S$434,4,FALSE),0)</f>
        <v>4.1100000000000003</v>
      </c>
      <c r="E32" s="202">
        <v>4.2699999999999996</v>
      </c>
      <c r="F32" s="16"/>
      <c r="G32" s="203">
        <v>3924.8499999999995</v>
      </c>
      <c r="H32" s="203">
        <v>4583.7</v>
      </c>
      <c r="I32" s="203">
        <v>4011.36</v>
      </c>
      <c r="J32" s="203">
        <v>3835.84</v>
      </c>
      <c r="K32" s="203">
        <v>3390.72</v>
      </c>
      <c r="L32" s="203">
        <v>2807.13</v>
      </c>
      <c r="M32" s="203">
        <v>2687.94</v>
      </c>
      <c r="N32" s="17">
        <v>3337.32</v>
      </c>
      <c r="O32" s="17">
        <v>2712.6</v>
      </c>
      <c r="P32" s="17">
        <v>2807.1299999999997</v>
      </c>
      <c r="Q32" s="17">
        <v>3316.77</v>
      </c>
      <c r="R32" s="17">
        <v>3345.54</v>
      </c>
      <c r="S32" s="17">
        <v>40760.899999999994</v>
      </c>
      <c r="U32" s="18">
        <f t="shared" si="2"/>
        <v>954.9513381995132</v>
      </c>
      <c r="V32" s="18">
        <f t="shared" si="2"/>
        <v>1115.2554744525546</v>
      </c>
      <c r="W32" s="18">
        <f t="shared" si="2"/>
        <v>976</v>
      </c>
      <c r="X32" s="18">
        <f t="shared" si="2"/>
        <v>933.29440389294405</v>
      </c>
      <c r="Y32" s="18">
        <f t="shared" si="2"/>
        <v>824.99270072992692</v>
      </c>
      <c r="Z32" s="18">
        <f t="shared" si="2"/>
        <v>683</v>
      </c>
      <c r="AA32" s="18">
        <f t="shared" si="2"/>
        <v>654</v>
      </c>
      <c r="AB32" s="18">
        <f t="shared" si="13"/>
        <v>781.57377049180343</v>
      </c>
      <c r="AC32" s="18">
        <f t="shared" si="13"/>
        <v>635.26932084309135</v>
      </c>
      <c r="AD32" s="18">
        <f t="shared" si="13"/>
        <v>657.40749414519905</v>
      </c>
      <c r="AE32" s="18">
        <f t="shared" si="13"/>
        <v>776.76112412177997</v>
      </c>
      <c r="AF32" s="18">
        <f t="shared" si="13"/>
        <v>783.49882903981268</v>
      </c>
      <c r="AG32" s="239">
        <f t="shared" si="7"/>
        <v>9776.0044559166254</v>
      </c>
      <c r="AH32" s="239">
        <f t="shared" si="8"/>
        <v>814.66703799305208</v>
      </c>
      <c r="AI32" s="5">
        <f>+SUMIF('DF Calculation'!$C$3:$C$13,C32,'DF Calculation'!$D$3:$D$13)-AG32</f>
        <v>0</v>
      </c>
      <c r="AN32" s="186">
        <f t="shared" si="6"/>
        <v>0</v>
      </c>
      <c r="AQ32" s="205">
        <v>4.4400000000000004</v>
      </c>
      <c r="AR32" s="19">
        <f t="shared" si="9"/>
        <v>0.52258918695738055</v>
      </c>
      <c r="AS32" s="19">
        <f t="shared" si="10"/>
        <v>5108.8342203091979</v>
      </c>
      <c r="AT32" s="19">
        <f t="shared" si="11"/>
        <v>4.9625891869573806</v>
      </c>
      <c r="AU32" s="19">
        <f t="shared" si="12"/>
        <v>45869.73422030919</v>
      </c>
      <c r="AV32" s="206"/>
      <c r="AW32" s="206"/>
    </row>
    <row r="33" spans="1:49" outlineLevel="1" x14ac:dyDescent="0.25">
      <c r="A33" s="1" t="str">
        <f t="shared" si="1"/>
        <v>VashonResidentialTRIPRCANS</v>
      </c>
      <c r="B33" s="1" t="s">
        <v>61</v>
      </c>
      <c r="C33" s="1" t="s">
        <v>62</v>
      </c>
      <c r="D33" s="202">
        <f>IFERROR(VLOOKUP(A33,[53]Vashon!$A$10:$S$434,4,FALSE),0)</f>
        <v>2.81</v>
      </c>
      <c r="E33" s="202">
        <f>IFERROR(VLOOKUP(A33,'[51]PI Default Pricing 3.1.21'!A:L,12,FALSE),0)</f>
        <v>2.81</v>
      </c>
      <c r="F33" s="16"/>
      <c r="G33" s="203">
        <v>14.05</v>
      </c>
      <c r="H33" s="203">
        <v>14.05</v>
      </c>
      <c r="I33" s="203">
        <v>11.24</v>
      </c>
      <c r="J33" s="203">
        <v>25.290000000000003</v>
      </c>
      <c r="K33" s="203">
        <v>0</v>
      </c>
      <c r="L33" s="203">
        <v>2.81</v>
      </c>
      <c r="M33" s="203">
        <v>16.86</v>
      </c>
      <c r="N33" s="17">
        <v>2.81</v>
      </c>
      <c r="O33" s="17">
        <v>5.62</v>
      </c>
      <c r="P33" s="17">
        <v>2.81</v>
      </c>
      <c r="Q33" s="17">
        <v>14.05</v>
      </c>
      <c r="R33" s="17">
        <v>16.86</v>
      </c>
      <c r="S33" s="17">
        <v>126.45000000000002</v>
      </c>
      <c r="U33" s="18">
        <f t="shared" si="2"/>
        <v>5</v>
      </c>
      <c r="V33" s="18">
        <f t="shared" si="2"/>
        <v>5</v>
      </c>
      <c r="W33" s="18">
        <f t="shared" si="2"/>
        <v>4</v>
      </c>
      <c r="X33" s="18">
        <f t="shared" si="2"/>
        <v>9</v>
      </c>
      <c r="Y33" s="18">
        <f t="shared" si="2"/>
        <v>0</v>
      </c>
      <c r="Z33" s="18">
        <f t="shared" si="2"/>
        <v>1</v>
      </c>
      <c r="AA33" s="18">
        <f t="shared" si="2"/>
        <v>6</v>
      </c>
      <c r="AB33" s="18">
        <f t="shared" si="13"/>
        <v>1</v>
      </c>
      <c r="AC33" s="18">
        <f t="shared" si="13"/>
        <v>2</v>
      </c>
      <c r="AD33" s="18">
        <f t="shared" si="13"/>
        <v>1</v>
      </c>
      <c r="AE33" s="18">
        <f t="shared" si="13"/>
        <v>5</v>
      </c>
      <c r="AF33" s="18">
        <f t="shared" si="13"/>
        <v>6</v>
      </c>
      <c r="AG33" s="18">
        <f t="shared" si="7"/>
        <v>45</v>
      </c>
      <c r="AH33" s="18">
        <f t="shared" si="8"/>
        <v>3.75</v>
      </c>
      <c r="AN33" s="186">
        <f t="shared" si="6"/>
        <v>0</v>
      </c>
      <c r="AO33" s="2"/>
      <c r="AP33" s="16"/>
      <c r="AQ33" s="202">
        <v>2.81</v>
      </c>
      <c r="AR33" s="19">
        <f t="shared" si="9"/>
        <v>0.33073775120500887</v>
      </c>
      <c r="AS33" s="19">
        <f t="shared" si="10"/>
        <v>14.883198804225401</v>
      </c>
      <c r="AT33" s="19">
        <f t="shared" si="11"/>
        <v>3.140737751205009</v>
      </c>
      <c r="AU33" s="19">
        <f t="shared" si="12"/>
        <v>141.33319880422542</v>
      </c>
      <c r="AV33" s="206"/>
      <c r="AW33" s="206"/>
    </row>
    <row r="34" spans="1:49" outlineLevel="1" x14ac:dyDescent="0.25">
      <c r="A34" s="1" t="str">
        <f t="shared" si="1"/>
        <v>VashonResidentialTRIPRCARTS</v>
      </c>
      <c r="B34" s="1" t="s">
        <v>331</v>
      </c>
      <c r="C34" s="1" t="s">
        <v>332</v>
      </c>
      <c r="D34" s="202">
        <f>IFERROR(VLOOKUP(A34,[53]Vashon!$A$10:$S$434,4,FALSE),0)</f>
        <v>3.98</v>
      </c>
      <c r="E34" s="202">
        <f>IFERROR(VLOOKUP(A34,'[51]PI Default Pricing 3.1.21'!A:L,12,FALSE),0)</f>
        <v>3.98</v>
      </c>
      <c r="F34" s="16"/>
      <c r="G34" s="203">
        <v>3.98</v>
      </c>
      <c r="H34" s="203">
        <v>3.98</v>
      </c>
      <c r="I34" s="203">
        <v>0</v>
      </c>
      <c r="J34" s="203">
        <v>3.98</v>
      </c>
      <c r="K34" s="203">
        <v>3.98</v>
      </c>
      <c r="L34" s="203">
        <v>0</v>
      </c>
      <c r="M34" s="203">
        <v>3.98</v>
      </c>
      <c r="N34" s="17">
        <v>0</v>
      </c>
      <c r="O34" s="17">
        <v>3.98</v>
      </c>
      <c r="P34" s="17">
        <v>0</v>
      </c>
      <c r="Q34" s="17">
        <v>0</v>
      </c>
      <c r="R34" s="17">
        <v>3.98</v>
      </c>
      <c r="S34" s="17">
        <v>27.86</v>
      </c>
      <c r="U34" s="18">
        <f t="shared" si="2"/>
        <v>1</v>
      </c>
      <c r="V34" s="18">
        <f t="shared" si="2"/>
        <v>1</v>
      </c>
      <c r="W34" s="18">
        <f t="shared" si="2"/>
        <v>0</v>
      </c>
      <c r="X34" s="18">
        <f t="shared" si="2"/>
        <v>1</v>
      </c>
      <c r="Y34" s="18">
        <f t="shared" si="2"/>
        <v>1</v>
      </c>
      <c r="Z34" s="18">
        <f t="shared" si="2"/>
        <v>0</v>
      </c>
      <c r="AA34" s="18">
        <f t="shared" si="2"/>
        <v>1</v>
      </c>
      <c r="AB34" s="18">
        <f t="shared" si="13"/>
        <v>0</v>
      </c>
      <c r="AC34" s="18">
        <f t="shared" si="13"/>
        <v>1</v>
      </c>
      <c r="AD34" s="18">
        <f t="shared" si="13"/>
        <v>0</v>
      </c>
      <c r="AE34" s="18">
        <f t="shared" si="13"/>
        <v>0</v>
      </c>
      <c r="AF34" s="18">
        <f t="shared" si="13"/>
        <v>1</v>
      </c>
      <c r="AG34" s="18">
        <f t="shared" si="7"/>
        <v>7</v>
      </c>
      <c r="AH34" s="18">
        <f t="shared" si="8"/>
        <v>0.58333333333333337</v>
      </c>
      <c r="AN34" s="186">
        <f t="shared" si="6"/>
        <v>0</v>
      </c>
      <c r="AO34" s="2"/>
      <c r="AP34" s="16"/>
      <c r="AQ34" s="202">
        <v>3.98</v>
      </c>
      <c r="AR34" s="19">
        <f t="shared" si="9"/>
        <v>0.46844706398431857</v>
      </c>
      <c r="AS34" s="19">
        <f t="shared" si="10"/>
        <v>3.27912944789023</v>
      </c>
      <c r="AT34" s="19">
        <f t="shared" si="11"/>
        <v>4.4484470639843181</v>
      </c>
      <c r="AU34" s="19">
        <f t="shared" si="12"/>
        <v>31.13912944789023</v>
      </c>
      <c r="AV34" s="206"/>
      <c r="AW34" s="206"/>
    </row>
    <row r="35" spans="1:49" ht="15.75" outlineLevel="1" thickBot="1" x14ac:dyDescent="0.3"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AB35" s="18"/>
      <c r="AC35" s="18"/>
      <c r="AD35" s="18"/>
      <c r="AE35" s="18"/>
      <c r="AF35" s="18"/>
      <c r="AG35" s="18"/>
      <c r="AH35" s="18"/>
      <c r="AN35" s="186">
        <f t="shared" si="6"/>
        <v>0</v>
      </c>
      <c r="AO35" s="2"/>
      <c r="AP35" s="16"/>
      <c r="AQ35" s="16"/>
      <c r="AR35" s="19">
        <f t="shared" ref="AR35" si="14">+$AT$2*E35</f>
        <v>0</v>
      </c>
      <c r="AS35" s="19">
        <f t="shared" si="10"/>
        <v>0</v>
      </c>
      <c r="AT35" s="19">
        <f t="shared" ref="AT35" si="15">+AR35+E35</f>
        <v>0</v>
      </c>
      <c r="AU35" s="19">
        <f t="shared" si="12"/>
        <v>0</v>
      </c>
    </row>
    <row r="36" spans="1:49" ht="15.75" outlineLevel="1" thickBot="1" x14ac:dyDescent="0.3">
      <c r="C36" s="3" t="s">
        <v>63</v>
      </c>
      <c r="D36" s="3"/>
      <c r="E36" s="16"/>
      <c r="F36" s="16"/>
      <c r="G36" s="20">
        <f>+SUM(G11:G35)</f>
        <v>50759.68</v>
      </c>
      <c r="H36" s="20">
        <f t="shared" ref="H36:S36" si="16">+SUM(H11:H35)</f>
        <v>52577.905000000006</v>
      </c>
      <c r="I36" s="20">
        <f t="shared" si="16"/>
        <v>51772.305</v>
      </c>
      <c r="J36" s="20">
        <f t="shared" si="16"/>
        <v>52890.24500000001</v>
      </c>
      <c r="K36" s="20">
        <f t="shared" si="16"/>
        <v>50435.03</v>
      </c>
      <c r="L36" s="20">
        <f t="shared" si="16"/>
        <v>50208.144999999997</v>
      </c>
      <c r="M36" s="20">
        <f t="shared" si="16"/>
        <v>49948.19000000001</v>
      </c>
      <c r="N36" s="20">
        <f t="shared" si="16"/>
        <v>51656.42000000002</v>
      </c>
      <c r="O36" s="20">
        <f t="shared" si="16"/>
        <v>50770.285000000011</v>
      </c>
      <c r="P36" s="20">
        <f t="shared" si="16"/>
        <v>51796.79</v>
      </c>
      <c r="Q36" s="20">
        <f t="shared" si="16"/>
        <v>51779.715000000011</v>
      </c>
      <c r="R36" s="20">
        <f t="shared" si="16"/>
        <v>52140.495000000024</v>
      </c>
      <c r="S36" s="20">
        <f t="shared" si="16"/>
        <v>616735.20499999996</v>
      </c>
      <c r="U36" s="20">
        <f>SUM(U11:U19)</f>
        <v>2427.5712738519915</v>
      </c>
      <c r="V36" s="20">
        <f t="shared" ref="V36:AG36" si="17">SUM(V11:V19)</f>
        <v>2457.7217556316277</v>
      </c>
      <c r="W36" s="20">
        <f t="shared" si="17"/>
        <v>2476.0158797761273</v>
      </c>
      <c r="X36" s="20">
        <f t="shared" si="17"/>
        <v>2511.1984285973754</v>
      </c>
      <c r="Y36" s="20">
        <f t="shared" si="17"/>
        <v>2448.6896674397631</v>
      </c>
      <c r="Z36" s="20">
        <f t="shared" si="17"/>
        <v>2463.8783666994714</v>
      </c>
      <c r="AA36" s="20">
        <f t="shared" si="17"/>
        <v>2464.8800696737235</v>
      </c>
      <c r="AB36" s="20">
        <f t="shared" si="17"/>
        <v>2409.2121007424616</v>
      </c>
      <c r="AC36" s="20">
        <f t="shared" si="17"/>
        <v>2434.0447055785739</v>
      </c>
      <c r="AD36" s="20">
        <f t="shared" si="17"/>
        <v>2466.8973913800637</v>
      </c>
      <c r="AE36" s="20">
        <f t="shared" si="17"/>
        <v>2449.551118337843</v>
      </c>
      <c r="AF36" s="20">
        <f t="shared" si="17"/>
        <v>2468.210736038131</v>
      </c>
      <c r="AG36" s="20">
        <f t="shared" si="17"/>
        <v>29477.871493747152</v>
      </c>
      <c r="AH36" s="20">
        <f>SUM(AH11:AH19)</f>
        <v>2456.4892911455959</v>
      </c>
      <c r="AJ36" s="208">
        <f>+SUMIF(AJ11:AJ35,"&lt;&gt;",$AN11:$AN35)</f>
        <v>0</v>
      </c>
      <c r="AK36" s="208">
        <f t="shared" ref="AK36:AL36" si="18">+SUMIF(AK11:AK35,"&lt;&gt;",$AN11:$AN35)</f>
        <v>0</v>
      </c>
      <c r="AL36" s="208">
        <f t="shared" si="18"/>
        <v>0</v>
      </c>
      <c r="AM36" s="209"/>
      <c r="AN36" s="210">
        <f>+SUM(AN11:AN35)</f>
        <v>0</v>
      </c>
      <c r="AO36" s="1" t="s">
        <v>333</v>
      </c>
      <c r="AP36" s="211">
        <f>+SUM(AJ36:AL36)-AN36</f>
        <v>0</v>
      </c>
      <c r="AQ36" s="211"/>
      <c r="AR36" s="212"/>
      <c r="AS36" s="213">
        <f>SUM(AS11:AS35)</f>
        <v>76882.330633131918</v>
      </c>
      <c r="AT36" s="212"/>
      <c r="AU36" s="213">
        <f>SUM(AU11:AU35)</f>
        <v>693617.53563313186</v>
      </c>
      <c r="AV36" s="4">
        <f>+AS36/S36</f>
        <v>0.12466019453702488</v>
      </c>
    </row>
    <row r="37" spans="1:49" outlineLevel="1" x14ac:dyDescent="0.25"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7"/>
      <c r="P37" s="17"/>
      <c r="Q37" s="17"/>
      <c r="R37" s="17"/>
      <c r="S37" s="17"/>
      <c r="AB37" s="18"/>
      <c r="AC37" s="18"/>
      <c r="AD37" s="18"/>
      <c r="AE37" s="18"/>
      <c r="AF37" s="18"/>
      <c r="AG37" s="239">
        <f>SUM(AG11:AG19,AG27:AG29,AG32)</f>
        <v>45786.148058507315</v>
      </c>
      <c r="AH37" s="239">
        <f>SUM(AH11:AH19,AH27:AH29,AH32)</f>
        <v>3815.5123382089428</v>
      </c>
      <c r="AI37" s="174" t="s">
        <v>9</v>
      </c>
      <c r="AJ37" s="214"/>
      <c r="AK37" s="214"/>
      <c r="AL37" s="214"/>
      <c r="AM37" s="214"/>
      <c r="AN37" s="214"/>
      <c r="AO37" s="214"/>
    </row>
    <row r="38" spans="1:49" outlineLevel="1" x14ac:dyDescent="0.25">
      <c r="B38" s="2" t="s">
        <v>334</v>
      </c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7"/>
      <c r="P38" s="17"/>
      <c r="Q38" s="17"/>
      <c r="R38" s="17"/>
      <c r="S38" s="17"/>
      <c r="AB38" s="18"/>
      <c r="AC38" s="18"/>
      <c r="AD38" s="18"/>
      <c r="AE38" s="18"/>
      <c r="AF38" s="18"/>
      <c r="AG38" s="18">
        <f>+AG37-'DF Calculation'!D14</f>
        <v>0</v>
      </c>
      <c r="AH38" s="18"/>
    </row>
    <row r="39" spans="1:49" outlineLevel="1" x14ac:dyDescent="0.25">
      <c r="A39" s="1" t="str">
        <f t="shared" ref="A39:A42" si="19">+$A$5&amp;$A$10&amp;B39</f>
        <v>VashonResidentialrecyonly</v>
      </c>
      <c r="B39" s="1" t="s">
        <v>335</v>
      </c>
      <c r="C39" s="1" t="s">
        <v>336</v>
      </c>
      <c r="D39" s="202">
        <f>IFERROR(VLOOKUP(A39,[53]Vashon!$A$10:$S$434,4,FALSE),0)</f>
        <v>16.07</v>
      </c>
      <c r="E39" s="202">
        <f>IFERROR(VLOOKUP(A39,'[51]PI Default Pricing 3.1.21'!A:L,12,FALSE),0)</f>
        <v>16.07</v>
      </c>
      <c r="F39" s="16"/>
      <c r="G39" s="203">
        <v>233.01499999999999</v>
      </c>
      <c r="H39" s="203">
        <v>247.82499999999999</v>
      </c>
      <c r="I39" s="203">
        <v>257.12</v>
      </c>
      <c r="J39" s="203">
        <v>257.12</v>
      </c>
      <c r="K39" s="203">
        <v>257.12</v>
      </c>
      <c r="L39" s="203">
        <v>265.14999999999998</v>
      </c>
      <c r="M39" s="203">
        <v>273.19</v>
      </c>
      <c r="N39" s="17">
        <v>249.08</v>
      </c>
      <c r="O39" s="17">
        <v>257.12</v>
      </c>
      <c r="P39" s="17">
        <v>281.22000000000003</v>
      </c>
      <c r="Q39" s="17">
        <v>265.15499999999997</v>
      </c>
      <c r="R39" s="17">
        <v>273.19499999999999</v>
      </c>
      <c r="S39" s="17">
        <v>3116.31</v>
      </c>
      <c r="U39" s="204">
        <f t="shared" ref="U39:AA42" si="20">+IFERROR(G39/$D39,0)</f>
        <v>14.499999999999998</v>
      </c>
      <c r="V39" s="204">
        <f t="shared" si="20"/>
        <v>15.421593030491598</v>
      </c>
      <c r="W39" s="204">
        <f t="shared" si="20"/>
        <v>16</v>
      </c>
      <c r="X39" s="204">
        <f t="shared" si="20"/>
        <v>16</v>
      </c>
      <c r="Y39" s="204">
        <f t="shared" si="20"/>
        <v>16</v>
      </c>
      <c r="Z39" s="204">
        <f t="shared" si="20"/>
        <v>16.499688861232109</v>
      </c>
      <c r="AA39" s="204">
        <f t="shared" si="20"/>
        <v>17</v>
      </c>
      <c r="AB39" s="204">
        <f t="shared" ref="AB39:AF42" si="21">+IFERROR(N39/$E39,0)</f>
        <v>15.49968886123211</v>
      </c>
      <c r="AC39" s="204">
        <f t="shared" si="21"/>
        <v>16</v>
      </c>
      <c r="AD39" s="204">
        <f t="shared" si="21"/>
        <v>17.499688861232112</v>
      </c>
      <c r="AE39" s="204">
        <f t="shared" si="21"/>
        <v>16.499999999999996</v>
      </c>
      <c r="AF39" s="204">
        <f t="shared" si="21"/>
        <v>17.000311138767891</v>
      </c>
      <c r="AG39" s="204">
        <f t="shared" ref="AG39" si="22">SUM(U39:AF39)</f>
        <v>193.92097075295584</v>
      </c>
      <c r="AH39" s="204">
        <f t="shared" ref="AH39" si="23">+SUM(U39:AF39)/$AB$2</f>
        <v>16.160080896079652</v>
      </c>
      <c r="AJ39" s="185">
        <v>95</v>
      </c>
      <c r="AM39" s="185">
        <v>1</v>
      </c>
      <c r="AN39" s="186">
        <f t="shared" ref="AN39:AN40" si="24">AM39*AH39</f>
        <v>16.160080896079652</v>
      </c>
      <c r="AQ39" s="205">
        <v>16.07</v>
      </c>
      <c r="AR39" s="19">
        <f>+$AT$3*AQ39</f>
        <v>-0.52313363181444428</v>
      </c>
      <c r="AS39" s="19">
        <f t="shared" ref="AS39:AS43" si="25">+AH39*AR39*12</f>
        <v>-101.44658171497642</v>
      </c>
      <c r="AT39" s="19">
        <f t="shared" ref="AT39" si="26">+AR39+AQ39</f>
        <v>15.546866368185556</v>
      </c>
      <c r="AU39" s="19">
        <f t="shared" ref="AU39:AU43" si="27">+AS39+S39</f>
        <v>3014.8634182850237</v>
      </c>
    </row>
    <row r="40" spans="1:49" outlineLevel="1" x14ac:dyDescent="0.25">
      <c r="A40" s="1" t="str">
        <f t="shared" si="19"/>
        <v>VashonResidentialRECYR</v>
      </c>
      <c r="B40" s="1" t="s">
        <v>337</v>
      </c>
      <c r="C40" s="1" t="s">
        <v>338</v>
      </c>
      <c r="D40" s="202">
        <f>IFERROR(VLOOKUP(A40,[53]Vashon!$A$10:$S$434,4,FALSE),0)</f>
        <v>14.57</v>
      </c>
      <c r="E40" s="202">
        <f>IFERROR(VLOOKUP(A40,'[51]PI Default Pricing 3.1.21'!A:L,12,FALSE),0)</f>
        <v>14.57</v>
      </c>
      <c r="F40" s="16"/>
      <c r="G40" s="203">
        <v>20391.505000000001</v>
      </c>
      <c r="H40" s="203">
        <v>20882.825000000004</v>
      </c>
      <c r="I40" s="203">
        <v>21128.005000000001</v>
      </c>
      <c r="J40" s="203">
        <v>21448.705000000002</v>
      </c>
      <c r="K40" s="203">
        <v>21146.179999999997</v>
      </c>
      <c r="L40" s="203">
        <v>21250.300000000003</v>
      </c>
      <c r="M40" s="203">
        <v>21029.244999999999</v>
      </c>
      <c r="N40" s="17">
        <v>21234.45</v>
      </c>
      <c r="O40" s="17">
        <v>21087.789999999997</v>
      </c>
      <c r="P40" s="17">
        <v>21299.879999999997</v>
      </c>
      <c r="Q40" s="17">
        <v>21225.599999999999</v>
      </c>
      <c r="R40" s="17">
        <v>21541.614999999998</v>
      </c>
      <c r="S40" s="17">
        <v>253666.10000000003</v>
      </c>
      <c r="U40" s="204">
        <f t="shared" si="20"/>
        <v>1399.554221002059</v>
      </c>
      <c r="V40" s="204">
        <f t="shared" si="20"/>
        <v>1433.2755662319837</v>
      </c>
      <c r="W40" s="204">
        <f t="shared" si="20"/>
        <v>1450.1032944406315</v>
      </c>
      <c r="X40" s="204">
        <f t="shared" si="20"/>
        <v>1472.114275909403</v>
      </c>
      <c r="Y40" s="204">
        <f t="shared" si="20"/>
        <v>1451.3507206588879</v>
      </c>
      <c r="Z40" s="204">
        <f t="shared" si="20"/>
        <v>1458.4969114619082</v>
      </c>
      <c r="AA40" s="204">
        <f t="shared" si="20"/>
        <v>1443.324982841455</v>
      </c>
      <c r="AB40" s="204">
        <f t="shared" si="21"/>
        <v>1457.4090597117365</v>
      </c>
      <c r="AC40" s="204">
        <f t="shared" si="21"/>
        <v>1447.3431708991075</v>
      </c>
      <c r="AD40" s="204">
        <f t="shared" si="21"/>
        <v>1461.8997940974602</v>
      </c>
      <c r="AE40" s="204">
        <f t="shared" si="21"/>
        <v>1456.8016472203155</v>
      </c>
      <c r="AF40" s="204">
        <f t="shared" si="21"/>
        <v>1478.4910775566229</v>
      </c>
      <c r="AG40" s="204">
        <f t="shared" ref="AG40:AG42" si="28">SUM(U40:AF40)</f>
        <v>17410.164722031572</v>
      </c>
      <c r="AH40" s="204">
        <f t="shared" ref="AH40:AH42" si="29">+SUM(U40:AF40)/$AB$2</f>
        <v>1450.8470601692977</v>
      </c>
      <c r="AJ40" s="185">
        <v>95</v>
      </c>
      <c r="AM40" s="185">
        <v>1</v>
      </c>
      <c r="AN40" s="186">
        <f t="shared" si="24"/>
        <v>1450.8470601692977</v>
      </c>
      <c r="AQ40" s="205">
        <v>14.57</v>
      </c>
      <c r="AR40" s="19">
        <f t="shared" ref="AR40:AR42" si="30">+$AT$3*AQ40</f>
        <v>-0.47430348572099895</v>
      </c>
      <c r="AS40" s="19">
        <f t="shared" si="25"/>
        <v>-8257.7018146363407</v>
      </c>
      <c r="AT40" s="19">
        <f t="shared" ref="AT40:AT43" si="31">+AR40+E40</f>
        <v>14.095696514279002</v>
      </c>
      <c r="AU40" s="19">
        <f t="shared" si="27"/>
        <v>245408.39818536368</v>
      </c>
    </row>
    <row r="41" spans="1:49" outlineLevel="1" x14ac:dyDescent="0.25">
      <c r="A41" s="1" t="str">
        <f t="shared" si="19"/>
        <v>VashonResidentialDRVNR-RECYCLE</v>
      </c>
      <c r="B41" s="1" t="s">
        <v>339</v>
      </c>
      <c r="C41" s="1" t="s">
        <v>340</v>
      </c>
      <c r="D41" s="202">
        <v>2.81</v>
      </c>
      <c r="E41" s="202">
        <v>2.81</v>
      </c>
      <c r="F41" s="16"/>
      <c r="G41" s="203">
        <v>2.81</v>
      </c>
      <c r="H41" s="203">
        <v>2.81</v>
      </c>
      <c r="I41" s="203">
        <v>2.81</v>
      </c>
      <c r="J41" s="203">
        <v>2.81</v>
      </c>
      <c r="K41" s="203">
        <v>5.62</v>
      </c>
      <c r="L41" s="203">
        <v>5.62</v>
      </c>
      <c r="M41" s="203">
        <v>5.62</v>
      </c>
      <c r="N41" s="17">
        <v>5.62</v>
      </c>
      <c r="O41" s="17">
        <v>5.62</v>
      </c>
      <c r="P41" s="17">
        <v>5.62</v>
      </c>
      <c r="Q41" s="17">
        <v>5.62</v>
      </c>
      <c r="R41" s="17">
        <v>5.62</v>
      </c>
      <c r="S41" s="17">
        <v>56.199999999999989</v>
      </c>
      <c r="U41" s="18">
        <f t="shared" si="20"/>
        <v>1</v>
      </c>
      <c r="V41" s="18">
        <f t="shared" si="20"/>
        <v>1</v>
      </c>
      <c r="W41" s="18">
        <f t="shared" si="20"/>
        <v>1</v>
      </c>
      <c r="X41" s="18">
        <f t="shared" si="20"/>
        <v>1</v>
      </c>
      <c r="Y41" s="18">
        <f t="shared" si="20"/>
        <v>2</v>
      </c>
      <c r="Z41" s="18">
        <f t="shared" si="20"/>
        <v>2</v>
      </c>
      <c r="AA41" s="18">
        <f t="shared" si="20"/>
        <v>2</v>
      </c>
      <c r="AB41" s="18">
        <f t="shared" si="21"/>
        <v>2</v>
      </c>
      <c r="AC41" s="18">
        <f t="shared" si="21"/>
        <v>2</v>
      </c>
      <c r="AD41" s="18">
        <f t="shared" si="21"/>
        <v>2</v>
      </c>
      <c r="AE41" s="18">
        <f t="shared" si="21"/>
        <v>2</v>
      </c>
      <c r="AF41" s="18">
        <f t="shared" si="21"/>
        <v>2</v>
      </c>
      <c r="AG41" s="18">
        <f t="shared" si="28"/>
        <v>20</v>
      </c>
      <c r="AH41" s="18">
        <f t="shared" si="29"/>
        <v>1.6666666666666667</v>
      </c>
      <c r="AQ41" s="205">
        <v>2.81</v>
      </c>
      <c r="AR41" s="19">
        <f t="shared" si="30"/>
        <v>-9.1475140348387579E-2</v>
      </c>
      <c r="AS41" s="19">
        <f t="shared" si="25"/>
        <v>-1.8295028069677515</v>
      </c>
      <c r="AT41" s="19">
        <f t="shared" si="31"/>
        <v>2.7185248596516125</v>
      </c>
      <c r="AU41" s="19">
        <f t="shared" si="27"/>
        <v>54.370497193032236</v>
      </c>
    </row>
    <row r="42" spans="1:49" outlineLevel="1" x14ac:dyDescent="0.25">
      <c r="A42" s="1" t="str">
        <f t="shared" si="19"/>
        <v>VashonResidentialPACKR-RECYCLE</v>
      </c>
      <c r="B42" s="1" t="s">
        <v>341</v>
      </c>
      <c r="C42" s="1" t="s">
        <v>342</v>
      </c>
      <c r="D42" s="202">
        <v>2.4300000000000002</v>
      </c>
      <c r="E42" s="202">
        <v>2.4300000000000002</v>
      </c>
      <c r="F42" s="16"/>
      <c r="G42" s="203">
        <v>2.3650000000000002</v>
      </c>
      <c r="H42" s="203">
        <v>2.3650000000000002</v>
      </c>
      <c r="I42" s="203">
        <v>2.3650000000000002</v>
      </c>
      <c r="J42" s="203">
        <v>2.3650000000000002</v>
      </c>
      <c r="K42" s="203">
        <v>2.3650000000000002</v>
      </c>
      <c r="L42" s="203">
        <v>2.3650000000000002</v>
      </c>
      <c r="M42" s="203">
        <v>2.3650000000000002</v>
      </c>
      <c r="N42" s="17">
        <v>12.925000000000001</v>
      </c>
      <c r="O42" s="17">
        <v>12.925000000000001</v>
      </c>
      <c r="P42" s="17">
        <v>12.925000000000001</v>
      </c>
      <c r="Q42" s="17">
        <v>7.6449999999999996</v>
      </c>
      <c r="R42" s="17">
        <v>23.484999999999999</v>
      </c>
      <c r="S42" s="17">
        <v>86.46</v>
      </c>
      <c r="U42" s="18">
        <f t="shared" si="20"/>
        <v>0.97325102880658443</v>
      </c>
      <c r="V42" s="18">
        <f t="shared" si="20"/>
        <v>0.97325102880658443</v>
      </c>
      <c r="W42" s="18">
        <f t="shared" si="20"/>
        <v>0.97325102880658443</v>
      </c>
      <c r="X42" s="18">
        <f t="shared" si="20"/>
        <v>0.97325102880658443</v>
      </c>
      <c r="Y42" s="18">
        <f t="shared" si="20"/>
        <v>0.97325102880658443</v>
      </c>
      <c r="Z42" s="18">
        <f t="shared" si="20"/>
        <v>0.97325102880658443</v>
      </c>
      <c r="AA42" s="18">
        <f t="shared" si="20"/>
        <v>0.97325102880658443</v>
      </c>
      <c r="AB42" s="18">
        <f t="shared" si="21"/>
        <v>5.3189300411522638</v>
      </c>
      <c r="AC42" s="18">
        <f t="shared" si="21"/>
        <v>5.3189300411522638</v>
      </c>
      <c r="AD42" s="18">
        <f t="shared" si="21"/>
        <v>5.3189300411522638</v>
      </c>
      <c r="AE42" s="18">
        <f t="shared" si="21"/>
        <v>3.1460905349794235</v>
      </c>
      <c r="AF42" s="18">
        <f t="shared" si="21"/>
        <v>9.6646090534979407</v>
      </c>
      <c r="AG42" s="18">
        <f t="shared" si="28"/>
        <v>35.580246913580247</v>
      </c>
      <c r="AH42" s="18">
        <f t="shared" si="29"/>
        <v>2.9650205761316872</v>
      </c>
      <c r="AQ42" s="205">
        <v>2.4300000000000002</v>
      </c>
      <c r="AR42" s="19">
        <f t="shared" si="30"/>
        <v>-7.9104836671381434E-2</v>
      </c>
      <c r="AS42" s="19">
        <f t="shared" si="25"/>
        <v>-2.8145696208261888</v>
      </c>
      <c r="AT42" s="19">
        <f t="shared" si="31"/>
        <v>2.3508951633286186</v>
      </c>
      <c r="AU42" s="19">
        <f t="shared" si="27"/>
        <v>83.645430379173803</v>
      </c>
    </row>
    <row r="43" spans="1:49" ht="15.75" outlineLevel="1" thickBot="1" x14ac:dyDescent="0.3">
      <c r="E43" s="16"/>
      <c r="F43" s="16"/>
      <c r="G43" s="16"/>
      <c r="H43" s="16"/>
      <c r="I43" s="16"/>
      <c r="J43" s="16"/>
      <c r="K43" s="16"/>
      <c r="L43" s="16"/>
      <c r="M43" s="16"/>
      <c r="N43" s="17"/>
      <c r="O43" s="17"/>
      <c r="P43" s="17"/>
      <c r="Q43" s="17"/>
      <c r="R43" s="17"/>
      <c r="S43" s="17"/>
      <c r="AB43" s="18"/>
      <c r="AC43" s="18"/>
      <c r="AD43" s="18"/>
      <c r="AE43" s="18"/>
      <c r="AF43" s="18"/>
      <c r="AG43" s="18"/>
      <c r="AH43" s="18"/>
      <c r="AR43" s="19">
        <f>+$AT$2*E43</f>
        <v>0</v>
      </c>
      <c r="AS43" s="19">
        <f t="shared" si="25"/>
        <v>0</v>
      </c>
      <c r="AT43" s="19">
        <f t="shared" si="31"/>
        <v>0</v>
      </c>
      <c r="AU43" s="19">
        <f t="shared" si="27"/>
        <v>0</v>
      </c>
    </row>
    <row r="44" spans="1:49" ht="15.75" outlineLevel="1" thickBot="1" x14ac:dyDescent="0.3">
      <c r="C44" s="3" t="s">
        <v>343</v>
      </c>
      <c r="D44" s="3"/>
      <c r="E44" s="16"/>
      <c r="F44" s="16"/>
      <c r="G44" s="20">
        <f t="shared" ref="G44:I44" si="32">+SUM(G39:G43)</f>
        <v>20629.695000000003</v>
      </c>
      <c r="H44" s="20">
        <f t="shared" si="32"/>
        <v>21135.825000000008</v>
      </c>
      <c r="I44" s="20">
        <f t="shared" si="32"/>
        <v>21390.300000000003</v>
      </c>
      <c r="J44" s="20">
        <f>+SUM(J39:J43)</f>
        <v>21711.000000000004</v>
      </c>
      <c r="K44" s="20">
        <f t="shared" ref="K44:S44" si="33">+SUM(K39:K43)</f>
        <v>21411.284999999996</v>
      </c>
      <c r="L44" s="20">
        <f t="shared" si="33"/>
        <v>21523.435000000005</v>
      </c>
      <c r="M44" s="20">
        <f t="shared" si="33"/>
        <v>21310.42</v>
      </c>
      <c r="N44" s="20">
        <f t="shared" si="33"/>
        <v>21502.075000000001</v>
      </c>
      <c r="O44" s="20">
        <f t="shared" si="33"/>
        <v>21363.454999999994</v>
      </c>
      <c r="P44" s="20">
        <f t="shared" si="33"/>
        <v>21599.644999999997</v>
      </c>
      <c r="Q44" s="20">
        <f t="shared" si="33"/>
        <v>21504.019999999997</v>
      </c>
      <c r="R44" s="20">
        <f t="shared" si="33"/>
        <v>21843.914999999997</v>
      </c>
      <c r="S44" s="20">
        <f t="shared" si="33"/>
        <v>256925.07000000004</v>
      </c>
      <c r="U44" s="20">
        <f>SUM(U39:U40)</f>
        <v>1414.054221002059</v>
      </c>
      <c r="V44" s="20">
        <f t="shared" ref="V44:AG44" si="34">SUM(V39:V40)</f>
        <v>1448.6971592624752</v>
      </c>
      <c r="W44" s="20">
        <f t="shared" si="34"/>
        <v>1466.1032944406315</v>
      </c>
      <c r="X44" s="20">
        <f t="shared" si="34"/>
        <v>1488.114275909403</v>
      </c>
      <c r="Y44" s="20">
        <f t="shared" si="34"/>
        <v>1467.3507206588879</v>
      </c>
      <c r="Z44" s="20">
        <f t="shared" si="34"/>
        <v>1474.9966003231402</v>
      </c>
      <c r="AA44" s="20">
        <f t="shared" si="34"/>
        <v>1460.324982841455</v>
      </c>
      <c r="AB44" s="20">
        <f t="shared" si="34"/>
        <v>1472.9087485729685</v>
      </c>
      <c r="AC44" s="20">
        <f t="shared" si="34"/>
        <v>1463.3431708991075</v>
      </c>
      <c r="AD44" s="20">
        <f t="shared" si="34"/>
        <v>1479.3994829586923</v>
      </c>
      <c r="AE44" s="20">
        <f t="shared" si="34"/>
        <v>1473.3016472203155</v>
      </c>
      <c r="AF44" s="20">
        <f t="shared" si="34"/>
        <v>1495.4913886953909</v>
      </c>
      <c r="AG44" s="20">
        <f t="shared" si="34"/>
        <v>17604.085692784527</v>
      </c>
      <c r="AH44" s="20">
        <f>SUM(AH39:AH40)</f>
        <v>1467.0071410653775</v>
      </c>
      <c r="AJ44" s="208">
        <f>+SUMIF(AJ38:AJ43,"&lt;&gt;",$AN38:$AN43)</f>
        <v>1467.0071410653775</v>
      </c>
      <c r="AK44" s="208">
        <f t="shared" ref="AK44:AL44" si="35">+SUMIF(AK38:AK43,"&lt;&gt;",$AN38:$AN43)</f>
        <v>0</v>
      </c>
      <c r="AL44" s="208">
        <f t="shared" si="35"/>
        <v>0</v>
      </c>
      <c r="AM44" s="209"/>
      <c r="AN44" s="210">
        <f>+SUM(AN38:AN43)</f>
        <v>1467.0071410653775</v>
      </c>
      <c r="AO44" s="1" t="s">
        <v>333</v>
      </c>
      <c r="AP44" s="211">
        <f>+SUM(AJ44:AL44)-AN44</f>
        <v>0</v>
      </c>
      <c r="AQ44" s="211"/>
      <c r="AR44" s="215"/>
      <c r="AS44" s="216">
        <f>SUM(AS39:AS43)</f>
        <v>-8363.792468779111</v>
      </c>
      <c r="AT44" s="215"/>
      <c r="AU44" s="216">
        <f>SUM(AU39:AU43)</f>
        <v>248561.27753122093</v>
      </c>
      <c r="AV44" s="4">
        <f>+AS44/S44</f>
        <v>-3.2553430728963544E-2</v>
      </c>
    </row>
    <row r="45" spans="1:49" outlineLevel="1" x14ac:dyDescent="0.25">
      <c r="C45" s="3"/>
      <c r="D45" s="3"/>
      <c r="E45" s="16"/>
      <c r="F45" s="16"/>
      <c r="G45" s="16"/>
      <c r="H45" s="16"/>
      <c r="I45" s="16"/>
      <c r="J45" s="16"/>
      <c r="K45" s="16"/>
      <c r="L45" s="16"/>
      <c r="M45" s="16"/>
      <c r="N45" s="21"/>
      <c r="O45" s="21"/>
      <c r="P45" s="21"/>
      <c r="Q45" s="21"/>
      <c r="R45" s="21"/>
      <c r="S45" s="21"/>
      <c r="AB45" s="18"/>
      <c r="AC45" s="18"/>
      <c r="AD45" s="18"/>
      <c r="AE45" s="18"/>
      <c r="AF45" s="18"/>
      <c r="AG45" s="18"/>
      <c r="AH45" s="18"/>
      <c r="AO45" s="214"/>
    </row>
    <row r="46" spans="1:49" outlineLevel="1" x14ac:dyDescent="0.25">
      <c r="B46" s="2" t="s">
        <v>344</v>
      </c>
      <c r="E46" s="16"/>
      <c r="F46" s="16"/>
      <c r="G46" s="16"/>
      <c r="H46" s="16"/>
      <c r="I46" s="16"/>
      <c r="J46" s="16"/>
      <c r="K46" s="16"/>
      <c r="L46" s="16"/>
      <c r="M46" s="16"/>
      <c r="N46" s="17"/>
      <c r="O46" s="17"/>
      <c r="P46" s="17"/>
      <c r="Q46" s="17"/>
      <c r="R46" s="17"/>
      <c r="S46" s="17"/>
      <c r="AB46" s="18"/>
      <c r="AC46" s="18"/>
      <c r="AD46" s="18"/>
      <c r="AE46" s="18"/>
      <c r="AF46" s="18"/>
      <c r="AG46" s="18"/>
      <c r="AH46" s="18"/>
    </row>
    <row r="47" spans="1:49" outlineLevel="1" x14ac:dyDescent="0.25">
      <c r="E47" s="16"/>
      <c r="F47" s="16"/>
      <c r="G47" s="16"/>
      <c r="H47" s="16"/>
      <c r="I47" s="16"/>
      <c r="J47" s="16"/>
      <c r="K47" s="16"/>
      <c r="L47" s="16"/>
      <c r="M47" s="16"/>
      <c r="N47" s="17"/>
      <c r="O47" s="17"/>
      <c r="P47" s="17"/>
      <c r="Q47" s="17"/>
      <c r="R47" s="17"/>
      <c r="S47" s="17"/>
      <c r="AB47" s="18"/>
      <c r="AC47" s="18"/>
      <c r="AD47" s="18"/>
      <c r="AE47" s="18"/>
      <c r="AF47" s="18"/>
      <c r="AG47" s="18"/>
      <c r="AH47" s="18"/>
    </row>
    <row r="48" spans="1:49" outlineLevel="1" x14ac:dyDescent="0.25">
      <c r="C48" s="3" t="s">
        <v>345</v>
      </c>
      <c r="D48" s="3"/>
      <c r="E48" s="16"/>
      <c r="F48" s="16"/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U48" s="20">
        <f t="shared" ref="U48:AH48" si="36">SUM(U47:U47)</f>
        <v>0</v>
      </c>
      <c r="V48" s="20">
        <f t="shared" si="36"/>
        <v>0</v>
      </c>
      <c r="W48" s="20">
        <f t="shared" si="36"/>
        <v>0</v>
      </c>
      <c r="X48" s="20">
        <f t="shared" si="36"/>
        <v>0</v>
      </c>
      <c r="Y48" s="20">
        <f t="shared" si="36"/>
        <v>0</v>
      </c>
      <c r="Z48" s="20">
        <f t="shared" si="36"/>
        <v>0</v>
      </c>
      <c r="AA48" s="20">
        <f t="shared" si="36"/>
        <v>0</v>
      </c>
      <c r="AB48" s="20">
        <f t="shared" si="36"/>
        <v>0</v>
      </c>
      <c r="AC48" s="20">
        <f t="shared" si="36"/>
        <v>0</v>
      </c>
      <c r="AD48" s="20">
        <f t="shared" si="36"/>
        <v>0</v>
      </c>
      <c r="AE48" s="20">
        <f t="shared" si="36"/>
        <v>0</v>
      </c>
      <c r="AF48" s="20">
        <f t="shared" si="36"/>
        <v>0</v>
      </c>
      <c r="AG48" s="20">
        <f t="shared" si="36"/>
        <v>0</v>
      </c>
      <c r="AH48" s="20">
        <f t="shared" si="36"/>
        <v>0</v>
      </c>
    </row>
    <row r="49" spans="1:47" outlineLevel="1" x14ac:dyDescent="0.25">
      <c r="C49" s="3"/>
      <c r="D49" s="3"/>
      <c r="E49" s="16"/>
      <c r="F49" s="16"/>
      <c r="G49" s="16"/>
      <c r="H49" s="16"/>
      <c r="I49" s="16"/>
      <c r="J49" s="16"/>
      <c r="K49" s="16"/>
      <c r="L49" s="16"/>
      <c r="M49" s="16"/>
      <c r="N49" s="17"/>
      <c r="O49" s="17"/>
      <c r="P49" s="17"/>
      <c r="Q49" s="17"/>
      <c r="R49" s="17"/>
      <c r="S49" s="17"/>
      <c r="AB49" s="17"/>
      <c r="AC49" s="17"/>
      <c r="AD49" s="17"/>
      <c r="AE49" s="17"/>
      <c r="AF49" s="17"/>
      <c r="AG49" s="17"/>
      <c r="AH49" s="17"/>
    </row>
    <row r="50" spans="1:47" outlineLevel="1" x14ac:dyDescent="0.25">
      <c r="E50" s="16"/>
      <c r="F50" s="16"/>
      <c r="G50" s="16"/>
      <c r="H50" s="16"/>
      <c r="I50" s="16"/>
      <c r="J50" s="16"/>
      <c r="K50" s="16"/>
      <c r="L50" s="16"/>
      <c r="M50" s="16"/>
      <c r="N50" s="17"/>
      <c r="O50" s="17"/>
      <c r="P50" s="17"/>
      <c r="Q50" s="17"/>
      <c r="R50" s="17"/>
      <c r="S50" s="17"/>
      <c r="AB50" s="17"/>
      <c r="AC50" s="17"/>
      <c r="AD50" s="17"/>
      <c r="AE50" s="17"/>
      <c r="AF50" s="17"/>
      <c r="AG50" s="17"/>
      <c r="AH50" s="17"/>
    </row>
    <row r="51" spans="1:47" s="2" customFormat="1" x14ac:dyDescent="0.25">
      <c r="B51" s="2" t="s">
        <v>346</v>
      </c>
      <c r="E51" s="16"/>
      <c r="F51" s="16"/>
      <c r="G51" s="22">
        <f>+G44+G36</f>
        <v>71389.375</v>
      </c>
      <c r="H51" s="22">
        <f t="shared" ref="H51:S51" si="37">+H44+H36</f>
        <v>73713.73000000001</v>
      </c>
      <c r="I51" s="22">
        <f t="shared" si="37"/>
        <v>73162.60500000001</v>
      </c>
      <c r="J51" s="22">
        <f t="shared" si="37"/>
        <v>74601.24500000001</v>
      </c>
      <c r="K51" s="22">
        <f t="shared" si="37"/>
        <v>71846.315000000002</v>
      </c>
      <c r="L51" s="22">
        <f t="shared" si="37"/>
        <v>71731.58</v>
      </c>
      <c r="M51" s="22">
        <f t="shared" si="37"/>
        <v>71258.610000000015</v>
      </c>
      <c r="N51" s="22">
        <f t="shared" si="37"/>
        <v>73158.495000000024</v>
      </c>
      <c r="O51" s="22">
        <f t="shared" si="37"/>
        <v>72133.740000000005</v>
      </c>
      <c r="P51" s="22">
        <f t="shared" si="37"/>
        <v>73396.434999999998</v>
      </c>
      <c r="Q51" s="22">
        <f t="shared" si="37"/>
        <v>73283.735000000015</v>
      </c>
      <c r="R51" s="22">
        <f t="shared" si="37"/>
        <v>73984.410000000018</v>
      </c>
      <c r="S51" s="22">
        <f t="shared" si="37"/>
        <v>873660.27500000002</v>
      </c>
      <c r="T51" s="184"/>
      <c r="U51" s="22">
        <f t="shared" ref="U51:AG51" si="38">+U36+U44+U48</f>
        <v>3841.6254948540504</v>
      </c>
      <c r="V51" s="22">
        <f t="shared" si="38"/>
        <v>3906.4189148941032</v>
      </c>
      <c r="W51" s="22">
        <f t="shared" si="38"/>
        <v>3942.1191742167589</v>
      </c>
      <c r="X51" s="22">
        <f t="shared" si="38"/>
        <v>3999.3127045067786</v>
      </c>
      <c r="Y51" s="22">
        <f t="shared" si="38"/>
        <v>3916.040388098651</v>
      </c>
      <c r="Z51" s="22">
        <f t="shared" si="38"/>
        <v>3938.8749670226116</v>
      </c>
      <c r="AA51" s="22">
        <f t="shared" si="38"/>
        <v>3925.2050525151785</v>
      </c>
      <c r="AB51" s="22">
        <f t="shared" si="38"/>
        <v>3882.12084931543</v>
      </c>
      <c r="AC51" s="22">
        <f t="shared" si="38"/>
        <v>3897.3878764776814</v>
      </c>
      <c r="AD51" s="22">
        <f t="shared" si="38"/>
        <v>3946.296874338756</v>
      </c>
      <c r="AE51" s="22">
        <f t="shared" si="38"/>
        <v>3922.8527655581584</v>
      </c>
      <c r="AF51" s="22">
        <f t="shared" si="38"/>
        <v>3963.7021247335219</v>
      </c>
      <c r="AG51" s="22">
        <f t="shared" si="38"/>
        <v>47081.957186531683</v>
      </c>
      <c r="AH51" s="22">
        <f>+AH36+AH44+AH48</f>
        <v>3923.4964322109736</v>
      </c>
      <c r="AJ51" s="185"/>
      <c r="AK51" s="185"/>
      <c r="AL51" s="185"/>
      <c r="AM51" s="185"/>
      <c r="AN51" s="186"/>
    </row>
    <row r="52" spans="1:47" s="2" customFormat="1" outlineLevel="1" x14ac:dyDescent="0.25">
      <c r="E52" s="16"/>
      <c r="F52" s="16"/>
      <c r="G52" s="16"/>
      <c r="H52" s="16"/>
      <c r="I52" s="16"/>
      <c r="J52" s="16"/>
      <c r="K52" s="16"/>
      <c r="L52" s="16"/>
      <c r="M52" s="16"/>
      <c r="N52" s="17"/>
      <c r="O52" s="17"/>
      <c r="P52" s="17"/>
      <c r="Q52" s="17"/>
      <c r="R52" s="17"/>
      <c r="S52" s="17"/>
      <c r="T52" s="184"/>
      <c r="U52" s="184"/>
      <c r="V52" s="184"/>
      <c r="W52" s="184"/>
      <c r="X52" s="184"/>
      <c r="Y52" s="184"/>
      <c r="Z52" s="184"/>
      <c r="AA52" s="184"/>
      <c r="AB52" s="22"/>
      <c r="AC52" s="22"/>
      <c r="AD52" s="22"/>
      <c r="AE52" s="22"/>
      <c r="AF52" s="22"/>
      <c r="AG52" s="22"/>
      <c r="AH52" s="22"/>
      <c r="AJ52" s="185"/>
      <c r="AK52" s="185"/>
      <c r="AL52" s="185"/>
      <c r="AM52" s="185"/>
      <c r="AN52" s="186"/>
    </row>
    <row r="53" spans="1:47" s="2" customFormat="1" outlineLevel="1" x14ac:dyDescent="0.25"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84"/>
      <c r="U53" s="184"/>
      <c r="V53" s="184"/>
      <c r="W53" s="184"/>
      <c r="X53" s="184"/>
      <c r="Y53" s="184"/>
      <c r="Z53" s="184"/>
      <c r="AA53" s="184"/>
      <c r="AB53" s="22"/>
      <c r="AC53" s="22"/>
      <c r="AD53" s="22"/>
      <c r="AE53" s="22"/>
      <c r="AF53" s="22"/>
      <c r="AG53" s="22"/>
      <c r="AH53" s="22"/>
      <c r="AJ53" s="185"/>
      <c r="AK53" s="185"/>
      <c r="AL53" s="185"/>
      <c r="AM53" s="185"/>
      <c r="AN53" s="186"/>
    </row>
    <row r="54" spans="1:47" outlineLevel="1" x14ac:dyDescent="0.25">
      <c r="B54" s="12" t="s">
        <v>64</v>
      </c>
      <c r="C54" s="13"/>
      <c r="D54" s="13"/>
      <c r="E54" s="16"/>
      <c r="F54" s="16"/>
      <c r="G54" s="16"/>
      <c r="H54" s="16"/>
      <c r="I54" s="16"/>
      <c r="J54" s="16"/>
      <c r="K54" s="16"/>
      <c r="L54" s="16"/>
      <c r="M54" s="16"/>
      <c r="N54" s="17"/>
      <c r="O54" s="17"/>
      <c r="P54" s="17"/>
      <c r="Q54" s="17"/>
      <c r="R54" s="17"/>
      <c r="S54" s="17"/>
      <c r="AB54" s="18"/>
      <c r="AC54" s="18"/>
      <c r="AD54" s="18"/>
      <c r="AE54" s="18"/>
      <c r="AF54" s="18"/>
      <c r="AG54" s="18"/>
      <c r="AH54" s="18"/>
    </row>
    <row r="55" spans="1:47" outlineLevel="1" x14ac:dyDescent="0.25">
      <c r="B55" s="12"/>
      <c r="C55" s="13"/>
      <c r="D55" s="13"/>
      <c r="E55" s="16"/>
      <c r="F55" s="16"/>
      <c r="G55" s="16"/>
      <c r="H55" s="16"/>
      <c r="I55" s="16"/>
      <c r="J55" s="16"/>
      <c r="K55" s="16"/>
      <c r="L55" s="16"/>
      <c r="M55" s="16"/>
      <c r="N55" s="17"/>
      <c r="O55" s="17"/>
      <c r="P55" s="17"/>
      <c r="Q55" s="17"/>
      <c r="R55" s="17"/>
      <c r="S55" s="17"/>
      <c r="AB55" s="18"/>
      <c r="AC55" s="18"/>
      <c r="AD55" s="18"/>
      <c r="AE55" s="18"/>
      <c r="AF55" s="18"/>
      <c r="AG55" s="18"/>
      <c r="AH55" s="18"/>
    </row>
    <row r="56" spans="1:47" outlineLevel="1" x14ac:dyDescent="0.25">
      <c r="A56" s="1" t="s">
        <v>249</v>
      </c>
      <c r="B56" s="15" t="s">
        <v>65</v>
      </c>
      <c r="C56" s="13"/>
      <c r="D56" s="13"/>
      <c r="E56" s="16"/>
      <c r="F56" s="16"/>
      <c r="G56" s="16"/>
      <c r="H56" s="16"/>
      <c r="I56" s="16"/>
      <c r="J56" s="16"/>
      <c r="K56" s="16"/>
      <c r="L56" s="16"/>
      <c r="M56" s="16"/>
      <c r="N56" s="17"/>
      <c r="O56" s="17"/>
      <c r="P56" s="17"/>
      <c r="Q56" s="17"/>
      <c r="R56" s="17"/>
      <c r="S56" s="17"/>
      <c r="AB56" s="18"/>
      <c r="AC56" s="18"/>
      <c r="AD56" s="18"/>
      <c r="AE56" s="18"/>
      <c r="AF56" s="18"/>
      <c r="AG56" s="18"/>
      <c r="AH56" s="18"/>
    </row>
    <row r="57" spans="1:47" outlineLevel="1" x14ac:dyDescent="0.25">
      <c r="A57" s="1" t="str">
        <f t="shared" ref="A57:A90" si="39">+$A$5&amp;$A$56&amp;B57</f>
        <v>VashonCommercial32CE1</v>
      </c>
      <c r="B57" s="1" t="s">
        <v>66</v>
      </c>
      <c r="C57" s="1" t="s">
        <v>67</v>
      </c>
      <c r="D57" s="202">
        <f>IFERROR(VLOOKUP(A57,[53]Vashon!$A$10:$S$434,4,FALSE),0)</f>
        <v>15.59</v>
      </c>
      <c r="E57" s="202">
        <f>IFERROR(VLOOKUP(A57,'[51]PI Default Pricing 3.1.21'!A:L,12,FALSE),0)</f>
        <v>16.170000000000002</v>
      </c>
      <c r="F57" s="16"/>
      <c r="G57" s="203">
        <v>31.18</v>
      </c>
      <c r="H57" s="203">
        <v>31.18</v>
      </c>
      <c r="I57" s="203">
        <v>31.18</v>
      </c>
      <c r="J57" s="203">
        <v>31.18</v>
      </c>
      <c r="K57" s="203">
        <v>31.18</v>
      </c>
      <c r="L57" s="203">
        <v>15.59</v>
      </c>
      <c r="M57" s="203">
        <v>15.59</v>
      </c>
      <c r="N57" s="17">
        <v>16.170000000000002</v>
      </c>
      <c r="O57" s="17">
        <v>16.170000000000002</v>
      </c>
      <c r="P57" s="17">
        <v>16.170000000000002</v>
      </c>
      <c r="Q57" s="17">
        <v>16.170000000000002</v>
      </c>
      <c r="R57" s="17">
        <v>32.340000000000003</v>
      </c>
      <c r="S57" s="17">
        <v>284.10000000000002</v>
      </c>
      <c r="U57" s="204">
        <f t="shared" ref="U57:AA80" si="40">+IFERROR(G57/$D57,0)</f>
        <v>2</v>
      </c>
      <c r="V57" s="204">
        <f t="shared" si="40"/>
        <v>2</v>
      </c>
      <c r="W57" s="204">
        <f t="shared" si="40"/>
        <v>2</v>
      </c>
      <c r="X57" s="204">
        <f t="shared" si="40"/>
        <v>2</v>
      </c>
      <c r="Y57" s="204">
        <f t="shared" si="40"/>
        <v>2</v>
      </c>
      <c r="Z57" s="204">
        <f t="shared" si="40"/>
        <v>1</v>
      </c>
      <c r="AA57" s="204">
        <f t="shared" si="40"/>
        <v>1</v>
      </c>
      <c r="AB57" s="204">
        <f t="shared" ref="AB57:AF73" si="41">+IFERROR(N57/$E57,0)</f>
        <v>1</v>
      </c>
      <c r="AC57" s="204">
        <f t="shared" si="41"/>
        <v>1</v>
      </c>
      <c r="AD57" s="204">
        <f t="shared" si="41"/>
        <v>1</v>
      </c>
      <c r="AE57" s="204">
        <f t="shared" si="41"/>
        <v>1</v>
      </c>
      <c r="AF57" s="204">
        <f t="shared" si="41"/>
        <v>2</v>
      </c>
      <c r="AG57" s="239">
        <f t="shared" ref="AG57" si="42">SUM(U57:AF57)</f>
        <v>18</v>
      </c>
      <c r="AH57" s="239">
        <f t="shared" ref="AH57" si="43">+SUM(U57:AF57)/$AB$2</f>
        <v>1.5</v>
      </c>
      <c r="AI57" s="5">
        <f ca="1">+SUMIF('DF Calculation'!$C$16:$C$39,C57,'DF Calculation'!$D$16:$D$39)-AG57</f>
        <v>0</v>
      </c>
      <c r="AN57" s="186">
        <f t="shared" ref="AN57:AN79" si="44">AM57*AH57</f>
        <v>0</v>
      </c>
      <c r="AQ57" s="217">
        <v>16.809999999999999</v>
      </c>
      <c r="AR57" s="19">
        <f t="shared" ref="AR57:AR91" si="45">+$AT$2*AQ57</f>
        <v>1.9785414938634156</v>
      </c>
      <c r="AS57" s="19">
        <f t="shared" ref="AS57:AS91" si="46">+AH57*AR57*12</f>
        <v>35.613746889541481</v>
      </c>
      <c r="AT57" s="19">
        <f t="shared" ref="AT57:AT91" si="47">+AR57+AQ57</f>
        <v>18.788541493863413</v>
      </c>
      <c r="AU57" s="19">
        <f t="shared" ref="AU57:AU91" si="48">+AS57+S57</f>
        <v>319.71374688954148</v>
      </c>
    </row>
    <row r="58" spans="1:47" outlineLevel="1" x14ac:dyDescent="0.25">
      <c r="A58" s="1" t="str">
        <f t="shared" si="39"/>
        <v>VashonCommercial32CW1</v>
      </c>
      <c r="B58" s="1" t="s">
        <v>68</v>
      </c>
      <c r="C58" s="1" t="s">
        <v>29</v>
      </c>
      <c r="D58" s="202">
        <f>IFERROR(VLOOKUP(A58,[53]Vashon!$A$10:$S$434,4,FALSE),0)</f>
        <v>15.59</v>
      </c>
      <c r="E58" s="202">
        <f>IFERROR(VLOOKUP(A58,'[51]PI Default Pricing 3.1.21'!A:L,12,FALSE),0)</f>
        <v>16.170000000000002</v>
      </c>
      <c r="F58" s="16"/>
      <c r="G58" s="203">
        <v>74.050000000000011</v>
      </c>
      <c r="H58" s="203">
        <v>52.620000000000005</v>
      </c>
      <c r="I58" s="203">
        <v>31.18</v>
      </c>
      <c r="J58" s="203">
        <v>33.119999999999997</v>
      </c>
      <c r="K58" s="203">
        <v>31.18</v>
      </c>
      <c r="L58" s="203">
        <v>31.18</v>
      </c>
      <c r="M58" s="203">
        <v>44.814999999999998</v>
      </c>
      <c r="N58" s="17">
        <v>38.185000000000002</v>
      </c>
      <c r="O58" s="17">
        <v>32.340000000000003</v>
      </c>
      <c r="P58" s="17">
        <v>40.42</v>
      </c>
      <c r="Q58" s="17">
        <v>48.51</v>
      </c>
      <c r="R58" s="17">
        <v>48.51</v>
      </c>
      <c r="S58" s="17">
        <v>506.11000000000007</v>
      </c>
      <c r="U58" s="204">
        <f t="shared" si="40"/>
        <v>4.7498396407953827</v>
      </c>
      <c r="V58" s="204">
        <f t="shared" si="40"/>
        <v>3.3752405388069278</v>
      </c>
      <c r="W58" s="204">
        <f t="shared" si="40"/>
        <v>2</v>
      </c>
      <c r="X58" s="204">
        <f t="shared" si="40"/>
        <v>2.1244387427838358</v>
      </c>
      <c r="Y58" s="204">
        <f t="shared" si="40"/>
        <v>2</v>
      </c>
      <c r="Z58" s="204">
        <f t="shared" si="40"/>
        <v>2</v>
      </c>
      <c r="AA58" s="204">
        <f t="shared" si="40"/>
        <v>2.874599101988454</v>
      </c>
      <c r="AB58" s="204">
        <f t="shared" si="41"/>
        <v>2.3614718614718613</v>
      </c>
      <c r="AC58" s="204">
        <f t="shared" si="41"/>
        <v>2</v>
      </c>
      <c r="AD58" s="204">
        <f t="shared" si="41"/>
        <v>2.4996907854050709</v>
      </c>
      <c r="AE58" s="204">
        <f t="shared" si="41"/>
        <v>2.9999999999999996</v>
      </c>
      <c r="AF58" s="204">
        <f t="shared" si="41"/>
        <v>2.9999999999999996</v>
      </c>
      <c r="AG58" s="239">
        <f t="shared" ref="AG58:AG90" si="49">SUM(U58:AF58)</f>
        <v>31.985280671251534</v>
      </c>
      <c r="AH58" s="239">
        <f t="shared" ref="AH58:AH90" si="50">+SUM(U58:AF58)/$AB$2</f>
        <v>2.6654400559376277</v>
      </c>
      <c r="AI58" s="5">
        <f ca="1">+SUMIF('DF Calculation'!$C$16:$C$39,C58,'DF Calculation'!$D$16:$D$39)-AG58</f>
        <v>0</v>
      </c>
      <c r="AN58" s="186">
        <f t="shared" si="44"/>
        <v>0</v>
      </c>
      <c r="AQ58" s="217">
        <v>16.809999999999999</v>
      </c>
      <c r="AR58" s="19">
        <f t="shared" si="45"/>
        <v>1.9785414938634156</v>
      </c>
      <c r="AS58" s="19">
        <f t="shared" si="46"/>
        <v>63.284205000938641</v>
      </c>
      <c r="AT58" s="19">
        <f t="shared" si="47"/>
        <v>18.788541493863413</v>
      </c>
      <c r="AU58" s="19">
        <f t="shared" si="48"/>
        <v>569.39420500093865</v>
      </c>
    </row>
    <row r="59" spans="1:47" outlineLevel="1" x14ac:dyDescent="0.25">
      <c r="A59" s="1" t="str">
        <f t="shared" si="39"/>
        <v>VashonCommercial32CW2</v>
      </c>
      <c r="B59" s="1" t="s">
        <v>69</v>
      </c>
      <c r="C59" s="1" t="s">
        <v>70</v>
      </c>
      <c r="D59" s="202">
        <f>3.6*4.33*2</f>
        <v>31.176000000000002</v>
      </c>
      <c r="E59" s="202">
        <f>3.73*4.33*2</f>
        <v>32.3018</v>
      </c>
      <c r="F59" s="16"/>
      <c r="G59" s="203">
        <v>124.68</v>
      </c>
      <c r="H59" s="203">
        <v>85.71</v>
      </c>
      <c r="I59" s="203">
        <v>62.34</v>
      </c>
      <c r="J59" s="203">
        <v>62.34</v>
      </c>
      <c r="K59" s="203">
        <v>62.34</v>
      </c>
      <c r="L59" s="203">
        <v>62.34</v>
      </c>
      <c r="M59" s="203">
        <v>62.34</v>
      </c>
      <c r="N59" s="17">
        <v>64.599999999999994</v>
      </c>
      <c r="O59" s="17">
        <v>64.599999999999994</v>
      </c>
      <c r="P59" s="17">
        <v>64.599999999999994</v>
      </c>
      <c r="Q59" s="17">
        <v>64.599999999999994</v>
      </c>
      <c r="R59" s="17">
        <v>64.599999999999994</v>
      </c>
      <c r="S59" s="17">
        <v>845.09000000000026</v>
      </c>
      <c r="U59" s="204">
        <f t="shared" si="40"/>
        <v>3.9992301770592764</v>
      </c>
      <c r="V59" s="204">
        <f t="shared" si="40"/>
        <v>2.749230177059276</v>
      </c>
      <c r="W59" s="204">
        <f t="shared" si="40"/>
        <v>1.9996150885296382</v>
      </c>
      <c r="X59" s="204">
        <f t="shared" si="40"/>
        <v>1.9996150885296382</v>
      </c>
      <c r="Y59" s="204">
        <f t="shared" si="40"/>
        <v>1.9996150885296382</v>
      </c>
      <c r="Z59" s="204">
        <f t="shared" si="40"/>
        <v>1.9996150885296382</v>
      </c>
      <c r="AA59" s="204">
        <f t="shared" si="40"/>
        <v>1.9996150885296382</v>
      </c>
      <c r="AB59" s="204">
        <f t="shared" si="41"/>
        <v>1.9998885511024151</v>
      </c>
      <c r="AC59" s="204">
        <f t="shared" si="41"/>
        <v>1.9998885511024151</v>
      </c>
      <c r="AD59" s="204">
        <f t="shared" si="41"/>
        <v>1.9998885511024151</v>
      </c>
      <c r="AE59" s="204">
        <f t="shared" si="41"/>
        <v>1.9998885511024151</v>
      </c>
      <c r="AF59" s="204">
        <f t="shared" si="41"/>
        <v>1.9998885511024151</v>
      </c>
      <c r="AG59" s="239">
        <f t="shared" si="49"/>
        <v>26.745978552278817</v>
      </c>
      <c r="AH59" s="239">
        <f t="shared" si="50"/>
        <v>2.2288315460232346</v>
      </c>
      <c r="AI59" s="5">
        <f ca="1">+SUMIF('DF Calculation'!$C$16:$C$39,C59,'DF Calculation'!$D$16:$D$39)-AG59</f>
        <v>0</v>
      </c>
      <c r="AN59" s="186">
        <f t="shared" si="44"/>
        <v>0</v>
      </c>
      <c r="AQ59" s="217">
        <f>3.88*4.33*2</f>
        <v>33.6008</v>
      </c>
      <c r="AR59" s="19">
        <f t="shared" si="45"/>
        <v>3.954823142594043</v>
      </c>
      <c r="AS59" s="19">
        <f t="shared" si="46"/>
        <v>105.77561494987617</v>
      </c>
      <c r="AT59" s="19">
        <f t="shared" si="47"/>
        <v>37.555623142594044</v>
      </c>
      <c r="AU59" s="19">
        <f t="shared" si="48"/>
        <v>950.86561494987643</v>
      </c>
    </row>
    <row r="60" spans="1:47" outlineLevel="1" x14ac:dyDescent="0.25">
      <c r="A60" s="1" t="str">
        <f t="shared" si="39"/>
        <v>VashonCommercial32CW3</v>
      </c>
      <c r="B60" s="1" t="s">
        <v>71</v>
      </c>
      <c r="C60" s="1" t="s">
        <v>72</v>
      </c>
      <c r="D60" s="202">
        <f>3.6*4.33*3</f>
        <v>46.764000000000003</v>
      </c>
      <c r="E60" s="202">
        <f>3.73*4.33*3</f>
        <v>48.4527</v>
      </c>
      <c r="F60" s="16"/>
      <c r="G60" s="203">
        <v>140.28</v>
      </c>
      <c r="H60" s="203">
        <v>140.28</v>
      </c>
      <c r="I60" s="203">
        <v>140.28</v>
      </c>
      <c r="J60" s="203">
        <v>140.28</v>
      </c>
      <c r="K60" s="203">
        <v>140.28</v>
      </c>
      <c r="L60" s="203">
        <v>140.28</v>
      </c>
      <c r="M60" s="203">
        <v>140.28</v>
      </c>
      <c r="N60" s="17">
        <v>145.35</v>
      </c>
      <c r="O60" s="17">
        <v>145.35</v>
      </c>
      <c r="P60" s="17">
        <v>145.35</v>
      </c>
      <c r="Q60" s="17">
        <v>145.35</v>
      </c>
      <c r="R60" s="17">
        <v>145.35</v>
      </c>
      <c r="S60" s="17">
        <v>1708.7099999999996</v>
      </c>
      <c r="U60" s="204">
        <f t="shared" si="40"/>
        <v>2.9997433923530918</v>
      </c>
      <c r="V60" s="204">
        <f t="shared" si="40"/>
        <v>2.9997433923530918</v>
      </c>
      <c r="W60" s="204">
        <f t="shared" si="40"/>
        <v>2.9997433923530918</v>
      </c>
      <c r="X60" s="204">
        <f t="shared" si="40"/>
        <v>2.9997433923530918</v>
      </c>
      <c r="Y60" s="204">
        <f t="shared" si="40"/>
        <v>2.9997433923530918</v>
      </c>
      <c r="Z60" s="204">
        <f t="shared" si="40"/>
        <v>2.9997433923530918</v>
      </c>
      <c r="AA60" s="204">
        <f t="shared" si="40"/>
        <v>2.9997433923530918</v>
      </c>
      <c r="AB60" s="204">
        <f t="shared" si="41"/>
        <v>2.9998328266536229</v>
      </c>
      <c r="AC60" s="204">
        <f t="shared" si="41"/>
        <v>2.9998328266536229</v>
      </c>
      <c r="AD60" s="204">
        <f t="shared" si="41"/>
        <v>2.9998328266536229</v>
      </c>
      <c r="AE60" s="204">
        <f t="shared" si="41"/>
        <v>2.9998328266536229</v>
      </c>
      <c r="AF60" s="204">
        <f t="shared" si="41"/>
        <v>2.9998328266536229</v>
      </c>
      <c r="AG60" s="239">
        <f t="shared" si="49"/>
        <v>35.997367879739762</v>
      </c>
      <c r="AH60" s="239">
        <f t="shared" si="50"/>
        <v>2.9997806566449801</v>
      </c>
      <c r="AI60" s="5">
        <f ca="1">+SUMIF('DF Calculation'!$C$16:$C$39,C60,'DF Calculation'!$D$16:$D$39)-AG60</f>
        <v>0</v>
      </c>
      <c r="AN60" s="186">
        <f t="shared" si="44"/>
        <v>0</v>
      </c>
      <c r="AQ60" s="217">
        <f>3.88*4.33*3</f>
        <v>50.401200000000003</v>
      </c>
      <c r="AR60" s="19">
        <f t="shared" si="45"/>
        <v>5.9322347138910647</v>
      </c>
      <c r="AS60" s="19">
        <f t="shared" si="46"/>
        <v>213.54483534489941</v>
      </c>
      <c r="AT60" s="19">
        <f t="shared" si="47"/>
        <v>56.333434713891066</v>
      </c>
      <c r="AU60" s="19">
        <f t="shared" si="48"/>
        <v>1922.254835344899</v>
      </c>
    </row>
    <row r="61" spans="1:47" outlineLevel="1" x14ac:dyDescent="0.25">
      <c r="A61" s="1" t="str">
        <f t="shared" si="39"/>
        <v>VashonCommercial32CW4</v>
      </c>
      <c r="B61" s="1" t="s">
        <v>73</v>
      </c>
      <c r="C61" s="1" t="s">
        <v>74</v>
      </c>
      <c r="D61" s="202">
        <f>3.6*4.33*4</f>
        <v>62.352000000000004</v>
      </c>
      <c r="E61" s="202">
        <f>3.73*4.33*4</f>
        <v>64.6036</v>
      </c>
      <c r="F61" s="16"/>
      <c r="G61" s="203">
        <v>187.05</v>
      </c>
      <c r="H61" s="203">
        <v>187.05</v>
      </c>
      <c r="I61" s="203">
        <v>187.05</v>
      </c>
      <c r="J61" s="203">
        <v>187.05</v>
      </c>
      <c r="K61" s="203">
        <v>187.05</v>
      </c>
      <c r="L61" s="203">
        <v>155.87</v>
      </c>
      <c r="M61" s="203">
        <v>124.7</v>
      </c>
      <c r="N61" s="17">
        <v>129.19999999999999</v>
      </c>
      <c r="O61" s="17">
        <v>129.19999999999999</v>
      </c>
      <c r="P61" s="17">
        <v>129.19999999999999</v>
      </c>
      <c r="Q61" s="17">
        <v>129.19999999999999</v>
      </c>
      <c r="R61" s="17">
        <v>129.19999999999999</v>
      </c>
      <c r="S61" s="17">
        <v>1861.8200000000002</v>
      </c>
      <c r="U61" s="204">
        <f t="shared" si="40"/>
        <v>2.9999037721324093</v>
      </c>
      <c r="V61" s="204">
        <f t="shared" si="40"/>
        <v>2.9999037721324093</v>
      </c>
      <c r="W61" s="204">
        <f t="shared" si="40"/>
        <v>2.9999037721324093</v>
      </c>
      <c r="X61" s="204">
        <f t="shared" si="40"/>
        <v>2.9999037721324093</v>
      </c>
      <c r="Y61" s="204">
        <f t="shared" si="40"/>
        <v>2.9999037721324093</v>
      </c>
      <c r="Z61" s="204">
        <f t="shared" si="40"/>
        <v>2.4998396202206825</v>
      </c>
      <c r="AA61" s="204">
        <f t="shared" si="40"/>
        <v>1.999935848088273</v>
      </c>
      <c r="AB61" s="204">
        <f t="shared" si="41"/>
        <v>1.9998885511024151</v>
      </c>
      <c r="AC61" s="204">
        <f t="shared" si="41"/>
        <v>1.9998885511024151</v>
      </c>
      <c r="AD61" s="204">
        <f t="shared" si="41"/>
        <v>1.9998885511024151</v>
      </c>
      <c r="AE61" s="204">
        <f t="shared" si="41"/>
        <v>1.9998885511024151</v>
      </c>
      <c r="AF61" s="204">
        <f t="shared" si="41"/>
        <v>1.9998885511024151</v>
      </c>
      <c r="AG61" s="239">
        <f t="shared" si="49"/>
        <v>29.498737084483082</v>
      </c>
      <c r="AH61" s="239">
        <f t="shared" si="50"/>
        <v>2.45822809037359</v>
      </c>
      <c r="AI61" s="5">
        <f ca="1">+SUMIF('DF Calculation'!$C$16:$C$39,C61,'DF Calculation'!$D$16:$D$39)-AG61</f>
        <v>0</v>
      </c>
      <c r="AN61" s="186">
        <f t="shared" si="44"/>
        <v>0</v>
      </c>
      <c r="AQ61" s="217">
        <f>3.88*4.33*4</f>
        <v>67.201599999999999</v>
      </c>
      <c r="AR61" s="19">
        <f t="shared" si="45"/>
        <v>7.909646285188086</v>
      </c>
      <c r="AS61" s="19">
        <f t="shared" si="46"/>
        <v>233.32457619802165</v>
      </c>
      <c r="AT61" s="19">
        <f t="shared" si="47"/>
        <v>75.111246285188088</v>
      </c>
      <c r="AU61" s="19">
        <f t="shared" si="48"/>
        <v>2095.1445761980217</v>
      </c>
    </row>
    <row r="62" spans="1:47" outlineLevel="1" x14ac:dyDescent="0.25">
      <c r="A62" s="1" t="str">
        <f t="shared" si="39"/>
        <v>VashonCommercial32CW5</v>
      </c>
      <c r="B62" s="1" t="s">
        <v>347</v>
      </c>
      <c r="C62" s="1" t="s">
        <v>348</v>
      </c>
      <c r="D62" s="202">
        <f>3.6*4.33*5</f>
        <v>77.94</v>
      </c>
      <c r="E62" s="202">
        <f>3.73*4.33*5</f>
        <v>80.754500000000007</v>
      </c>
      <c r="F62" s="16"/>
      <c r="G62" s="203">
        <v>0</v>
      </c>
      <c r="H62" s="203">
        <v>0</v>
      </c>
      <c r="I62" s="203">
        <v>0</v>
      </c>
      <c r="J62" s="203">
        <v>0</v>
      </c>
      <c r="K62" s="203">
        <v>0</v>
      </c>
      <c r="L62" s="203">
        <v>0</v>
      </c>
      <c r="M62" s="203">
        <v>0</v>
      </c>
      <c r="N62" s="17">
        <v>80.75</v>
      </c>
      <c r="O62" s="17">
        <v>80.75</v>
      </c>
      <c r="P62" s="17">
        <v>80.75</v>
      </c>
      <c r="Q62" s="17">
        <v>80.75</v>
      </c>
      <c r="R62" s="17">
        <v>80.75</v>
      </c>
      <c r="S62" s="17">
        <v>403.75</v>
      </c>
      <c r="U62" s="204">
        <f t="shared" si="40"/>
        <v>0</v>
      </c>
      <c r="V62" s="204">
        <f t="shared" si="40"/>
        <v>0</v>
      </c>
      <c r="W62" s="204">
        <f t="shared" si="40"/>
        <v>0</v>
      </c>
      <c r="X62" s="204">
        <f t="shared" si="40"/>
        <v>0</v>
      </c>
      <c r="Y62" s="204">
        <f t="shared" si="40"/>
        <v>0</v>
      </c>
      <c r="Z62" s="204">
        <f t="shared" si="40"/>
        <v>0</v>
      </c>
      <c r="AA62" s="204">
        <f t="shared" si="40"/>
        <v>0</v>
      </c>
      <c r="AB62" s="204">
        <f t="shared" si="41"/>
        <v>0.99994427555120757</v>
      </c>
      <c r="AC62" s="204">
        <f t="shared" si="41"/>
        <v>0.99994427555120757</v>
      </c>
      <c r="AD62" s="204">
        <f t="shared" si="41"/>
        <v>0.99994427555120757</v>
      </c>
      <c r="AE62" s="204">
        <f t="shared" si="41"/>
        <v>0.99994427555120757</v>
      </c>
      <c r="AF62" s="204">
        <f t="shared" si="41"/>
        <v>0.99994427555120757</v>
      </c>
      <c r="AG62" s="239">
        <f t="shared" si="49"/>
        <v>4.9997213777560381</v>
      </c>
      <c r="AH62" s="239">
        <f t="shared" si="50"/>
        <v>0.41664344814633653</v>
      </c>
      <c r="AI62" s="5">
        <f ca="1">+SUMIF('DF Calculation'!$C$16:$C$39,C62,'DF Calculation'!$D$16:$D$39)-AG62</f>
        <v>0</v>
      </c>
      <c r="AN62" s="186">
        <f t="shared" si="44"/>
        <v>0</v>
      </c>
      <c r="AQ62" s="217">
        <f>3.88*4.33*5</f>
        <v>84.001999999999995</v>
      </c>
      <c r="AR62" s="19">
        <f t="shared" si="45"/>
        <v>9.8870578564851073</v>
      </c>
      <c r="AS62" s="19">
        <f t="shared" si="46"/>
        <v>49.432534528179389</v>
      </c>
      <c r="AT62" s="19">
        <f t="shared" si="47"/>
        <v>93.889057856485095</v>
      </c>
      <c r="AU62" s="19">
        <f t="shared" si="48"/>
        <v>453.18253452817942</v>
      </c>
    </row>
    <row r="63" spans="1:47" outlineLevel="1" x14ac:dyDescent="0.25">
      <c r="A63" s="1" t="str">
        <f t="shared" si="39"/>
        <v>VashonCommercialR1YD1W</v>
      </c>
      <c r="B63" s="1" t="s">
        <v>87</v>
      </c>
      <c r="C63" s="1" t="s">
        <v>88</v>
      </c>
      <c r="D63" s="202">
        <f>19.49*4.33</f>
        <v>84.3917</v>
      </c>
      <c r="E63" s="202">
        <f>20.3*4.33</f>
        <v>87.899000000000001</v>
      </c>
      <c r="F63" s="16"/>
      <c r="G63" s="203">
        <v>4388.28</v>
      </c>
      <c r="H63" s="203">
        <v>4409.37</v>
      </c>
      <c r="I63" s="203">
        <v>4367.18</v>
      </c>
      <c r="J63" s="203">
        <v>4303.8900000000003</v>
      </c>
      <c r="K63" s="203">
        <v>4177.3</v>
      </c>
      <c r="L63" s="203">
        <v>4219.5</v>
      </c>
      <c r="M63" s="203">
        <v>4135.1099999999997</v>
      </c>
      <c r="N63" s="17">
        <v>4285.12</v>
      </c>
      <c r="O63" s="17">
        <v>4307.1000000000004</v>
      </c>
      <c r="P63" s="17">
        <v>4021.42</v>
      </c>
      <c r="Q63" s="17">
        <v>4131.3</v>
      </c>
      <c r="R63" s="17">
        <v>4219.2</v>
      </c>
      <c r="S63" s="17">
        <v>50964.77</v>
      </c>
      <c r="U63" s="204">
        <f t="shared" si="40"/>
        <v>51.998952503622981</v>
      </c>
      <c r="V63" s="204">
        <f t="shared" si="40"/>
        <v>52.248858596283753</v>
      </c>
      <c r="W63" s="204">
        <f t="shared" si="40"/>
        <v>51.748927915896942</v>
      </c>
      <c r="X63" s="204">
        <f t="shared" si="40"/>
        <v>50.998972647784086</v>
      </c>
      <c r="Y63" s="204">
        <f t="shared" si="40"/>
        <v>49.498943616493094</v>
      </c>
      <c r="Z63" s="204">
        <f t="shared" si="40"/>
        <v>49.998992791945177</v>
      </c>
      <c r="AA63" s="204">
        <f t="shared" si="40"/>
        <v>48.999012936106269</v>
      </c>
      <c r="AB63" s="204">
        <f t="shared" si="41"/>
        <v>48.750497730349601</v>
      </c>
      <c r="AC63" s="204">
        <f t="shared" si="41"/>
        <v>49.000557457991562</v>
      </c>
      <c r="AD63" s="204">
        <f t="shared" si="41"/>
        <v>45.750463600268489</v>
      </c>
      <c r="AE63" s="204">
        <f t="shared" si="41"/>
        <v>47.000534704604149</v>
      </c>
      <c r="AF63" s="204">
        <f t="shared" si="41"/>
        <v>48.000546081297848</v>
      </c>
      <c r="AG63" s="239">
        <f t="shared" si="49"/>
        <v>593.99526058264405</v>
      </c>
      <c r="AH63" s="239">
        <f t="shared" si="50"/>
        <v>49.499605048553668</v>
      </c>
      <c r="AI63" s="5">
        <f ca="1">+SUMIF('DF Calculation'!$C$16:$C$39,C63,'DF Calculation'!$D$16:$D$39)-AG63</f>
        <v>0</v>
      </c>
      <c r="AL63" s="185">
        <v>1</v>
      </c>
      <c r="AM63" s="185">
        <v>1</v>
      </c>
      <c r="AN63" s="186">
        <f t="shared" si="44"/>
        <v>49.499605048553668</v>
      </c>
      <c r="AQ63" s="217">
        <f>21.2*4.33</f>
        <v>91.795999999999992</v>
      </c>
      <c r="AR63" s="19">
        <f t="shared" si="45"/>
        <v>10.804413740076509</v>
      </c>
      <c r="AS63" s="19">
        <f t="shared" si="46"/>
        <v>6417.7705549794464</v>
      </c>
      <c r="AT63" s="19">
        <f t="shared" si="47"/>
        <v>102.6004137400765</v>
      </c>
      <c r="AU63" s="19">
        <f t="shared" si="48"/>
        <v>57382.540554979445</v>
      </c>
    </row>
    <row r="64" spans="1:47" outlineLevel="1" x14ac:dyDescent="0.25">
      <c r="A64" s="1" t="str">
        <f t="shared" si="39"/>
        <v>VashonCommercialR1YDEOW</v>
      </c>
      <c r="B64" s="1" t="s">
        <v>89</v>
      </c>
      <c r="C64" s="1" t="s">
        <v>90</v>
      </c>
      <c r="D64" s="202">
        <f>19.49*2.17</f>
        <v>42.293299999999995</v>
      </c>
      <c r="E64" s="202">
        <f>20.3*2.17</f>
        <v>44.051000000000002</v>
      </c>
      <c r="F64" s="16"/>
      <c r="G64" s="203">
        <v>1924.19</v>
      </c>
      <c r="H64" s="203">
        <v>1934.76</v>
      </c>
      <c r="I64" s="203">
        <v>1849.81</v>
      </c>
      <c r="J64" s="203">
        <v>1881.9</v>
      </c>
      <c r="K64" s="203">
        <v>2008.77</v>
      </c>
      <c r="L64" s="203">
        <v>2072.2049999999999</v>
      </c>
      <c r="M64" s="203">
        <v>2093.355</v>
      </c>
      <c r="N64" s="17">
        <v>2103.38</v>
      </c>
      <c r="O64" s="17">
        <v>2147.4300000000003</v>
      </c>
      <c r="P64" s="17">
        <v>2114.4</v>
      </c>
      <c r="Q64" s="17">
        <v>2268.5700000000002</v>
      </c>
      <c r="R64" s="17">
        <v>2246.5500000000002</v>
      </c>
      <c r="S64" s="17">
        <v>24645.32</v>
      </c>
      <c r="U64" s="204">
        <f t="shared" si="40"/>
        <v>45.496331570248721</v>
      </c>
      <c r="V64" s="204">
        <f t="shared" si="40"/>
        <v>45.746252952595334</v>
      </c>
      <c r="W64" s="204">
        <f t="shared" si="40"/>
        <v>43.737660575079275</v>
      </c>
      <c r="X64" s="204">
        <f t="shared" si="40"/>
        <v>44.496409596791935</v>
      </c>
      <c r="Y64" s="204">
        <f t="shared" si="40"/>
        <v>47.4961755171623</v>
      </c>
      <c r="Z64" s="204">
        <f t="shared" si="40"/>
        <v>48.996058477347482</v>
      </c>
      <c r="AA64" s="204">
        <f t="shared" si="40"/>
        <v>49.496137686111048</v>
      </c>
      <c r="AB64" s="204">
        <f t="shared" si="41"/>
        <v>47.748745771946155</v>
      </c>
      <c r="AC64" s="204">
        <f t="shared" si="41"/>
        <v>48.748723070985911</v>
      </c>
      <c r="AD64" s="204">
        <f t="shared" si="41"/>
        <v>47.998910353907974</v>
      </c>
      <c r="AE64" s="204">
        <f t="shared" si="41"/>
        <v>51.498717395745842</v>
      </c>
      <c r="AF64" s="204">
        <f t="shared" si="41"/>
        <v>50.99884225102722</v>
      </c>
      <c r="AG64" s="239">
        <f t="shared" si="49"/>
        <v>572.45896521894929</v>
      </c>
      <c r="AH64" s="239">
        <f t="shared" si="50"/>
        <v>47.704913768245774</v>
      </c>
      <c r="AI64" s="5">
        <f ca="1">+SUMIF('DF Calculation'!$C$16:$C$39,C64,'DF Calculation'!$D$16:$D$39)-AG64</f>
        <v>0</v>
      </c>
      <c r="AL64" s="185">
        <v>1</v>
      </c>
      <c r="AM64" s="185">
        <v>1</v>
      </c>
      <c r="AN64" s="186">
        <f t="shared" si="44"/>
        <v>47.704913768245774</v>
      </c>
      <c r="AQ64" s="217">
        <f>21.2*2.17</f>
        <v>46.003999999999998</v>
      </c>
      <c r="AR64" s="19">
        <f t="shared" si="45"/>
        <v>5.4146830983755248</v>
      </c>
      <c r="AS64" s="19">
        <f t="shared" si="46"/>
        <v>3099.6838834845871</v>
      </c>
      <c r="AT64" s="19">
        <f t="shared" si="47"/>
        <v>51.418683098375524</v>
      </c>
      <c r="AU64" s="19">
        <f t="shared" si="48"/>
        <v>27745.003883484587</v>
      </c>
    </row>
    <row r="65" spans="1:47" outlineLevel="1" x14ac:dyDescent="0.25">
      <c r="A65" s="1" t="str">
        <f t="shared" si="39"/>
        <v>VashonCommercialR1YDTPU</v>
      </c>
      <c r="B65" s="1" t="s">
        <v>93</v>
      </c>
      <c r="C65" s="1" t="s">
        <v>94</v>
      </c>
      <c r="D65" s="202">
        <v>21.61</v>
      </c>
      <c r="E65" s="202">
        <v>22.42</v>
      </c>
      <c r="F65" s="16"/>
      <c r="G65" s="203">
        <v>0</v>
      </c>
      <c r="H65" s="203">
        <v>0</v>
      </c>
      <c r="I65" s="203">
        <v>0</v>
      </c>
      <c r="J65" s="203">
        <v>43.22</v>
      </c>
      <c r="K65" s="203">
        <v>43.22</v>
      </c>
      <c r="L65" s="203">
        <v>64.83</v>
      </c>
      <c r="M65" s="203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151.26999999999998</v>
      </c>
      <c r="U65" s="204">
        <f t="shared" si="40"/>
        <v>0</v>
      </c>
      <c r="V65" s="204">
        <f t="shared" si="40"/>
        <v>0</v>
      </c>
      <c r="W65" s="204">
        <f t="shared" si="40"/>
        <v>0</v>
      </c>
      <c r="X65" s="204">
        <f t="shared" si="40"/>
        <v>2</v>
      </c>
      <c r="Y65" s="204">
        <f t="shared" si="40"/>
        <v>2</v>
      </c>
      <c r="Z65" s="204">
        <f t="shared" si="40"/>
        <v>3</v>
      </c>
      <c r="AA65" s="204">
        <f t="shared" si="40"/>
        <v>0</v>
      </c>
      <c r="AB65" s="204">
        <f t="shared" si="41"/>
        <v>0</v>
      </c>
      <c r="AC65" s="204">
        <f t="shared" si="41"/>
        <v>0</v>
      </c>
      <c r="AD65" s="204">
        <f t="shared" si="41"/>
        <v>0</v>
      </c>
      <c r="AE65" s="204">
        <f t="shared" si="41"/>
        <v>0</v>
      </c>
      <c r="AF65" s="204">
        <f t="shared" si="41"/>
        <v>0</v>
      </c>
      <c r="AG65" s="239">
        <f t="shared" si="49"/>
        <v>7</v>
      </c>
      <c r="AH65" s="239">
        <f t="shared" si="50"/>
        <v>0.58333333333333337</v>
      </c>
      <c r="AI65" s="5">
        <f ca="1">+SUMIF('DF Calculation'!$C$16:$C$39,C65,'DF Calculation'!$D$16:$D$39)-AG65</f>
        <v>0</v>
      </c>
      <c r="AL65" s="185">
        <v>1</v>
      </c>
      <c r="AM65" s="185">
        <v>1</v>
      </c>
      <c r="AN65" s="186">
        <f t="shared" si="44"/>
        <v>0.58333333333333337</v>
      </c>
      <c r="AQ65" s="217">
        <v>23.32</v>
      </c>
      <c r="AR65" s="19">
        <f t="shared" si="45"/>
        <v>2.7447702341995752</v>
      </c>
      <c r="AS65" s="19">
        <f t="shared" si="46"/>
        <v>19.213391639397027</v>
      </c>
      <c r="AT65" s="19">
        <f t="shared" si="47"/>
        <v>26.064770234199575</v>
      </c>
      <c r="AU65" s="19">
        <f t="shared" si="48"/>
        <v>170.48339163939701</v>
      </c>
    </row>
    <row r="66" spans="1:47" outlineLevel="1" x14ac:dyDescent="0.25">
      <c r="A66" s="1" t="str">
        <f t="shared" si="39"/>
        <v>VashonCommercialR1.5YD1W</v>
      </c>
      <c r="B66" s="1" t="s">
        <v>77</v>
      </c>
      <c r="C66" s="1" t="s">
        <v>78</v>
      </c>
      <c r="D66" s="202">
        <f>24.74*4.33</f>
        <v>107.1242</v>
      </c>
      <c r="E66" s="202">
        <f>25.89*4.33</f>
        <v>112.1037</v>
      </c>
      <c r="F66" s="16"/>
      <c r="G66" s="203">
        <v>1687.14</v>
      </c>
      <c r="H66" s="203">
        <v>1821.04</v>
      </c>
      <c r="I66" s="203">
        <v>1821.04</v>
      </c>
      <c r="J66" s="203">
        <v>1821.04</v>
      </c>
      <c r="K66" s="203">
        <v>1713.92</v>
      </c>
      <c r="L66" s="203">
        <v>1767.48</v>
      </c>
      <c r="M66" s="203">
        <v>1580.02</v>
      </c>
      <c r="N66" s="17">
        <v>1569.4</v>
      </c>
      <c r="O66" s="17">
        <v>1597.42</v>
      </c>
      <c r="P66" s="17">
        <v>1681.49</v>
      </c>
      <c r="Q66" s="17">
        <v>1681.5</v>
      </c>
      <c r="R66" s="17">
        <v>1681.5</v>
      </c>
      <c r="S66" s="17">
        <v>20422.990000000002</v>
      </c>
      <c r="U66" s="204">
        <f t="shared" si="40"/>
        <v>15.749382492471357</v>
      </c>
      <c r="V66" s="204">
        <f t="shared" si="40"/>
        <v>16.999333483937335</v>
      </c>
      <c r="W66" s="204">
        <f t="shared" si="40"/>
        <v>16.999333483937335</v>
      </c>
      <c r="X66" s="204">
        <f t="shared" si="40"/>
        <v>16.999333483937335</v>
      </c>
      <c r="Y66" s="204">
        <f t="shared" si="40"/>
        <v>15.999372690764552</v>
      </c>
      <c r="Z66" s="204">
        <f t="shared" si="40"/>
        <v>16.499353087350944</v>
      </c>
      <c r="AA66" s="204">
        <f t="shared" si="40"/>
        <v>14.749421699298571</v>
      </c>
      <c r="AB66" s="204">
        <f t="shared" si="41"/>
        <v>13.999537927829323</v>
      </c>
      <c r="AC66" s="204">
        <f t="shared" si="41"/>
        <v>14.249485074979685</v>
      </c>
      <c r="AD66" s="204">
        <f t="shared" si="41"/>
        <v>14.999415719552522</v>
      </c>
      <c r="AE66" s="204">
        <f t="shared" si="41"/>
        <v>14.999504922674273</v>
      </c>
      <c r="AF66" s="204">
        <f t="shared" si="41"/>
        <v>14.999504922674273</v>
      </c>
      <c r="AG66" s="239">
        <f t="shared" si="49"/>
        <v>187.2429789894075</v>
      </c>
      <c r="AH66" s="239">
        <f t="shared" si="50"/>
        <v>15.603581582450625</v>
      </c>
      <c r="AI66" s="5">
        <f ca="1">+SUMIF('DF Calculation'!$C$16:$C$39,C66,'DF Calculation'!$D$16:$D$39)-AG66</f>
        <v>0</v>
      </c>
      <c r="AL66" s="185">
        <v>1.5</v>
      </c>
      <c r="AM66" s="185">
        <v>1</v>
      </c>
      <c r="AN66" s="186">
        <f t="shared" si="44"/>
        <v>15.603581582450625</v>
      </c>
      <c r="AQ66" s="217">
        <f>27.17*4.33</f>
        <v>117.6461</v>
      </c>
      <c r="AR66" s="19">
        <f t="shared" si="45"/>
        <v>13.846977420654659</v>
      </c>
      <c r="AS66" s="19">
        <f t="shared" si="46"/>
        <v>2592.7493022424401</v>
      </c>
      <c r="AT66" s="19">
        <f t="shared" si="47"/>
        <v>131.49307742065466</v>
      </c>
      <c r="AU66" s="19">
        <f t="shared" si="48"/>
        <v>23015.73930224244</v>
      </c>
    </row>
    <row r="67" spans="1:47" outlineLevel="1" x14ac:dyDescent="0.25">
      <c r="A67" s="1" t="str">
        <f t="shared" si="39"/>
        <v>VashonCommercialR1.5YD2W</v>
      </c>
      <c r="B67" s="1" t="s">
        <v>79</v>
      </c>
      <c r="C67" s="1" t="s">
        <v>80</v>
      </c>
      <c r="D67" s="202">
        <f>24.74*8.66</f>
        <v>214.2484</v>
      </c>
      <c r="E67" s="202">
        <f>25.89*8.66</f>
        <v>224.20740000000001</v>
      </c>
      <c r="F67" s="16"/>
      <c r="G67" s="203">
        <v>428.48</v>
      </c>
      <c r="H67" s="203">
        <v>428.48</v>
      </c>
      <c r="I67" s="203">
        <v>428.48</v>
      </c>
      <c r="J67" s="203">
        <v>428.48</v>
      </c>
      <c r="K67" s="203">
        <v>428.48</v>
      </c>
      <c r="L67" s="203">
        <v>428.48</v>
      </c>
      <c r="M67" s="203">
        <v>428.48</v>
      </c>
      <c r="N67" s="17">
        <v>448.42</v>
      </c>
      <c r="O67" s="17">
        <v>448.42</v>
      </c>
      <c r="P67" s="17">
        <v>448.42</v>
      </c>
      <c r="Q67" s="17">
        <v>448.42</v>
      </c>
      <c r="R67" s="17">
        <v>448.42</v>
      </c>
      <c r="S67" s="17">
        <v>5241.46</v>
      </c>
      <c r="U67" s="204">
        <f t="shared" si="40"/>
        <v>1.999921586345569</v>
      </c>
      <c r="V67" s="204">
        <f t="shared" si="40"/>
        <v>1.999921586345569</v>
      </c>
      <c r="W67" s="204">
        <f t="shared" si="40"/>
        <v>1.999921586345569</v>
      </c>
      <c r="X67" s="204">
        <f t="shared" si="40"/>
        <v>1.999921586345569</v>
      </c>
      <c r="Y67" s="204">
        <f t="shared" si="40"/>
        <v>1.999921586345569</v>
      </c>
      <c r="Z67" s="204">
        <f t="shared" si="40"/>
        <v>1.999921586345569</v>
      </c>
      <c r="AA67" s="204">
        <f t="shared" si="40"/>
        <v>1.999921586345569</v>
      </c>
      <c r="AB67" s="204">
        <f t="shared" si="41"/>
        <v>2.0000231928116556</v>
      </c>
      <c r="AC67" s="204">
        <f t="shared" si="41"/>
        <v>2.0000231928116556</v>
      </c>
      <c r="AD67" s="204">
        <f t="shared" si="41"/>
        <v>2.0000231928116556</v>
      </c>
      <c r="AE67" s="204">
        <f t="shared" si="41"/>
        <v>2.0000231928116556</v>
      </c>
      <c r="AF67" s="204">
        <f t="shared" si="41"/>
        <v>2.0000231928116556</v>
      </c>
      <c r="AG67" s="239">
        <f t="shared" si="49"/>
        <v>23.999567068477262</v>
      </c>
      <c r="AH67" s="239">
        <f t="shared" si="50"/>
        <v>1.9999639223731052</v>
      </c>
      <c r="AI67" s="5">
        <f ca="1">+SUMIF('DF Calculation'!$C$16:$C$39,C67,'DF Calculation'!$D$16:$D$39)-AG67</f>
        <v>0</v>
      </c>
      <c r="AL67" s="185">
        <v>1.5</v>
      </c>
      <c r="AM67" s="185">
        <v>1</v>
      </c>
      <c r="AN67" s="186">
        <f t="shared" si="44"/>
        <v>1.9999639223731052</v>
      </c>
      <c r="AQ67" s="217">
        <f>27.17*8.66</f>
        <v>235.29220000000001</v>
      </c>
      <c r="AR67" s="19">
        <f t="shared" si="45"/>
        <v>27.693954841309317</v>
      </c>
      <c r="AS67" s="19">
        <f t="shared" si="46"/>
        <v>664.64292660538354</v>
      </c>
      <c r="AT67" s="19">
        <f t="shared" si="47"/>
        <v>262.98615484130931</v>
      </c>
      <c r="AU67" s="19">
        <f t="shared" si="48"/>
        <v>5906.1029266053838</v>
      </c>
    </row>
    <row r="68" spans="1:47" outlineLevel="1" x14ac:dyDescent="0.25">
      <c r="A68" s="1" t="str">
        <f t="shared" si="39"/>
        <v>VashonCommercialR1.5YDEOW</v>
      </c>
      <c r="B68" s="1" t="s">
        <v>81</v>
      </c>
      <c r="C68" s="1" t="s">
        <v>82</v>
      </c>
      <c r="D68" s="202">
        <f>24.74*2.17</f>
        <v>53.685799999999993</v>
      </c>
      <c r="E68" s="202">
        <f>25.89*2.17</f>
        <v>56.1813</v>
      </c>
      <c r="F68" s="16"/>
      <c r="G68" s="203">
        <v>214.72</v>
      </c>
      <c r="H68" s="203">
        <v>161.04</v>
      </c>
      <c r="I68" s="203">
        <v>147.62</v>
      </c>
      <c r="J68" s="203">
        <v>161.04</v>
      </c>
      <c r="K68" s="203">
        <v>161.04</v>
      </c>
      <c r="L68" s="203">
        <v>134.19999999999999</v>
      </c>
      <c r="M68" s="203">
        <v>214.72</v>
      </c>
      <c r="N68" s="17">
        <v>224.72</v>
      </c>
      <c r="O68" s="17">
        <v>168.54</v>
      </c>
      <c r="P68" s="17">
        <v>252.81</v>
      </c>
      <c r="Q68" s="17">
        <v>224.72</v>
      </c>
      <c r="R68" s="17">
        <v>224.72</v>
      </c>
      <c r="S68" s="17">
        <v>2289.8899999999994</v>
      </c>
      <c r="U68" s="204">
        <f t="shared" si="40"/>
        <v>3.9995678559321091</v>
      </c>
      <c r="V68" s="204">
        <f t="shared" si="40"/>
        <v>2.9996758919490816</v>
      </c>
      <c r="W68" s="204">
        <f t="shared" si="40"/>
        <v>2.7497029009533249</v>
      </c>
      <c r="X68" s="204">
        <f t="shared" si="40"/>
        <v>2.9996758919490816</v>
      </c>
      <c r="Y68" s="204">
        <f t="shared" si="40"/>
        <v>2.9996758919490816</v>
      </c>
      <c r="Z68" s="204">
        <f t="shared" si="40"/>
        <v>2.4997299099575678</v>
      </c>
      <c r="AA68" s="204">
        <f t="shared" si="40"/>
        <v>3.9995678559321091</v>
      </c>
      <c r="AB68" s="204">
        <f t="shared" si="41"/>
        <v>3.99990744251201</v>
      </c>
      <c r="AC68" s="204">
        <f t="shared" si="41"/>
        <v>2.9999305818840076</v>
      </c>
      <c r="AD68" s="204">
        <f t="shared" si="41"/>
        <v>4.4998958728260119</v>
      </c>
      <c r="AE68" s="204">
        <f t="shared" si="41"/>
        <v>3.99990744251201</v>
      </c>
      <c r="AF68" s="204">
        <f t="shared" si="41"/>
        <v>3.99990744251201</v>
      </c>
      <c r="AG68" s="239">
        <f t="shared" si="49"/>
        <v>41.747144980868413</v>
      </c>
      <c r="AH68" s="239">
        <f t="shared" si="50"/>
        <v>3.4789287484057012</v>
      </c>
      <c r="AI68" s="5">
        <f ca="1">+SUMIF('DF Calculation'!$C$16:$C$39,C68,'DF Calculation'!$D$16:$D$39)-AG68</f>
        <v>0</v>
      </c>
      <c r="AL68" s="185">
        <v>1.5</v>
      </c>
      <c r="AM68" s="185">
        <v>1</v>
      </c>
      <c r="AN68" s="186">
        <f t="shared" si="44"/>
        <v>3.4789287484057012</v>
      </c>
      <c r="AQ68" s="217">
        <f>27.17*2.17</f>
        <v>58.9589</v>
      </c>
      <c r="AR68" s="19">
        <f t="shared" si="45"/>
        <v>6.9394782916444822</v>
      </c>
      <c r="AS68" s="19">
        <f t="shared" si="46"/>
        <v>289.70340633287128</v>
      </c>
      <c r="AT68" s="19">
        <f t="shared" si="47"/>
        <v>65.898378291644477</v>
      </c>
      <c r="AU68" s="19">
        <f t="shared" si="48"/>
        <v>2579.5934063328705</v>
      </c>
    </row>
    <row r="69" spans="1:47" outlineLevel="1" x14ac:dyDescent="0.25">
      <c r="A69" s="1" t="str">
        <f t="shared" si="39"/>
        <v>VashonCommercialR1.5YDTPU</v>
      </c>
      <c r="B69" s="1" t="s">
        <v>85</v>
      </c>
      <c r="C69" s="1" t="s">
        <v>86</v>
      </c>
      <c r="D69" s="202">
        <v>26.85</v>
      </c>
      <c r="E69" s="202">
        <v>28</v>
      </c>
      <c r="F69" s="16"/>
      <c r="G69" s="203">
        <v>0</v>
      </c>
      <c r="H69" s="203">
        <v>0</v>
      </c>
      <c r="I69" s="203">
        <v>0</v>
      </c>
      <c r="J69" s="203">
        <v>0</v>
      </c>
      <c r="K69" s="203">
        <v>0</v>
      </c>
      <c r="L69" s="203">
        <v>0</v>
      </c>
      <c r="M69" s="203">
        <v>0</v>
      </c>
      <c r="N69" s="17">
        <v>0</v>
      </c>
      <c r="O69" s="17">
        <v>84</v>
      </c>
      <c r="P69" s="17">
        <v>28</v>
      </c>
      <c r="Q69" s="17">
        <v>0</v>
      </c>
      <c r="R69" s="17">
        <v>0</v>
      </c>
      <c r="S69" s="17">
        <v>112</v>
      </c>
      <c r="U69" s="204">
        <f t="shared" si="40"/>
        <v>0</v>
      </c>
      <c r="V69" s="204">
        <f t="shared" si="40"/>
        <v>0</v>
      </c>
      <c r="W69" s="204">
        <f t="shared" si="40"/>
        <v>0</v>
      </c>
      <c r="X69" s="204">
        <f t="shared" si="40"/>
        <v>0</v>
      </c>
      <c r="Y69" s="204">
        <f t="shared" si="40"/>
        <v>0</v>
      </c>
      <c r="Z69" s="204">
        <f t="shared" si="40"/>
        <v>0</v>
      </c>
      <c r="AA69" s="204">
        <f t="shared" si="40"/>
        <v>0</v>
      </c>
      <c r="AB69" s="204">
        <f t="shared" si="41"/>
        <v>0</v>
      </c>
      <c r="AC69" s="204">
        <f t="shared" si="41"/>
        <v>3</v>
      </c>
      <c r="AD69" s="204">
        <f t="shared" si="41"/>
        <v>1</v>
      </c>
      <c r="AE69" s="204">
        <f t="shared" si="41"/>
        <v>0</v>
      </c>
      <c r="AF69" s="204">
        <f t="shared" si="41"/>
        <v>0</v>
      </c>
      <c r="AG69" s="239">
        <f t="shared" si="49"/>
        <v>4</v>
      </c>
      <c r="AH69" s="239">
        <f t="shared" si="50"/>
        <v>0.33333333333333331</v>
      </c>
      <c r="AI69" s="5">
        <f ca="1">+SUMIF('DF Calculation'!$C$16:$C$39,C69,'DF Calculation'!$D$16:$D$39)-AG69</f>
        <v>0</v>
      </c>
      <c r="AL69" s="185">
        <v>1.5</v>
      </c>
      <c r="AM69" s="185">
        <v>1</v>
      </c>
      <c r="AN69" s="186">
        <f t="shared" si="44"/>
        <v>0.33333333333333331</v>
      </c>
      <c r="AQ69" s="217">
        <v>29.28</v>
      </c>
      <c r="AR69" s="19">
        <f t="shared" si="45"/>
        <v>3.4462638275027255</v>
      </c>
      <c r="AS69" s="19">
        <f t="shared" si="46"/>
        <v>13.7850553100109</v>
      </c>
      <c r="AT69" s="19">
        <f t="shared" si="47"/>
        <v>32.726263827502727</v>
      </c>
      <c r="AU69" s="19">
        <f t="shared" si="48"/>
        <v>125.7850553100109</v>
      </c>
    </row>
    <row r="70" spans="1:47" outlineLevel="1" x14ac:dyDescent="0.25">
      <c r="A70" s="1" t="str">
        <f t="shared" si="39"/>
        <v>VashonCommercialR2YD1W</v>
      </c>
      <c r="B70" s="1" t="s">
        <v>95</v>
      </c>
      <c r="C70" s="1" t="s">
        <v>96</v>
      </c>
      <c r="D70" s="202">
        <f>34.35*4.33</f>
        <v>148.7355</v>
      </c>
      <c r="E70" s="202">
        <f>35.84*4.33</f>
        <v>155.18720000000002</v>
      </c>
      <c r="F70" s="16"/>
      <c r="G70" s="203">
        <v>7529.43</v>
      </c>
      <c r="H70" s="203">
        <v>7752.55</v>
      </c>
      <c r="I70" s="203">
        <v>7994.2349999999997</v>
      </c>
      <c r="J70" s="203">
        <v>7901.2749999999996</v>
      </c>
      <c r="K70" s="203">
        <v>7919.8649999999998</v>
      </c>
      <c r="L70" s="203">
        <v>8031.4049999999997</v>
      </c>
      <c r="M70" s="203">
        <v>7436.5</v>
      </c>
      <c r="N70" s="17">
        <v>7643.1</v>
      </c>
      <c r="O70" s="17">
        <v>7604.29</v>
      </c>
      <c r="P70" s="17">
        <v>8069.87</v>
      </c>
      <c r="Q70" s="17">
        <v>7837.09</v>
      </c>
      <c r="R70" s="17">
        <v>8147.47</v>
      </c>
      <c r="S70" s="17">
        <v>93867.079999999987</v>
      </c>
      <c r="U70" s="204">
        <f t="shared" si="40"/>
        <v>50.622951480984703</v>
      </c>
      <c r="V70" s="204">
        <f t="shared" si="40"/>
        <v>52.123064097004416</v>
      </c>
      <c r="W70" s="204">
        <f t="shared" si="40"/>
        <v>53.747995602932718</v>
      </c>
      <c r="X70" s="204">
        <f t="shared" si="40"/>
        <v>53.122993501887578</v>
      </c>
      <c r="Y70" s="204">
        <f t="shared" si="40"/>
        <v>53.247980475407687</v>
      </c>
      <c r="Z70" s="204">
        <f t="shared" si="40"/>
        <v>53.997902316528332</v>
      </c>
      <c r="AA70" s="204">
        <f t="shared" si="40"/>
        <v>49.998151080273374</v>
      </c>
      <c r="AB70" s="204">
        <f t="shared" si="41"/>
        <v>49.250840275486631</v>
      </c>
      <c r="AC70" s="204">
        <f t="shared" si="41"/>
        <v>49.0007552169251</v>
      </c>
      <c r="AD70" s="204">
        <f t="shared" si="41"/>
        <v>52.000873783404813</v>
      </c>
      <c r="AE70" s="204">
        <f t="shared" si="41"/>
        <v>50.50087893846915</v>
      </c>
      <c r="AF70" s="204">
        <f t="shared" si="41"/>
        <v>52.500915023919497</v>
      </c>
      <c r="AG70" s="239">
        <f t="shared" si="49"/>
        <v>620.11530179322381</v>
      </c>
      <c r="AH70" s="239">
        <f t="shared" si="50"/>
        <v>51.67627514943532</v>
      </c>
      <c r="AI70" s="5">
        <f ca="1">+SUMIF('DF Calculation'!$C$16:$C$39,C70,'DF Calculation'!$D$16:$D$39)-AG70</f>
        <v>0</v>
      </c>
      <c r="AL70" s="185">
        <v>2</v>
      </c>
      <c r="AM70" s="185">
        <v>1</v>
      </c>
      <c r="AN70" s="186">
        <f t="shared" si="44"/>
        <v>51.67627514943532</v>
      </c>
      <c r="AQ70" s="217">
        <f>37.5*4.33</f>
        <v>162.375</v>
      </c>
      <c r="AR70" s="19">
        <f t="shared" si="45"/>
        <v>19.111580908154203</v>
      </c>
      <c r="AS70" s="19">
        <f t="shared" si="46"/>
        <v>11851.383762605659</v>
      </c>
      <c r="AT70" s="19">
        <f t="shared" si="47"/>
        <v>181.4865809081542</v>
      </c>
      <c r="AU70" s="19">
        <f t="shared" si="48"/>
        <v>105718.46376260565</v>
      </c>
    </row>
    <row r="71" spans="1:47" outlineLevel="1" x14ac:dyDescent="0.25">
      <c r="A71" s="1" t="str">
        <f t="shared" si="39"/>
        <v>VashonCommercialR2YD2W</v>
      </c>
      <c r="B71" s="1" t="s">
        <v>97</v>
      </c>
      <c r="C71" s="1" t="s">
        <v>98</v>
      </c>
      <c r="D71" s="202">
        <f>34.35*8.66</f>
        <v>297.471</v>
      </c>
      <c r="E71" s="202">
        <f>35.84*8.66</f>
        <v>310.37440000000004</v>
      </c>
      <c r="F71" s="16"/>
      <c r="G71" s="203">
        <v>8031.69</v>
      </c>
      <c r="H71" s="203">
        <v>8031.69</v>
      </c>
      <c r="I71" s="203">
        <v>8031.69</v>
      </c>
      <c r="J71" s="203">
        <v>8143.24</v>
      </c>
      <c r="K71" s="203">
        <v>8329.16</v>
      </c>
      <c r="L71" s="203">
        <v>8329.16</v>
      </c>
      <c r="M71" s="203">
        <v>8143.23</v>
      </c>
      <c r="N71" s="17">
        <v>8379.99</v>
      </c>
      <c r="O71" s="17">
        <v>8379.99</v>
      </c>
      <c r="P71" s="17">
        <v>8341.19</v>
      </c>
      <c r="Q71" s="17">
        <v>8224.7999999999993</v>
      </c>
      <c r="R71" s="17">
        <v>8069.62</v>
      </c>
      <c r="S71" s="17">
        <v>98435.45</v>
      </c>
      <c r="U71" s="204">
        <f t="shared" si="40"/>
        <v>26.999909234849781</v>
      </c>
      <c r="V71" s="204">
        <f t="shared" si="40"/>
        <v>26.999909234849781</v>
      </c>
      <c r="W71" s="204">
        <f t="shared" si="40"/>
        <v>26.999909234849781</v>
      </c>
      <c r="X71" s="204">
        <f t="shared" si="40"/>
        <v>27.374903772132409</v>
      </c>
      <c r="Y71" s="204">
        <f t="shared" si="40"/>
        <v>27.999905873177553</v>
      </c>
      <c r="Z71" s="204">
        <f t="shared" si="40"/>
        <v>27.999905873177553</v>
      </c>
      <c r="AA71" s="204">
        <f t="shared" si="40"/>
        <v>27.374870155410104</v>
      </c>
      <c r="AB71" s="204">
        <f t="shared" si="41"/>
        <v>26.999617236473107</v>
      </c>
      <c r="AC71" s="204">
        <f t="shared" si="41"/>
        <v>26.999617236473107</v>
      </c>
      <c r="AD71" s="204">
        <f t="shared" si="41"/>
        <v>26.874606926344438</v>
      </c>
      <c r="AE71" s="204">
        <f t="shared" si="41"/>
        <v>26.49960821511052</v>
      </c>
      <c r="AF71" s="204">
        <f t="shared" si="41"/>
        <v>25.99963141290003</v>
      </c>
      <c r="AG71" s="239">
        <f t="shared" si="49"/>
        <v>325.1223944057482</v>
      </c>
      <c r="AH71" s="239">
        <f t="shared" si="50"/>
        <v>27.093532867145683</v>
      </c>
      <c r="AI71" s="5">
        <f ca="1">+SUMIF('DF Calculation'!$C$16:$C$39,C71,'DF Calculation'!$D$16:$D$39)-AG71</f>
        <v>0</v>
      </c>
      <c r="AL71" s="185">
        <v>2</v>
      </c>
      <c r="AM71" s="185">
        <v>1</v>
      </c>
      <c r="AN71" s="186">
        <f t="shared" si="44"/>
        <v>27.093532867145683</v>
      </c>
      <c r="AQ71" s="217">
        <f>37.5*8.66</f>
        <v>324.75</v>
      </c>
      <c r="AR71" s="19">
        <f t="shared" si="45"/>
        <v>38.223161816308405</v>
      </c>
      <c r="AS71" s="19">
        <f t="shared" si="46"/>
        <v>12427.205891476555</v>
      </c>
      <c r="AT71" s="19">
        <f t="shared" si="47"/>
        <v>362.97316181630839</v>
      </c>
      <c r="AU71" s="19">
        <f t="shared" si="48"/>
        <v>110862.65589147655</v>
      </c>
    </row>
    <row r="72" spans="1:47" outlineLevel="1" x14ac:dyDescent="0.25">
      <c r="A72" s="1" t="str">
        <f t="shared" si="39"/>
        <v>VashonCommercialR2YD3W</v>
      </c>
      <c r="B72" s="1" t="s">
        <v>99</v>
      </c>
      <c r="C72" s="1" t="s">
        <v>100</v>
      </c>
      <c r="D72" s="202">
        <f>34.35*12.99</f>
        <v>446.20650000000001</v>
      </c>
      <c r="E72" s="202">
        <f>35.84*12.99</f>
        <v>465.56160000000006</v>
      </c>
      <c r="F72" s="16"/>
      <c r="G72" s="203">
        <v>4015.8</v>
      </c>
      <c r="H72" s="203">
        <v>4015.8</v>
      </c>
      <c r="I72" s="203">
        <v>4015.8</v>
      </c>
      <c r="J72" s="203">
        <v>4015.8</v>
      </c>
      <c r="K72" s="203">
        <v>4015.8</v>
      </c>
      <c r="L72" s="203">
        <v>4015.8</v>
      </c>
      <c r="M72" s="203">
        <v>4015.8</v>
      </c>
      <c r="N72" s="17">
        <v>4190.04</v>
      </c>
      <c r="O72" s="17">
        <v>4190.04</v>
      </c>
      <c r="P72" s="17">
        <v>4190.04</v>
      </c>
      <c r="Q72" s="17">
        <v>4422.82</v>
      </c>
      <c r="R72" s="17">
        <v>4655.6000000000004</v>
      </c>
      <c r="S72" s="17">
        <v>49759.14</v>
      </c>
      <c r="U72" s="204">
        <f t="shared" si="40"/>
        <v>8.9998688947830203</v>
      </c>
      <c r="V72" s="204">
        <f t="shared" si="40"/>
        <v>8.9998688947830203</v>
      </c>
      <c r="W72" s="204">
        <f t="shared" si="40"/>
        <v>8.9998688947830203</v>
      </c>
      <c r="X72" s="204">
        <f t="shared" si="40"/>
        <v>8.9998688947830203</v>
      </c>
      <c r="Y72" s="204">
        <f t="shared" si="40"/>
        <v>8.9998688947830203</v>
      </c>
      <c r="Z72" s="204">
        <f t="shared" si="40"/>
        <v>8.9998688947830203</v>
      </c>
      <c r="AA72" s="204">
        <f t="shared" si="40"/>
        <v>8.9998688947830203</v>
      </c>
      <c r="AB72" s="204">
        <f t="shared" si="41"/>
        <v>8.9999690696139876</v>
      </c>
      <c r="AC72" s="204">
        <f t="shared" si="41"/>
        <v>8.9999690696139876</v>
      </c>
      <c r="AD72" s="204">
        <f t="shared" si="41"/>
        <v>8.9999690696139876</v>
      </c>
      <c r="AE72" s="204">
        <f t="shared" si="41"/>
        <v>9.4999673512592082</v>
      </c>
      <c r="AF72" s="204">
        <f t="shared" si="41"/>
        <v>9.9999656329044324</v>
      </c>
      <c r="AG72" s="239">
        <f t="shared" si="49"/>
        <v>109.49892245648672</v>
      </c>
      <c r="AH72" s="239">
        <f t="shared" si="50"/>
        <v>9.124910204707227</v>
      </c>
      <c r="AI72" s="5">
        <f ca="1">+SUMIF('DF Calculation'!$C$16:$C$39,C72,'DF Calculation'!$D$16:$D$39)-AG72</f>
        <v>0</v>
      </c>
      <c r="AL72" s="185">
        <v>2</v>
      </c>
      <c r="AM72" s="185">
        <v>1</v>
      </c>
      <c r="AN72" s="186">
        <f t="shared" si="44"/>
        <v>9.124910204707227</v>
      </c>
      <c r="AQ72" s="217">
        <f>37.5*12.99</f>
        <v>487.125</v>
      </c>
      <c r="AR72" s="19">
        <f t="shared" si="45"/>
        <v>57.334742724462608</v>
      </c>
      <c r="AS72" s="19">
        <f t="shared" si="46"/>
        <v>6278.0925476485472</v>
      </c>
      <c r="AT72" s="19">
        <f t="shared" si="47"/>
        <v>544.45974272446256</v>
      </c>
      <c r="AU72" s="19">
        <f t="shared" si="48"/>
        <v>56037.232547648549</v>
      </c>
    </row>
    <row r="73" spans="1:47" outlineLevel="1" x14ac:dyDescent="0.25">
      <c r="A73" s="1" t="str">
        <f t="shared" si="39"/>
        <v>VashonCommercialR2YD4W</v>
      </c>
      <c r="B73" s="1" t="s">
        <v>101</v>
      </c>
      <c r="C73" s="1" t="s">
        <v>102</v>
      </c>
      <c r="D73" s="202">
        <f>34.35*17.32</f>
        <v>594.94200000000001</v>
      </c>
      <c r="E73" s="202">
        <f>35.84*17.32</f>
        <v>620.74880000000007</v>
      </c>
      <c r="F73" s="16"/>
      <c r="G73" s="203">
        <v>594.94000000000005</v>
      </c>
      <c r="H73" s="203">
        <v>594.94000000000005</v>
      </c>
      <c r="I73" s="203">
        <v>594.94000000000005</v>
      </c>
      <c r="J73" s="203">
        <v>594.94000000000005</v>
      </c>
      <c r="K73" s="203">
        <v>594.94000000000005</v>
      </c>
      <c r="L73" s="203">
        <v>594.94000000000005</v>
      </c>
      <c r="M73" s="203">
        <v>594.94000000000005</v>
      </c>
      <c r="N73" s="17">
        <v>148.72999999999999</v>
      </c>
      <c r="O73" s="17">
        <v>0</v>
      </c>
      <c r="P73" s="17">
        <v>0</v>
      </c>
      <c r="Q73" s="17">
        <v>0</v>
      </c>
      <c r="R73" s="17">
        <v>0</v>
      </c>
      <c r="S73" s="17">
        <v>4313.3099999999995</v>
      </c>
      <c r="U73" s="204">
        <f t="shared" si="40"/>
        <v>0.99999663832776986</v>
      </c>
      <c r="V73" s="204">
        <f t="shared" si="40"/>
        <v>0.99999663832776986</v>
      </c>
      <c r="W73" s="204">
        <f t="shared" si="40"/>
        <v>0.99999663832776986</v>
      </c>
      <c r="X73" s="204">
        <f t="shared" si="40"/>
        <v>0.99999663832776986</v>
      </c>
      <c r="Y73" s="204">
        <f t="shared" si="40"/>
        <v>0.99999663832776986</v>
      </c>
      <c r="Z73" s="204">
        <f t="shared" si="40"/>
        <v>0.99999663832776986</v>
      </c>
      <c r="AA73" s="204">
        <f t="shared" si="40"/>
        <v>0.99999663832776986</v>
      </c>
      <c r="AB73" s="204">
        <f t="shared" si="41"/>
        <v>0.2395977245546024</v>
      </c>
      <c r="AC73" s="204">
        <f t="shared" si="41"/>
        <v>0</v>
      </c>
      <c r="AD73" s="204">
        <f t="shared" si="41"/>
        <v>0</v>
      </c>
      <c r="AE73" s="204">
        <f t="shared" si="41"/>
        <v>0</v>
      </c>
      <c r="AF73" s="204">
        <f t="shared" si="41"/>
        <v>0</v>
      </c>
      <c r="AG73" s="239">
        <f t="shared" si="49"/>
        <v>7.2395741928489912</v>
      </c>
      <c r="AH73" s="239">
        <f t="shared" si="50"/>
        <v>0.6032978494040826</v>
      </c>
      <c r="AI73" s="5">
        <f ca="1">+SUMIF('DF Calculation'!$C$16:$C$39,C73,'DF Calculation'!$D$16:$D$39)-AG73</f>
        <v>0</v>
      </c>
      <c r="AL73" s="185">
        <v>2</v>
      </c>
      <c r="AM73" s="185">
        <v>1</v>
      </c>
      <c r="AN73" s="186">
        <f t="shared" si="44"/>
        <v>0.6032978494040826</v>
      </c>
      <c r="AQ73" s="217">
        <f>37.5*17.32</f>
        <v>649.5</v>
      </c>
      <c r="AR73" s="19">
        <f t="shared" si="45"/>
        <v>76.44632363261681</v>
      </c>
      <c r="AS73" s="19">
        <f t="shared" si="46"/>
        <v>553.43883170887466</v>
      </c>
      <c r="AT73" s="19">
        <f t="shared" si="47"/>
        <v>725.94632363261678</v>
      </c>
      <c r="AU73" s="19">
        <f t="shared" si="48"/>
        <v>4866.7488317088737</v>
      </c>
    </row>
    <row r="74" spans="1:47" outlineLevel="1" x14ac:dyDescent="0.25">
      <c r="A74" s="1" t="str">
        <f t="shared" si="39"/>
        <v>VashonCommercialR2YDEOW</v>
      </c>
      <c r="B74" s="1" t="s">
        <v>103</v>
      </c>
      <c r="C74" s="1" t="s">
        <v>104</v>
      </c>
      <c r="D74" s="202">
        <f>34.35*2.17</f>
        <v>74.539500000000004</v>
      </c>
      <c r="E74" s="202">
        <f>35.84*2.17</f>
        <v>77.772800000000004</v>
      </c>
      <c r="F74" s="16"/>
      <c r="G74" s="203">
        <v>1117.95</v>
      </c>
      <c r="H74" s="203">
        <v>1080.68</v>
      </c>
      <c r="I74" s="203">
        <v>1267.01</v>
      </c>
      <c r="J74" s="203">
        <v>1192.48</v>
      </c>
      <c r="K74" s="203">
        <v>1062.05</v>
      </c>
      <c r="L74" s="203">
        <v>1043.42</v>
      </c>
      <c r="M74" s="203">
        <v>1267.01</v>
      </c>
      <c r="N74" s="17">
        <v>1322.09</v>
      </c>
      <c r="O74" s="17">
        <v>1477.63</v>
      </c>
      <c r="P74" s="17">
        <v>1477.63</v>
      </c>
      <c r="Q74" s="17">
        <v>1399.86</v>
      </c>
      <c r="R74" s="17">
        <v>1399.86</v>
      </c>
      <c r="S74" s="17">
        <v>15107.670000000002</v>
      </c>
      <c r="U74" s="204">
        <f t="shared" si="40"/>
        <v>14.99808826192824</v>
      </c>
      <c r="V74" s="204">
        <f t="shared" si="40"/>
        <v>14.498084908001799</v>
      </c>
      <c r="W74" s="204">
        <f t="shared" si="40"/>
        <v>16.997833363518669</v>
      </c>
      <c r="X74" s="204">
        <f t="shared" si="40"/>
        <v>15.997960812723456</v>
      </c>
      <c r="Y74" s="204">
        <f t="shared" si="40"/>
        <v>14.248150309567409</v>
      </c>
      <c r="Z74" s="204">
        <f t="shared" si="40"/>
        <v>13.998215711133025</v>
      </c>
      <c r="AA74" s="204">
        <f t="shared" si="40"/>
        <v>16.997833363518669</v>
      </c>
      <c r="AB74" s="204">
        <f t="shared" ref="AB74:AF89" si="51">+IFERROR(N74/$E74,0)</f>
        <v>16.999387960829491</v>
      </c>
      <c r="AC74" s="204">
        <f t="shared" si="51"/>
        <v>18.999315956221199</v>
      </c>
      <c r="AD74" s="204">
        <f t="shared" si="51"/>
        <v>18.999315956221199</v>
      </c>
      <c r="AE74" s="204">
        <f t="shared" si="51"/>
        <v>17.999351958525345</v>
      </c>
      <c r="AF74" s="204">
        <f t="shared" si="51"/>
        <v>17.999351958525345</v>
      </c>
      <c r="AG74" s="239">
        <f t="shared" si="49"/>
        <v>198.73289052071388</v>
      </c>
      <c r="AH74" s="239">
        <f t="shared" si="50"/>
        <v>16.561074210059491</v>
      </c>
      <c r="AI74" s="5">
        <f ca="1">+SUMIF('DF Calculation'!$C$16:$C$39,C74,'DF Calculation'!$D$16:$D$39)-AG74</f>
        <v>0</v>
      </c>
      <c r="AL74" s="185">
        <v>2</v>
      </c>
      <c r="AM74" s="185">
        <v>1</v>
      </c>
      <c r="AN74" s="186">
        <f t="shared" si="44"/>
        <v>16.561074210059491</v>
      </c>
      <c r="AQ74" s="217">
        <f>37.5*2.17</f>
        <v>81.375</v>
      </c>
      <c r="AR74" s="19">
        <f t="shared" si="45"/>
        <v>9.5778592542019911</v>
      </c>
      <c r="AS74" s="19">
        <f t="shared" si="46"/>
        <v>1903.4356545881305</v>
      </c>
      <c r="AT74" s="19">
        <f t="shared" si="47"/>
        <v>90.952859254201996</v>
      </c>
      <c r="AU74" s="19">
        <f t="shared" si="48"/>
        <v>17011.105654588133</v>
      </c>
    </row>
    <row r="75" spans="1:47" outlineLevel="1" x14ac:dyDescent="0.25">
      <c r="A75" s="1" t="str">
        <f t="shared" si="39"/>
        <v>VashonCommercialR2YDTPU</v>
      </c>
      <c r="B75" s="1" t="s">
        <v>107</v>
      </c>
      <c r="C75" s="1" t="s">
        <v>108</v>
      </c>
      <c r="D75" s="202">
        <v>36.46</v>
      </c>
      <c r="E75" s="202">
        <v>37.950000000000003</v>
      </c>
      <c r="F75" s="16"/>
      <c r="G75" s="203">
        <v>0</v>
      </c>
      <c r="H75" s="203">
        <v>0</v>
      </c>
      <c r="I75" s="203">
        <v>0</v>
      </c>
      <c r="J75" s="203">
        <v>72.92</v>
      </c>
      <c r="K75" s="203">
        <v>0</v>
      </c>
      <c r="L75" s="203">
        <v>109.38</v>
      </c>
      <c r="M75" s="203">
        <v>0</v>
      </c>
      <c r="N75" s="17">
        <v>0</v>
      </c>
      <c r="O75" s="17">
        <v>189.75</v>
      </c>
      <c r="P75" s="17">
        <v>151.80000000000001</v>
      </c>
      <c r="Q75" s="17">
        <v>151.80000000000001</v>
      </c>
      <c r="R75" s="17">
        <v>265.64999999999998</v>
      </c>
      <c r="S75" s="17">
        <v>941.30000000000007</v>
      </c>
      <c r="U75" s="204">
        <f t="shared" si="40"/>
        <v>0</v>
      </c>
      <c r="V75" s="204">
        <f t="shared" si="40"/>
        <v>0</v>
      </c>
      <c r="W75" s="204">
        <f t="shared" si="40"/>
        <v>0</v>
      </c>
      <c r="X75" s="204">
        <f t="shared" si="40"/>
        <v>2</v>
      </c>
      <c r="Y75" s="204">
        <f t="shared" si="40"/>
        <v>0</v>
      </c>
      <c r="Z75" s="204">
        <f t="shared" si="40"/>
        <v>3</v>
      </c>
      <c r="AA75" s="204">
        <f t="shared" si="40"/>
        <v>0</v>
      </c>
      <c r="AB75" s="204">
        <f t="shared" si="51"/>
        <v>0</v>
      </c>
      <c r="AC75" s="204">
        <f t="shared" si="51"/>
        <v>5</v>
      </c>
      <c r="AD75" s="204">
        <f t="shared" si="51"/>
        <v>4</v>
      </c>
      <c r="AE75" s="204">
        <f t="shared" si="51"/>
        <v>4</v>
      </c>
      <c r="AF75" s="204">
        <f t="shared" si="51"/>
        <v>6.9999999999999991</v>
      </c>
      <c r="AG75" s="239">
        <f t="shared" si="49"/>
        <v>25</v>
      </c>
      <c r="AH75" s="239">
        <f t="shared" si="50"/>
        <v>2.0833333333333335</v>
      </c>
      <c r="AI75" s="5">
        <f ca="1">+SUMIF('DF Calculation'!$C$16:$C$39,C75,'DF Calculation'!$D$16:$D$39)-AG75</f>
        <v>0</v>
      </c>
      <c r="AL75" s="185">
        <v>2</v>
      </c>
      <c r="AM75" s="185">
        <v>1</v>
      </c>
      <c r="AN75" s="186">
        <f t="shared" si="44"/>
        <v>2.0833333333333335</v>
      </c>
      <c r="AQ75" s="217">
        <v>39.61</v>
      </c>
      <c r="AR75" s="19">
        <f t="shared" si="45"/>
        <v>4.6621075890499641</v>
      </c>
      <c r="AS75" s="19">
        <f t="shared" si="46"/>
        <v>116.55268972624911</v>
      </c>
      <c r="AT75" s="19">
        <f t="shared" si="47"/>
        <v>44.272107589049966</v>
      </c>
      <c r="AU75" s="19">
        <f t="shared" si="48"/>
        <v>1057.8526897262491</v>
      </c>
    </row>
    <row r="76" spans="1:47" outlineLevel="1" x14ac:dyDescent="0.25">
      <c r="A76" s="1" t="str">
        <f t="shared" si="39"/>
        <v>VashonCommercialF1YDEX</v>
      </c>
      <c r="B76" s="1" t="s">
        <v>349</v>
      </c>
      <c r="C76" s="1" t="s">
        <v>350</v>
      </c>
      <c r="D76" s="202">
        <v>19.489999999999998</v>
      </c>
      <c r="E76" s="202">
        <v>20.3</v>
      </c>
      <c r="F76" s="16"/>
      <c r="G76" s="203">
        <v>0</v>
      </c>
      <c r="H76" s="203">
        <v>0</v>
      </c>
      <c r="I76" s="203">
        <v>0</v>
      </c>
      <c r="J76" s="203">
        <v>19.440000000000001</v>
      </c>
      <c r="K76" s="203">
        <v>0</v>
      </c>
      <c r="L76" s="203">
        <v>0</v>
      </c>
      <c r="M76" s="203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19.440000000000001</v>
      </c>
      <c r="U76" s="18">
        <f t="shared" si="40"/>
        <v>0</v>
      </c>
      <c r="V76" s="18">
        <f t="shared" si="40"/>
        <v>0</v>
      </c>
      <c r="W76" s="18">
        <f t="shared" si="40"/>
        <v>0</v>
      </c>
      <c r="X76" s="18">
        <f t="shared" si="40"/>
        <v>0.99743458183683953</v>
      </c>
      <c r="Y76" s="18">
        <f t="shared" si="40"/>
        <v>0</v>
      </c>
      <c r="Z76" s="18">
        <f t="shared" si="40"/>
        <v>0</v>
      </c>
      <c r="AA76" s="18">
        <f t="shared" si="40"/>
        <v>0</v>
      </c>
      <c r="AB76" s="18">
        <f t="shared" si="51"/>
        <v>0</v>
      </c>
      <c r="AC76" s="18">
        <f t="shared" si="51"/>
        <v>0</v>
      </c>
      <c r="AD76" s="18">
        <f t="shared" si="51"/>
        <v>0</v>
      </c>
      <c r="AE76" s="18">
        <f t="shared" si="51"/>
        <v>0</v>
      </c>
      <c r="AF76" s="18">
        <f t="shared" si="51"/>
        <v>0</v>
      </c>
      <c r="AG76" s="239">
        <f t="shared" si="49"/>
        <v>0.99743458183683953</v>
      </c>
      <c r="AH76" s="239">
        <f t="shared" si="50"/>
        <v>8.3119548486403294E-2</v>
      </c>
      <c r="AI76" s="5">
        <f ca="1">+SUMIF('DF Calculation'!$C$16:$C$39,C76,'DF Calculation'!$D$16:$D$39)-AG76</f>
        <v>10</v>
      </c>
      <c r="AL76" s="185">
        <v>1</v>
      </c>
      <c r="AM76" s="185">
        <v>1</v>
      </c>
      <c r="AN76" s="186">
        <f t="shared" si="44"/>
        <v>8.3119548486403294E-2</v>
      </c>
      <c r="AQ76" s="217">
        <v>21.2</v>
      </c>
      <c r="AR76" s="19">
        <f t="shared" si="45"/>
        <v>2.4952456674541592</v>
      </c>
      <c r="AS76" s="19">
        <f t="shared" si="46"/>
        <v>2.4888443188973248</v>
      </c>
      <c r="AT76" s="19">
        <f t="shared" si="47"/>
        <v>23.695245667454159</v>
      </c>
      <c r="AU76" s="19">
        <f t="shared" si="48"/>
        <v>21.928844318897326</v>
      </c>
    </row>
    <row r="77" spans="1:47" outlineLevel="1" x14ac:dyDescent="0.25">
      <c r="A77" s="1" t="str">
        <f t="shared" si="39"/>
        <v>VashonCommercialR1YDEX</v>
      </c>
      <c r="B77" s="1" t="s">
        <v>91</v>
      </c>
      <c r="C77" s="1" t="s">
        <v>92</v>
      </c>
      <c r="D77" s="202">
        <f>IFERROR(VLOOKUP(A77,[53]Vashon!$A$10:$S$434,4,FALSE),0)</f>
        <v>19.489999999999998</v>
      </c>
      <c r="E77" s="202">
        <f>IFERROR(VLOOKUP(A77,'[51]PI Default Pricing 3.1.21'!A:L,12,FALSE),0)</f>
        <v>20.3</v>
      </c>
      <c r="F77" s="16"/>
      <c r="G77" s="203">
        <v>0</v>
      </c>
      <c r="H77" s="203">
        <v>0</v>
      </c>
      <c r="I77" s="203">
        <v>0</v>
      </c>
      <c r="J77" s="203">
        <v>19.489999999999998</v>
      </c>
      <c r="K77" s="203">
        <v>19.489999999999998</v>
      </c>
      <c r="L77" s="203">
        <v>19.489999999999998</v>
      </c>
      <c r="M77" s="203">
        <v>0</v>
      </c>
      <c r="N77" s="17">
        <v>20.3</v>
      </c>
      <c r="O77" s="17">
        <v>40.6</v>
      </c>
      <c r="P77" s="17">
        <v>0</v>
      </c>
      <c r="Q77" s="17">
        <v>40.6</v>
      </c>
      <c r="R77" s="17">
        <v>40.6</v>
      </c>
      <c r="S77" s="17">
        <v>200.57</v>
      </c>
      <c r="U77" s="18">
        <f t="shared" si="40"/>
        <v>0</v>
      </c>
      <c r="V77" s="18">
        <f t="shared" si="40"/>
        <v>0</v>
      </c>
      <c r="W77" s="18">
        <f t="shared" si="40"/>
        <v>0</v>
      </c>
      <c r="X77" s="18">
        <f t="shared" si="40"/>
        <v>1</v>
      </c>
      <c r="Y77" s="18">
        <f t="shared" si="40"/>
        <v>1</v>
      </c>
      <c r="Z77" s="18">
        <f t="shared" si="40"/>
        <v>1</v>
      </c>
      <c r="AA77" s="18">
        <f t="shared" si="40"/>
        <v>0</v>
      </c>
      <c r="AB77" s="18">
        <f t="shared" si="51"/>
        <v>1</v>
      </c>
      <c r="AC77" s="18">
        <f t="shared" si="51"/>
        <v>2</v>
      </c>
      <c r="AD77" s="18">
        <f t="shared" si="51"/>
        <v>0</v>
      </c>
      <c r="AE77" s="18">
        <f t="shared" si="51"/>
        <v>2</v>
      </c>
      <c r="AF77" s="18">
        <f t="shared" si="51"/>
        <v>2</v>
      </c>
      <c r="AG77" s="239">
        <f t="shared" si="49"/>
        <v>10</v>
      </c>
      <c r="AH77" s="239">
        <f t="shared" si="50"/>
        <v>0.83333333333333337</v>
      </c>
      <c r="AI77" s="5">
        <f>+SUMIF('DF Calculation'!$C$16:$C$39,C77,'DF Calculation'!$D$16:$D$39)-AG77</f>
        <v>-10</v>
      </c>
      <c r="AL77" s="185">
        <v>1</v>
      </c>
      <c r="AM77" s="185">
        <v>1</v>
      </c>
      <c r="AN77" s="186">
        <f t="shared" si="44"/>
        <v>0.83333333333333337</v>
      </c>
      <c r="AQ77" s="217">
        <v>21.2</v>
      </c>
      <c r="AR77" s="19">
        <f t="shared" si="45"/>
        <v>2.4952456674541592</v>
      </c>
      <c r="AS77" s="19">
        <f t="shared" si="46"/>
        <v>24.952456674541594</v>
      </c>
      <c r="AT77" s="19">
        <f t="shared" si="47"/>
        <v>23.695245667454159</v>
      </c>
      <c r="AU77" s="19">
        <f t="shared" si="48"/>
        <v>225.52245667454159</v>
      </c>
    </row>
    <row r="78" spans="1:47" outlineLevel="1" x14ac:dyDescent="0.25">
      <c r="A78" s="1" t="str">
        <f t="shared" si="39"/>
        <v>VashonCommercialR1.5YDEX</v>
      </c>
      <c r="B78" s="1" t="s">
        <v>83</v>
      </c>
      <c r="C78" s="1" t="s">
        <v>84</v>
      </c>
      <c r="D78" s="202">
        <f>IFERROR(VLOOKUP(A78,[53]Vashon!$A$10:$S$434,4,FALSE),0)</f>
        <v>24.74</v>
      </c>
      <c r="E78" s="202">
        <f>IFERROR(VLOOKUP(A78,'[51]PI Default Pricing 3.1.21'!A:L,12,FALSE),0)</f>
        <v>25.89</v>
      </c>
      <c r="F78" s="16"/>
      <c r="G78" s="203">
        <v>0</v>
      </c>
      <c r="H78" s="203">
        <v>0</v>
      </c>
      <c r="I78" s="203">
        <v>0</v>
      </c>
      <c r="J78" s="203">
        <v>24.74</v>
      </c>
      <c r="K78" s="203">
        <v>0</v>
      </c>
      <c r="L78" s="203">
        <v>0</v>
      </c>
      <c r="M78" s="203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24.74</v>
      </c>
      <c r="U78" s="18">
        <f t="shared" si="40"/>
        <v>0</v>
      </c>
      <c r="V78" s="18">
        <f t="shared" si="40"/>
        <v>0</v>
      </c>
      <c r="W78" s="18">
        <f t="shared" si="40"/>
        <v>0</v>
      </c>
      <c r="X78" s="18">
        <f t="shared" si="40"/>
        <v>1</v>
      </c>
      <c r="Y78" s="18">
        <f t="shared" si="40"/>
        <v>0</v>
      </c>
      <c r="Z78" s="18">
        <f t="shared" si="40"/>
        <v>0</v>
      </c>
      <c r="AA78" s="18">
        <f t="shared" si="40"/>
        <v>0</v>
      </c>
      <c r="AB78" s="18">
        <f t="shared" si="51"/>
        <v>0</v>
      </c>
      <c r="AC78" s="18">
        <f t="shared" si="51"/>
        <v>0</v>
      </c>
      <c r="AD78" s="18">
        <f t="shared" si="51"/>
        <v>0</v>
      </c>
      <c r="AE78" s="18">
        <f t="shared" si="51"/>
        <v>0</v>
      </c>
      <c r="AF78" s="18">
        <f t="shared" si="51"/>
        <v>0</v>
      </c>
      <c r="AG78" s="239">
        <f t="shared" si="49"/>
        <v>1</v>
      </c>
      <c r="AH78" s="239">
        <f t="shared" si="50"/>
        <v>8.3333333333333329E-2</v>
      </c>
      <c r="AI78" s="5">
        <f ca="1">+SUMIF('DF Calculation'!$C$16:$C$39,C78,'DF Calculation'!$D$16:$D$39)-AG78</f>
        <v>0</v>
      </c>
      <c r="AL78" s="185">
        <v>1</v>
      </c>
      <c r="AM78" s="185">
        <v>1</v>
      </c>
      <c r="AN78" s="186">
        <f t="shared" si="44"/>
        <v>8.3333333333333329E-2</v>
      </c>
      <c r="AQ78" s="217">
        <v>27.17</v>
      </c>
      <c r="AR78" s="19">
        <f t="shared" si="45"/>
        <v>3.1979162634306371</v>
      </c>
      <c r="AS78" s="19">
        <f t="shared" si="46"/>
        <v>3.1979162634306371</v>
      </c>
      <c r="AT78" s="19">
        <f t="shared" si="47"/>
        <v>30.36791626343064</v>
      </c>
      <c r="AU78" s="19">
        <f t="shared" si="48"/>
        <v>27.937916263430637</v>
      </c>
    </row>
    <row r="79" spans="1:47" outlineLevel="1" x14ac:dyDescent="0.25">
      <c r="A79" s="1" t="str">
        <f t="shared" si="39"/>
        <v>VashonCommercialR2YDEX</v>
      </c>
      <c r="B79" s="1" t="s">
        <v>105</v>
      </c>
      <c r="C79" s="1" t="s">
        <v>106</v>
      </c>
      <c r="D79" s="202">
        <f>IFERROR(VLOOKUP(A79,[53]Vashon!$A$10:$S$434,4,FALSE),0)</f>
        <v>34.35</v>
      </c>
      <c r="E79" s="202">
        <f>IFERROR(VLOOKUP(A79,'[51]PI Default Pricing 3.1.21'!A:L,12,FALSE),0)</f>
        <v>35.840000000000003</v>
      </c>
      <c r="F79" s="16"/>
      <c r="G79" s="203">
        <v>0</v>
      </c>
      <c r="H79" s="203">
        <v>0</v>
      </c>
      <c r="I79" s="203">
        <v>0</v>
      </c>
      <c r="J79" s="203">
        <v>0</v>
      </c>
      <c r="K79" s="203">
        <v>68.7</v>
      </c>
      <c r="L79" s="203">
        <v>68.7</v>
      </c>
      <c r="M79" s="203">
        <v>0</v>
      </c>
      <c r="N79" s="17">
        <v>0</v>
      </c>
      <c r="O79" s="17">
        <v>71.680000000000007</v>
      </c>
      <c r="P79" s="17">
        <v>0</v>
      </c>
      <c r="Q79" s="17">
        <v>0</v>
      </c>
      <c r="R79" s="17">
        <v>35.840000000000003</v>
      </c>
      <c r="S79" s="17">
        <v>244.92000000000002</v>
      </c>
      <c r="U79" s="18">
        <f t="shared" si="40"/>
        <v>0</v>
      </c>
      <c r="V79" s="18">
        <f t="shared" si="40"/>
        <v>0</v>
      </c>
      <c r="W79" s="18">
        <f t="shared" si="40"/>
        <v>0</v>
      </c>
      <c r="X79" s="18">
        <f t="shared" si="40"/>
        <v>0</v>
      </c>
      <c r="Y79" s="18">
        <f t="shared" si="40"/>
        <v>2</v>
      </c>
      <c r="Z79" s="18">
        <f t="shared" si="40"/>
        <v>2</v>
      </c>
      <c r="AA79" s="18">
        <f t="shared" si="40"/>
        <v>0</v>
      </c>
      <c r="AB79" s="18">
        <f t="shared" si="51"/>
        <v>0</v>
      </c>
      <c r="AC79" s="18">
        <f t="shared" si="51"/>
        <v>2</v>
      </c>
      <c r="AD79" s="18">
        <f t="shared" si="51"/>
        <v>0</v>
      </c>
      <c r="AE79" s="18">
        <f t="shared" si="51"/>
        <v>0</v>
      </c>
      <c r="AF79" s="18">
        <f t="shared" si="51"/>
        <v>1</v>
      </c>
      <c r="AG79" s="239">
        <f t="shared" si="49"/>
        <v>7</v>
      </c>
      <c r="AH79" s="239">
        <f t="shared" si="50"/>
        <v>0.58333333333333337</v>
      </c>
      <c r="AI79" s="5">
        <f ca="1">+SUMIF('DF Calculation'!$C$16:$C$39,C79,'DF Calculation'!$D$16:$D$39)-AG79</f>
        <v>0</v>
      </c>
      <c r="AL79" s="185">
        <v>2</v>
      </c>
      <c r="AM79" s="185">
        <v>1</v>
      </c>
      <c r="AN79" s="186">
        <f t="shared" si="44"/>
        <v>0.58333333333333337</v>
      </c>
      <c r="AQ79" s="217">
        <v>37.5</v>
      </c>
      <c r="AR79" s="19">
        <f t="shared" si="45"/>
        <v>4.4137600249778757</v>
      </c>
      <c r="AS79" s="19">
        <f t="shared" si="46"/>
        <v>30.89632017484513</v>
      </c>
      <c r="AT79" s="19">
        <f t="shared" si="47"/>
        <v>41.913760024977876</v>
      </c>
      <c r="AU79" s="19">
        <f t="shared" si="48"/>
        <v>275.81632017484515</v>
      </c>
    </row>
    <row r="80" spans="1:47" outlineLevel="1" x14ac:dyDescent="0.25">
      <c r="A80" s="1" t="str">
        <f t="shared" si="39"/>
        <v>VashonCommercialPACKC</v>
      </c>
      <c r="B80" s="1" t="s">
        <v>75</v>
      </c>
      <c r="C80" s="1" t="s">
        <v>76</v>
      </c>
      <c r="D80" s="202">
        <f>0.17*4.33</f>
        <v>0.73610000000000009</v>
      </c>
      <c r="E80" s="202">
        <f>0.17*4.33</f>
        <v>0.73610000000000009</v>
      </c>
      <c r="F80" s="16"/>
      <c r="G80" s="218">
        <v>3.47</v>
      </c>
      <c r="H80" s="203">
        <v>2.77</v>
      </c>
      <c r="I80" s="218">
        <v>2.08</v>
      </c>
      <c r="J80" s="203">
        <v>2.08</v>
      </c>
      <c r="K80" s="203">
        <v>2.08</v>
      </c>
      <c r="L80" s="203">
        <v>2.08</v>
      </c>
      <c r="M80" s="203">
        <v>2.08</v>
      </c>
      <c r="N80" s="17">
        <v>2.08</v>
      </c>
      <c r="O80" s="17">
        <v>2.08</v>
      </c>
      <c r="P80" s="17">
        <v>3.61</v>
      </c>
      <c r="Q80" s="17">
        <v>3.61</v>
      </c>
      <c r="R80" s="17">
        <v>3.61</v>
      </c>
      <c r="S80" s="17">
        <v>31.629999999999995</v>
      </c>
      <c r="U80" s="18">
        <f t="shared" si="40"/>
        <v>4.7140334193723676</v>
      </c>
      <c r="V80" s="18">
        <f t="shared" si="40"/>
        <v>3.7630756690667027</v>
      </c>
      <c r="W80" s="18">
        <f t="shared" si="40"/>
        <v>2.8257030294796901</v>
      </c>
      <c r="X80" s="18">
        <f t="shared" si="40"/>
        <v>2.8257030294796901</v>
      </c>
      <c r="Y80" s="18">
        <f t="shared" si="40"/>
        <v>2.8257030294796901</v>
      </c>
      <c r="Z80" s="18">
        <f t="shared" si="40"/>
        <v>2.8257030294796901</v>
      </c>
      <c r="AA80" s="18">
        <f t="shared" si="40"/>
        <v>2.8257030294796901</v>
      </c>
      <c r="AB80" s="18">
        <f t="shared" si="51"/>
        <v>2.8257030294796901</v>
      </c>
      <c r="AC80" s="18">
        <f t="shared" si="51"/>
        <v>2.8257030294796901</v>
      </c>
      <c r="AD80" s="18">
        <f t="shared" si="51"/>
        <v>4.9042249694334998</v>
      </c>
      <c r="AE80" s="18">
        <f t="shared" si="51"/>
        <v>4.9042249694334998</v>
      </c>
      <c r="AF80" s="18">
        <f t="shared" si="51"/>
        <v>4.9042249694334998</v>
      </c>
      <c r="AG80" s="17">
        <f t="shared" si="49"/>
        <v>42.969705203097405</v>
      </c>
      <c r="AH80" s="239">
        <f t="shared" si="50"/>
        <v>3.5808087669247839</v>
      </c>
      <c r="AI80" s="5"/>
      <c r="AQ80" s="217">
        <f>0.17*4.33</f>
        <v>0.73610000000000009</v>
      </c>
      <c r="AR80" s="19">
        <f t="shared" si="45"/>
        <v>8.6639166783632399E-2</v>
      </c>
      <c r="AS80" s="19">
        <f t="shared" si="46"/>
        <v>3.7228594557346733</v>
      </c>
      <c r="AT80" s="19">
        <f t="shared" si="47"/>
        <v>0.82273916678363246</v>
      </c>
      <c r="AU80" s="19">
        <f t="shared" si="48"/>
        <v>35.352859455734666</v>
      </c>
    </row>
    <row r="81" spans="1:48" outlineLevel="1" x14ac:dyDescent="0.25">
      <c r="A81" s="1" t="str">
        <f t="shared" si="39"/>
        <v>VashonCommercialCEX</v>
      </c>
      <c r="B81" s="1" t="s">
        <v>109</v>
      </c>
      <c r="C81" s="1" t="s">
        <v>110</v>
      </c>
      <c r="D81" s="202">
        <f>IFERROR(VLOOKUP(A81,[53]Vashon!$A$10:$S$434,4,FALSE),0)</f>
        <v>4.08</v>
      </c>
      <c r="E81" s="202">
        <f>IFERROR(VLOOKUP(A81,'[51]PI Default Pricing 3.1.21'!A:L,12,FALSE),0)</f>
        <v>4.21</v>
      </c>
      <c r="F81" s="16"/>
      <c r="G81" s="203">
        <v>636.48</v>
      </c>
      <c r="H81" s="203">
        <v>669.12</v>
      </c>
      <c r="I81" s="203">
        <v>856.80000000000007</v>
      </c>
      <c r="J81" s="203">
        <v>501.84</v>
      </c>
      <c r="K81" s="203">
        <v>412.08</v>
      </c>
      <c r="L81" s="203">
        <v>346.8</v>
      </c>
      <c r="M81" s="203">
        <v>212.16</v>
      </c>
      <c r="N81" s="17">
        <v>227.34</v>
      </c>
      <c r="O81" s="17">
        <v>383.11</v>
      </c>
      <c r="P81" s="17">
        <v>269.44</v>
      </c>
      <c r="Q81" s="17">
        <v>404.16</v>
      </c>
      <c r="R81" s="17">
        <v>623.08000000000004</v>
      </c>
      <c r="S81" s="17">
        <v>5542.41</v>
      </c>
      <c r="U81" s="18">
        <f t="shared" ref="U81:AA90" si="52">+IFERROR(G81/$D81,0)</f>
        <v>156</v>
      </c>
      <c r="V81" s="18">
        <f t="shared" si="52"/>
        <v>164</v>
      </c>
      <c r="W81" s="18">
        <f t="shared" si="52"/>
        <v>210</v>
      </c>
      <c r="X81" s="18">
        <f t="shared" si="52"/>
        <v>122.99999999999999</v>
      </c>
      <c r="Y81" s="18">
        <f t="shared" si="52"/>
        <v>101</v>
      </c>
      <c r="Z81" s="18">
        <f t="shared" si="52"/>
        <v>85</v>
      </c>
      <c r="AA81" s="18">
        <f t="shared" si="52"/>
        <v>52</v>
      </c>
      <c r="AB81" s="18">
        <f t="shared" si="51"/>
        <v>54</v>
      </c>
      <c r="AC81" s="18">
        <f t="shared" si="51"/>
        <v>91</v>
      </c>
      <c r="AD81" s="18">
        <f t="shared" si="51"/>
        <v>64</v>
      </c>
      <c r="AE81" s="18">
        <f t="shared" si="51"/>
        <v>96</v>
      </c>
      <c r="AF81" s="18">
        <f t="shared" si="51"/>
        <v>148</v>
      </c>
      <c r="AG81" s="239">
        <f t="shared" si="49"/>
        <v>1344</v>
      </c>
      <c r="AH81" s="239">
        <f t="shared" si="50"/>
        <v>112</v>
      </c>
      <c r="AI81" s="5">
        <f ca="1">+SUMIF('DF Calculation'!$C$16:$C$39,C81,'DF Calculation'!$D$16:$D$39)-AG81</f>
        <v>0</v>
      </c>
      <c r="AQ81" s="217">
        <v>4.3600000000000003</v>
      </c>
      <c r="AR81" s="19">
        <f t="shared" si="45"/>
        <v>0.51317316557076109</v>
      </c>
      <c r="AS81" s="19">
        <f t="shared" si="46"/>
        <v>689.70473452710291</v>
      </c>
      <c r="AT81" s="19">
        <f t="shared" si="47"/>
        <v>4.8731731655707611</v>
      </c>
      <c r="AU81" s="19">
        <f t="shared" si="48"/>
        <v>6232.1147345271029</v>
      </c>
    </row>
    <row r="82" spans="1:48" outlineLevel="1" x14ac:dyDescent="0.25">
      <c r="A82" s="1" t="str">
        <f t="shared" si="39"/>
        <v>VashonCommercialCEXYD</v>
      </c>
      <c r="B82" s="1" t="s">
        <v>111</v>
      </c>
      <c r="C82" s="1" t="s">
        <v>112</v>
      </c>
      <c r="D82" s="202">
        <f>IFERROR(VLOOKUP(A82,[53]Vashon!$A$10:$S$434,4,FALSE),0)</f>
        <v>15.67</v>
      </c>
      <c r="E82" s="202">
        <f>IFERROR(VLOOKUP(A82,'[51]PI Default Pricing 3.1.21'!A:L,12,FALSE),0)</f>
        <v>16.25</v>
      </c>
      <c r="F82" s="16"/>
      <c r="G82" s="203">
        <v>0</v>
      </c>
      <c r="H82" s="203">
        <v>15.67</v>
      </c>
      <c r="I82" s="203">
        <v>0</v>
      </c>
      <c r="J82" s="203">
        <v>0</v>
      </c>
      <c r="K82" s="203">
        <v>0</v>
      </c>
      <c r="L82" s="203">
        <v>0</v>
      </c>
      <c r="M82" s="203">
        <v>15.67</v>
      </c>
      <c r="N82" s="17">
        <v>0</v>
      </c>
      <c r="O82" s="17">
        <v>0</v>
      </c>
      <c r="P82" s="17">
        <v>0</v>
      </c>
      <c r="Q82" s="17">
        <v>16.25</v>
      </c>
      <c r="R82" s="17">
        <v>0</v>
      </c>
      <c r="S82" s="17">
        <v>47.59</v>
      </c>
      <c r="U82" s="18">
        <f t="shared" si="52"/>
        <v>0</v>
      </c>
      <c r="V82" s="18">
        <f t="shared" si="52"/>
        <v>1</v>
      </c>
      <c r="W82" s="18">
        <f t="shared" si="52"/>
        <v>0</v>
      </c>
      <c r="X82" s="18">
        <f t="shared" si="52"/>
        <v>0</v>
      </c>
      <c r="Y82" s="18">
        <f t="shared" si="52"/>
        <v>0</v>
      </c>
      <c r="Z82" s="18">
        <f t="shared" si="52"/>
        <v>0</v>
      </c>
      <c r="AA82" s="18">
        <f t="shared" si="52"/>
        <v>1</v>
      </c>
      <c r="AB82" s="18">
        <f t="shared" si="51"/>
        <v>0</v>
      </c>
      <c r="AC82" s="18">
        <f t="shared" si="51"/>
        <v>0</v>
      </c>
      <c r="AD82" s="18">
        <f t="shared" si="51"/>
        <v>0</v>
      </c>
      <c r="AE82" s="18">
        <f t="shared" si="51"/>
        <v>1</v>
      </c>
      <c r="AF82" s="18">
        <f t="shared" si="51"/>
        <v>0</v>
      </c>
      <c r="AG82" s="239">
        <f t="shared" si="49"/>
        <v>3</v>
      </c>
      <c r="AH82" s="239">
        <f t="shared" si="50"/>
        <v>0.25</v>
      </c>
      <c r="AI82" s="5">
        <f ca="1">+SUMIF('DF Calculation'!$C$16:$C$39,C82,'DF Calculation'!$D$16:$D$39)-AG82</f>
        <v>0</v>
      </c>
      <c r="AQ82" s="217">
        <v>16.89</v>
      </c>
      <c r="AR82" s="19">
        <f t="shared" si="45"/>
        <v>1.9879575152500353</v>
      </c>
      <c r="AS82" s="19">
        <f t="shared" si="46"/>
        <v>5.9638725457501058</v>
      </c>
      <c r="AT82" s="19">
        <f t="shared" si="47"/>
        <v>18.877957515250035</v>
      </c>
      <c r="AU82" s="19">
        <f t="shared" si="48"/>
        <v>53.55387254575011</v>
      </c>
    </row>
    <row r="83" spans="1:48" outlineLevel="1" x14ac:dyDescent="0.25">
      <c r="A83" s="1" t="str">
        <f t="shared" si="39"/>
        <v>VashonCommercialCLOCK</v>
      </c>
      <c r="B83" s="1" t="s">
        <v>113</v>
      </c>
      <c r="C83" s="1" t="s">
        <v>114</v>
      </c>
      <c r="D83" s="202">
        <f>1.12*4.33</f>
        <v>4.8496000000000006</v>
      </c>
      <c r="E83" s="202">
        <f>1.12*4.33</f>
        <v>4.8496000000000006</v>
      </c>
      <c r="F83" s="16"/>
      <c r="G83" s="203">
        <v>91.97</v>
      </c>
      <c r="H83" s="203">
        <v>94.39</v>
      </c>
      <c r="I83" s="203">
        <v>94.39</v>
      </c>
      <c r="J83" s="203">
        <v>89.55</v>
      </c>
      <c r="K83" s="203">
        <v>89.55</v>
      </c>
      <c r="L83" s="203">
        <v>94.39</v>
      </c>
      <c r="M83" s="203">
        <v>94.39</v>
      </c>
      <c r="N83" s="17">
        <v>94.39</v>
      </c>
      <c r="O83" s="17">
        <v>94.39</v>
      </c>
      <c r="P83" s="17">
        <v>99.23</v>
      </c>
      <c r="Q83" s="17">
        <v>99.23</v>
      </c>
      <c r="R83" s="17">
        <v>96.8</v>
      </c>
      <c r="S83" s="17">
        <v>1132.6699999999998</v>
      </c>
      <c r="U83" s="18">
        <f t="shared" si="52"/>
        <v>18.964450676344438</v>
      </c>
      <c r="V83" s="18">
        <f t="shared" si="52"/>
        <v>19.463460903992079</v>
      </c>
      <c r="W83" s="18">
        <f t="shared" si="52"/>
        <v>19.463460903992079</v>
      </c>
      <c r="X83" s="18">
        <f t="shared" si="52"/>
        <v>18.465440448696796</v>
      </c>
      <c r="Y83" s="18">
        <f t="shared" si="52"/>
        <v>18.465440448696796</v>
      </c>
      <c r="Z83" s="18">
        <f t="shared" si="52"/>
        <v>19.463460903992079</v>
      </c>
      <c r="AA83" s="18">
        <f t="shared" si="52"/>
        <v>19.463460903992079</v>
      </c>
      <c r="AB83" s="18">
        <f t="shared" si="51"/>
        <v>19.463460903992079</v>
      </c>
      <c r="AC83" s="18">
        <f t="shared" si="51"/>
        <v>19.463460903992079</v>
      </c>
      <c r="AD83" s="18">
        <f t="shared" si="51"/>
        <v>20.461481359287362</v>
      </c>
      <c r="AE83" s="18">
        <f t="shared" si="51"/>
        <v>20.461481359287362</v>
      </c>
      <c r="AF83" s="18">
        <f t="shared" si="51"/>
        <v>19.96040910590564</v>
      </c>
      <c r="AG83" s="18">
        <f t="shared" si="49"/>
        <v>233.55946882217086</v>
      </c>
      <c r="AH83" s="18">
        <f t="shared" si="50"/>
        <v>19.463289068514239</v>
      </c>
      <c r="AQ83" s="217">
        <f>1.12*4.33</f>
        <v>4.8496000000000006</v>
      </c>
      <c r="AR83" s="19">
        <f t="shared" si="45"/>
        <v>0.57079921645687226</v>
      </c>
      <c r="AS83" s="19">
        <f t="shared" si="46"/>
        <v>133.31556179977844</v>
      </c>
      <c r="AT83" s="19">
        <f t="shared" si="47"/>
        <v>5.4203992164568726</v>
      </c>
      <c r="AU83" s="19">
        <f t="shared" si="48"/>
        <v>1265.9855617997782</v>
      </c>
    </row>
    <row r="84" spans="1:48" outlineLevel="1" x14ac:dyDescent="0.25">
      <c r="A84" s="1" t="str">
        <f t="shared" si="39"/>
        <v>VashonCommercialCROLL</v>
      </c>
      <c r="B84" s="1" t="s">
        <v>115</v>
      </c>
      <c r="C84" s="1" t="s">
        <v>116</v>
      </c>
      <c r="D84" s="202">
        <f>5.62*4.33</f>
        <v>24.334600000000002</v>
      </c>
      <c r="E84" s="202">
        <f>5.62*4.33</f>
        <v>24.334600000000002</v>
      </c>
      <c r="F84" s="16"/>
      <c r="G84" s="203">
        <v>24.33</v>
      </c>
      <c r="H84" s="203">
        <v>24.33</v>
      </c>
      <c r="I84" s="203">
        <v>24.33</v>
      </c>
      <c r="J84" s="203">
        <v>24.33</v>
      </c>
      <c r="K84" s="203">
        <v>24.33</v>
      </c>
      <c r="L84" s="203">
        <v>24.33</v>
      </c>
      <c r="M84" s="203">
        <v>24.33</v>
      </c>
      <c r="N84" s="17">
        <v>24.33</v>
      </c>
      <c r="O84" s="17">
        <v>24.33</v>
      </c>
      <c r="P84" s="17">
        <v>24.33</v>
      </c>
      <c r="Q84" s="17">
        <v>24.33</v>
      </c>
      <c r="R84" s="17">
        <v>24.33</v>
      </c>
      <c r="S84" s="17">
        <v>291.95999999999992</v>
      </c>
      <c r="U84" s="18">
        <f t="shared" si="52"/>
        <v>0.99981096874409259</v>
      </c>
      <c r="V84" s="18">
        <f t="shared" si="52"/>
        <v>0.99981096874409259</v>
      </c>
      <c r="W84" s="18">
        <f t="shared" si="52"/>
        <v>0.99981096874409259</v>
      </c>
      <c r="X84" s="18">
        <f t="shared" si="52"/>
        <v>0.99981096874409259</v>
      </c>
      <c r="Y84" s="18">
        <f t="shared" si="52"/>
        <v>0.99981096874409259</v>
      </c>
      <c r="Z84" s="18">
        <f t="shared" si="52"/>
        <v>0.99981096874409259</v>
      </c>
      <c r="AA84" s="18">
        <f t="shared" si="52"/>
        <v>0.99981096874409259</v>
      </c>
      <c r="AB84" s="18">
        <f t="shared" si="51"/>
        <v>0.99981096874409259</v>
      </c>
      <c r="AC84" s="18">
        <f t="shared" si="51"/>
        <v>0.99981096874409259</v>
      </c>
      <c r="AD84" s="18">
        <f t="shared" si="51"/>
        <v>0.99981096874409259</v>
      </c>
      <c r="AE84" s="18">
        <f t="shared" si="51"/>
        <v>0.99981096874409259</v>
      </c>
      <c r="AF84" s="18">
        <f t="shared" si="51"/>
        <v>0.99981096874409259</v>
      </c>
      <c r="AG84" s="18">
        <f t="shared" si="49"/>
        <v>11.997731624929115</v>
      </c>
      <c r="AH84" s="18">
        <f t="shared" si="50"/>
        <v>0.99981096874409292</v>
      </c>
      <c r="AQ84" s="217">
        <f>5.62*4.33</f>
        <v>24.334600000000002</v>
      </c>
      <c r="AR84" s="19">
        <f t="shared" si="45"/>
        <v>2.8641889254353767</v>
      </c>
      <c r="AS84" s="19">
        <f t="shared" si="46"/>
        <v>34.363770050467757</v>
      </c>
      <c r="AT84" s="19">
        <f t="shared" si="47"/>
        <v>27.19878892543538</v>
      </c>
      <c r="AU84" s="19">
        <f t="shared" si="48"/>
        <v>326.32377005046766</v>
      </c>
    </row>
    <row r="85" spans="1:48" outlineLevel="1" x14ac:dyDescent="0.25">
      <c r="A85" s="1" t="str">
        <f t="shared" si="39"/>
        <v>VashonCommercialCTDEL</v>
      </c>
      <c r="B85" s="1" t="s">
        <v>117</v>
      </c>
      <c r="C85" s="1" t="s">
        <v>118</v>
      </c>
      <c r="D85" s="202">
        <f>IFERROR(VLOOKUP(A85,[53]Vashon!$A$10:$S$434,4,FALSE),0)</f>
        <v>28.08</v>
      </c>
      <c r="E85" s="202">
        <f>IFERROR(VLOOKUP(A85,'[51]PI Default Pricing 3.1.21'!A:L,12,FALSE),0)</f>
        <v>28.08</v>
      </c>
      <c r="F85" s="16"/>
      <c r="G85" s="203">
        <v>0</v>
      </c>
      <c r="H85" s="203">
        <v>0</v>
      </c>
      <c r="I85" s="203">
        <v>0</v>
      </c>
      <c r="J85" s="203">
        <v>56.16</v>
      </c>
      <c r="K85" s="203">
        <v>0</v>
      </c>
      <c r="L85" s="203">
        <v>56.16</v>
      </c>
      <c r="M85" s="203">
        <v>28.08</v>
      </c>
      <c r="N85" s="17">
        <v>0</v>
      </c>
      <c r="O85" s="17">
        <v>0</v>
      </c>
      <c r="P85" s="17">
        <v>0</v>
      </c>
      <c r="Q85" s="17">
        <v>0</v>
      </c>
      <c r="R85" s="17">
        <v>28.08</v>
      </c>
      <c r="S85" s="17">
        <v>168.47999999999996</v>
      </c>
      <c r="U85" s="18">
        <f t="shared" si="52"/>
        <v>0</v>
      </c>
      <c r="V85" s="18">
        <f t="shared" si="52"/>
        <v>0</v>
      </c>
      <c r="W85" s="18">
        <f t="shared" si="52"/>
        <v>0</v>
      </c>
      <c r="X85" s="18">
        <f t="shared" si="52"/>
        <v>2</v>
      </c>
      <c r="Y85" s="18">
        <f t="shared" si="52"/>
        <v>0</v>
      </c>
      <c r="Z85" s="18">
        <f t="shared" si="52"/>
        <v>2</v>
      </c>
      <c r="AA85" s="18">
        <f t="shared" si="52"/>
        <v>1</v>
      </c>
      <c r="AB85" s="18">
        <f t="shared" si="51"/>
        <v>0</v>
      </c>
      <c r="AC85" s="18">
        <f t="shared" si="51"/>
        <v>0</v>
      </c>
      <c r="AD85" s="18">
        <f t="shared" si="51"/>
        <v>0</v>
      </c>
      <c r="AE85" s="18">
        <f t="shared" si="51"/>
        <v>0</v>
      </c>
      <c r="AF85" s="18">
        <f t="shared" si="51"/>
        <v>1</v>
      </c>
      <c r="AG85" s="18">
        <f t="shared" si="49"/>
        <v>6</v>
      </c>
      <c r="AH85" s="18">
        <f t="shared" si="50"/>
        <v>0.5</v>
      </c>
      <c r="AQ85" s="217">
        <v>28.08</v>
      </c>
      <c r="AR85" s="19">
        <f t="shared" si="45"/>
        <v>3.3050235067034333</v>
      </c>
      <c r="AS85" s="19">
        <f t="shared" si="46"/>
        <v>19.8301410402206</v>
      </c>
      <c r="AT85" s="19">
        <f t="shared" si="47"/>
        <v>31.385023506703433</v>
      </c>
      <c r="AU85" s="19">
        <f t="shared" si="48"/>
        <v>188.31014104022057</v>
      </c>
    </row>
    <row r="86" spans="1:48" outlineLevel="1" x14ac:dyDescent="0.25">
      <c r="A86" s="1" t="str">
        <f t="shared" si="39"/>
        <v>VashonCommercialCTRIP</v>
      </c>
      <c r="B86" s="1" t="s">
        <v>119</v>
      </c>
      <c r="C86" s="1" t="s">
        <v>120</v>
      </c>
      <c r="D86" s="202">
        <f>IFERROR(VLOOKUP(A86,[53]Vashon!$A$10:$S$434,4,FALSE),0)</f>
        <v>5.62</v>
      </c>
      <c r="E86" s="202">
        <f>IFERROR(VLOOKUP(A86,'[51]PI Default Pricing 3.1.21'!A:L,12,FALSE),0)</f>
        <v>5.62</v>
      </c>
      <c r="F86" s="16"/>
      <c r="G86" s="203">
        <v>0</v>
      </c>
      <c r="H86" s="203">
        <v>0</v>
      </c>
      <c r="I86" s="203">
        <v>0</v>
      </c>
      <c r="J86" s="203">
        <v>0</v>
      </c>
      <c r="K86" s="203">
        <v>0</v>
      </c>
      <c r="L86" s="203">
        <v>5.62</v>
      </c>
      <c r="M86" s="203">
        <v>0</v>
      </c>
      <c r="N86" s="17">
        <v>5.62</v>
      </c>
      <c r="O86" s="17">
        <v>5.62</v>
      </c>
      <c r="P86" s="17">
        <v>11.24</v>
      </c>
      <c r="Q86" s="17">
        <v>11.24</v>
      </c>
      <c r="R86" s="17">
        <v>0</v>
      </c>
      <c r="S86" s="17">
        <v>39.340000000000003</v>
      </c>
      <c r="U86" s="18">
        <f t="shared" si="52"/>
        <v>0</v>
      </c>
      <c r="V86" s="18">
        <f t="shared" si="52"/>
        <v>0</v>
      </c>
      <c r="W86" s="18">
        <f t="shared" si="52"/>
        <v>0</v>
      </c>
      <c r="X86" s="18">
        <f t="shared" si="52"/>
        <v>0</v>
      </c>
      <c r="Y86" s="18">
        <f t="shared" si="52"/>
        <v>0</v>
      </c>
      <c r="Z86" s="18">
        <f t="shared" si="52"/>
        <v>1</v>
      </c>
      <c r="AA86" s="18">
        <f t="shared" si="52"/>
        <v>0</v>
      </c>
      <c r="AB86" s="18">
        <f t="shared" si="51"/>
        <v>1</v>
      </c>
      <c r="AC86" s="18">
        <f t="shared" si="51"/>
        <v>1</v>
      </c>
      <c r="AD86" s="18">
        <f t="shared" si="51"/>
        <v>2</v>
      </c>
      <c r="AE86" s="18">
        <f t="shared" si="51"/>
        <v>2</v>
      </c>
      <c r="AF86" s="18">
        <f t="shared" si="51"/>
        <v>0</v>
      </c>
      <c r="AG86" s="18">
        <f t="shared" si="49"/>
        <v>7</v>
      </c>
      <c r="AH86" s="18">
        <f t="shared" si="50"/>
        <v>0.58333333333333337</v>
      </c>
      <c r="AQ86" s="217">
        <v>5.62</v>
      </c>
      <c r="AR86" s="19">
        <f t="shared" si="45"/>
        <v>0.66147550241001773</v>
      </c>
      <c r="AS86" s="19">
        <f t="shared" si="46"/>
        <v>4.630328516870124</v>
      </c>
      <c r="AT86" s="19">
        <f t="shared" si="47"/>
        <v>6.281475502410018</v>
      </c>
      <c r="AU86" s="19">
        <f t="shared" si="48"/>
        <v>43.970328516870126</v>
      </c>
    </row>
    <row r="87" spans="1:48" outlineLevel="1" x14ac:dyDescent="0.25">
      <c r="A87" s="1" t="str">
        <f t="shared" si="39"/>
        <v>VashonCommercialDRIVEDWAY-COMM</v>
      </c>
      <c r="B87" s="1" t="s">
        <v>121</v>
      </c>
      <c r="C87" s="1" t="s">
        <v>122</v>
      </c>
      <c r="D87" s="202">
        <f>IFERROR(VLOOKUP(A87,[53]Vashon!$A$10:$S$434,4,FALSE),0)</f>
        <v>2.9</v>
      </c>
      <c r="E87" s="202">
        <f>0.67*4.33</f>
        <v>2.9011</v>
      </c>
      <c r="F87" s="16"/>
      <c r="G87" s="203">
        <v>4.29</v>
      </c>
      <c r="H87" s="203">
        <v>4.29</v>
      </c>
      <c r="I87" s="203">
        <v>4.29</v>
      </c>
      <c r="J87" s="203">
        <v>4.29</v>
      </c>
      <c r="K87" s="203">
        <v>4.29</v>
      </c>
      <c r="L87" s="203">
        <v>2.9</v>
      </c>
      <c r="M87" s="203">
        <v>2.9</v>
      </c>
      <c r="N87" s="17">
        <v>2.9</v>
      </c>
      <c r="O87" s="17">
        <v>2.9</v>
      </c>
      <c r="P87" s="17">
        <v>2.9</v>
      </c>
      <c r="Q87" s="17">
        <v>2.9</v>
      </c>
      <c r="R87" s="17">
        <v>5.8</v>
      </c>
      <c r="S87" s="17">
        <v>44.649999999999991</v>
      </c>
      <c r="U87" s="18">
        <f t="shared" si="52"/>
        <v>1.4793103448275862</v>
      </c>
      <c r="V87" s="18">
        <f t="shared" si="52"/>
        <v>1.4793103448275862</v>
      </c>
      <c r="W87" s="18">
        <f t="shared" si="52"/>
        <v>1.4793103448275862</v>
      </c>
      <c r="X87" s="18">
        <f t="shared" si="52"/>
        <v>1.4793103448275862</v>
      </c>
      <c r="Y87" s="18">
        <f t="shared" si="52"/>
        <v>1.4793103448275862</v>
      </c>
      <c r="Z87" s="18">
        <f t="shared" si="52"/>
        <v>1</v>
      </c>
      <c r="AA87" s="18">
        <f t="shared" si="52"/>
        <v>1</v>
      </c>
      <c r="AB87" s="18">
        <f t="shared" si="51"/>
        <v>0.99962083347695696</v>
      </c>
      <c r="AC87" s="18">
        <f t="shared" si="51"/>
        <v>0.99962083347695696</v>
      </c>
      <c r="AD87" s="18">
        <f t="shared" si="51"/>
        <v>0.99962083347695696</v>
      </c>
      <c r="AE87" s="18">
        <f t="shared" si="51"/>
        <v>0.99962083347695696</v>
      </c>
      <c r="AF87" s="18">
        <f t="shared" si="51"/>
        <v>1.9992416669539139</v>
      </c>
      <c r="AG87" s="18">
        <f t="shared" si="49"/>
        <v>15.394276724999672</v>
      </c>
      <c r="AH87" s="18">
        <f t="shared" si="50"/>
        <v>1.2828563937499726</v>
      </c>
      <c r="AQ87" s="217">
        <v>2.9</v>
      </c>
      <c r="AR87" s="19">
        <f t="shared" si="45"/>
        <v>0.34133077526495575</v>
      </c>
      <c r="AS87" s="19">
        <f t="shared" si="46"/>
        <v>5.2545404091874017</v>
      </c>
      <c r="AT87" s="19">
        <f t="shared" si="47"/>
        <v>3.2413307752649558</v>
      </c>
      <c r="AU87" s="19">
        <f t="shared" si="48"/>
        <v>49.904540409187391</v>
      </c>
    </row>
    <row r="88" spans="1:48" outlineLevel="1" x14ac:dyDescent="0.25">
      <c r="A88" s="1" t="str">
        <f t="shared" si="39"/>
        <v>VashonCommercialDRIVEPVT-COMM</v>
      </c>
      <c r="B88" s="1" t="s">
        <v>123</v>
      </c>
      <c r="C88" s="1" t="s">
        <v>124</v>
      </c>
      <c r="D88" s="202">
        <f>IFERROR(VLOOKUP(A88,[53]Vashon!$A$10:$S$434,4,FALSE),0)</f>
        <v>6.06</v>
      </c>
      <c r="E88" s="202">
        <f>1.4*4.33</f>
        <v>6.0619999999999994</v>
      </c>
      <c r="F88" s="16"/>
      <c r="G88" s="203">
        <v>6.06</v>
      </c>
      <c r="H88" s="203">
        <v>6.06</v>
      </c>
      <c r="I88" s="203">
        <v>6.06</v>
      </c>
      <c r="J88" s="203">
        <v>6.06</v>
      </c>
      <c r="K88" s="203">
        <v>6.06</v>
      </c>
      <c r="L88" s="203">
        <v>6.06</v>
      </c>
      <c r="M88" s="203">
        <v>6.06</v>
      </c>
      <c r="N88" s="17">
        <v>6.06</v>
      </c>
      <c r="O88" s="17">
        <v>6.06</v>
      </c>
      <c r="P88" s="17">
        <v>6.06</v>
      </c>
      <c r="Q88" s="17">
        <v>6.06</v>
      </c>
      <c r="R88" s="17">
        <v>6.06</v>
      </c>
      <c r="S88" s="17">
        <v>72.720000000000013</v>
      </c>
      <c r="U88" s="18">
        <f t="shared" si="52"/>
        <v>1</v>
      </c>
      <c r="V88" s="18">
        <f t="shared" si="52"/>
        <v>1</v>
      </c>
      <c r="W88" s="18">
        <f t="shared" si="52"/>
        <v>1</v>
      </c>
      <c r="X88" s="18">
        <f t="shared" si="52"/>
        <v>1</v>
      </c>
      <c r="Y88" s="18">
        <f t="shared" si="52"/>
        <v>1</v>
      </c>
      <c r="Z88" s="18">
        <f t="shared" si="52"/>
        <v>1</v>
      </c>
      <c r="AA88" s="18">
        <f t="shared" si="52"/>
        <v>1</v>
      </c>
      <c r="AB88" s="18">
        <f t="shared" si="51"/>
        <v>0.99967007588254708</v>
      </c>
      <c r="AC88" s="18">
        <f t="shared" si="51"/>
        <v>0.99967007588254708</v>
      </c>
      <c r="AD88" s="18">
        <f t="shared" si="51"/>
        <v>0.99967007588254708</v>
      </c>
      <c r="AE88" s="18">
        <f t="shared" si="51"/>
        <v>0.99967007588254708</v>
      </c>
      <c r="AF88" s="18">
        <f t="shared" si="51"/>
        <v>0.99967007588254708</v>
      </c>
      <c r="AG88" s="18">
        <f t="shared" si="49"/>
        <v>11.998350379412734</v>
      </c>
      <c r="AH88" s="18">
        <f t="shared" si="50"/>
        <v>0.99986253161772787</v>
      </c>
      <c r="AQ88" s="217">
        <v>6.06</v>
      </c>
      <c r="AR88" s="19">
        <f t="shared" si="45"/>
        <v>0.71326362003642474</v>
      </c>
      <c r="AS88" s="19">
        <f t="shared" si="46"/>
        <v>8.5579868260853367</v>
      </c>
      <c r="AT88" s="19">
        <f t="shared" si="47"/>
        <v>6.773263620036424</v>
      </c>
      <c r="AU88" s="19">
        <f t="shared" si="48"/>
        <v>81.277986826085353</v>
      </c>
    </row>
    <row r="89" spans="1:48" outlineLevel="1" x14ac:dyDescent="0.25">
      <c r="A89" s="1" t="str">
        <f t="shared" si="39"/>
        <v>VashonCommercialDRVNC</v>
      </c>
      <c r="B89" s="1" t="s">
        <v>351</v>
      </c>
      <c r="C89" s="1" t="s">
        <v>352</v>
      </c>
      <c r="D89" s="202">
        <f>0.67*4.33</f>
        <v>2.9011</v>
      </c>
      <c r="E89" s="202">
        <f>0.67*4.33</f>
        <v>2.9011</v>
      </c>
      <c r="F89" s="16"/>
      <c r="G89" s="218">
        <v>0</v>
      </c>
      <c r="H89" s="218">
        <v>0</v>
      </c>
      <c r="I89" s="218">
        <v>0</v>
      </c>
      <c r="J89" s="218">
        <v>0</v>
      </c>
      <c r="K89" s="218">
        <v>0</v>
      </c>
      <c r="L89" s="218">
        <v>0</v>
      </c>
      <c r="M89" s="218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U89" s="18">
        <f t="shared" si="52"/>
        <v>0</v>
      </c>
      <c r="V89" s="18">
        <f t="shared" si="52"/>
        <v>0</v>
      </c>
      <c r="W89" s="18">
        <f t="shared" si="52"/>
        <v>0</v>
      </c>
      <c r="X89" s="18">
        <f t="shared" si="52"/>
        <v>0</v>
      </c>
      <c r="Y89" s="18">
        <f t="shared" si="52"/>
        <v>0</v>
      </c>
      <c r="Z89" s="18">
        <f t="shared" si="52"/>
        <v>0</v>
      </c>
      <c r="AA89" s="18">
        <f t="shared" si="52"/>
        <v>0</v>
      </c>
      <c r="AB89" s="18">
        <f t="shared" si="51"/>
        <v>0</v>
      </c>
      <c r="AC89" s="18">
        <f t="shared" si="51"/>
        <v>0</v>
      </c>
      <c r="AD89" s="18">
        <f t="shared" si="51"/>
        <v>0</v>
      </c>
      <c r="AE89" s="18">
        <f t="shared" si="51"/>
        <v>0</v>
      </c>
      <c r="AF89" s="18">
        <f t="shared" si="51"/>
        <v>0</v>
      </c>
      <c r="AG89" s="18">
        <f t="shared" si="49"/>
        <v>0</v>
      </c>
      <c r="AH89" s="18">
        <f t="shared" si="50"/>
        <v>0</v>
      </c>
      <c r="AN89" s="186">
        <f t="shared" ref="AN89:AN91" si="53">AM89*AH89</f>
        <v>0</v>
      </c>
      <c r="AO89" s="2"/>
      <c r="AP89" s="16"/>
      <c r="AQ89" s="217">
        <v>2.9</v>
      </c>
      <c r="AR89" s="19">
        <f t="shared" si="45"/>
        <v>0.34133077526495575</v>
      </c>
      <c r="AS89" s="19">
        <f t="shared" si="46"/>
        <v>0</v>
      </c>
      <c r="AT89" s="19">
        <f t="shared" si="47"/>
        <v>3.2413307752649558</v>
      </c>
      <c r="AU89" s="19">
        <f t="shared" si="48"/>
        <v>0</v>
      </c>
    </row>
    <row r="90" spans="1:48" outlineLevel="1" x14ac:dyDescent="0.25">
      <c r="A90" s="1" t="str">
        <f t="shared" si="39"/>
        <v>VashonCommercialTIMEC</v>
      </c>
      <c r="B90" s="1" t="s">
        <v>353</v>
      </c>
      <c r="C90" s="1" t="s">
        <v>354</v>
      </c>
      <c r="D90" s="202">
        <f>IFERROR(VLOOKUP(A90,[53]Vashon!$A$10:$S$434,4,FALSE),0)</f>
        <v>79.28</v>
      </c>
      <c r="E90" s="202">
        <f>IFERROR(VLOOKUP(A90,'[51]PI Default Pricing 3.1.21'!A:L,12,FALSE),0)</f>
        <v>79.28</v>
      </c>
      <c r="F90" s="16"/>
      <c r="G90" s="218">
        <v>0</v>
      </c>
      <c r="H90" s="218">
        <v>0</v>
      </c>
      <c r="I90" s="218">
        <v>0</v>
      </c>
      <c r="J90" s="218">
        <v>0</v>
      </c>
      <c r="K90" s="218">
        <v>0</v>
      </c>
      <c r="L90" s="218">
        <v>0</v>
      </c>
      <c r="M90" s="218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U90" s="18">
        <f t="shared" si="52"/>
        <v>0</v>
      </c>
      <c r="V90" s="18">
        <f t="shared" si="52"/>
        <v>0</v>
      </c>
      <c r="W90" s="18">
        <f t="shared" si="52"/>
        <v>0</v>
      </c>
      <c r="X90" s="18">
        <f t="shared" si="52"/>
        <v>0</v>
      </c>
      <c r="Y90" s="18">
        <f t="shared" si="52"/>
        <v>0</v>
      </c>
      <c r="Z90" s="18">
        <f t="shared" si="52"/>
        <v>0</v>
      </c>
      <c r="AA90" s="18">
        <f t="shared" si="52"/>
        <v>0</v>
      </c>
      <c r="AB90" s="18">
        <f t="shared" ref="AB90:AF90" si="54">+IFERROR(N90/$E90,0)</f>
        <v>0</v>
      </c>
      <c r="AC90" s="18">
        <f t="shared" si="54"/>
        <v>0</v>
      </c>
      <c r="AD90" s="18">
        <f t="shared" si="54"/>
        <v>0</v>
      </c>
      <c r="AE90" s="18">
        <f t="shared" si="54"/>
        <v>0</v>
      </c>
      <c r="AF90" s="18">
        <f t="shared" si="54"/>
        <v>0</v>
      </c>
      <c r="AG90" s="18">
        <f t="shared" si="49"/>
        <v>0</v>
      </c>
      <c r="AH90" s="18">
        <f t="shared" si="50"/>
        <v>0</v>
      </c>
      <c r="AN90" s="186">
        <f t="shared" si="53"/>
        <v>0</v>
      </c>
      <c r="AO90" s="2"/>
      <c r="AP90" s="16"/>
      <c r="AQ90" s="217">
        <v>79.28</v>
      </c>
      <c r="AR90" s="19">
        <f t="shared" si="45"/>
        <v>9.3312771941398935</v>
      </c>
      <c r="AS90" s="19">
        <f t="shared" si="46"/>
        <v>0</v>
      </c>
      <c r="AT90" s="19">
        <f t="shared" si="47"/>
        <v>88.611277194139888</v>
      </c>
      <c r="AU90" s="19">
        <f t="shared" si="48"/>
        <v>0</v>
      </c>
    </row>
    <row r="91" spans="1:48" ht="15.75" outlineLevel="1" thickBot="1" x14ac:dyDescent="0.3">
      <c r="B91" s="23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7"/>
      <c r="Q91" s="17"/>
      <c r="R91" s="17"/>
      <c r="S91" s="17"/>
      <c r="AB91" s="18"/>
      <c r="AC91" s="18"/>
      <c r="AD91" s="18"/>
      <c r="AE91" s="18"/>
      <c r="AF91" s="18"/>
      <c r="AG91" s="18"/>
      <c r="AH91" s="18"/>
      <c r="AN91" s="186">
        <f t="shared" si="53"/>
        <v>0</v>
      </c>
      <c r="AO91" s="2"/>
      <c r="AP91" s="16"/>
      <c r="AQ91" s="16"/>
      <c r="AR91" s="19">
        <f t="shared" si="45"/>
        <v>0</v>
      </c>
      <c r="AS91" s="19">
        <f t="shared" si="46"/>
        <v>0</v>
      </c>
      <c r="AT91" s="19">
        <f t="shared" si="47"/>
        <v>0</v>
      </c>
      <c r="AU91" s="19">
        <f t="shared" si="48"/>
        <v>0</v>
      </c>
    </row>
    <row r="92" spans="1:48" ht="15.75" outlineLevel="1" thickBot="1" x14ac:dyDescent="0.3">
      <c r="C92" s="3" t="s">
        <v>125</v>
      </c>
      <c r="D92" s="3"/>
      <c r="E92" s="16"/>
      <c r="F92" s="16"/>
      <c r="G92" s="20">
        <f>+SUM(G57:G91)</f>
        <v>31256.46</v>
      </c>
      <c r="H92" s="20">
        <f t="shared" ref="H92:S92" si="55">+SUM(H57:H91)</f>
        <v>31543.82</v>
      </c>
      <c r="I92" s="20">
        <f t="shared" si="55"/>
        <v>31957.785</v>
      </c>
      <c r="J92" s="20">
        <f t="shared" si="55"/>
        <v>31762.175000000003</v>
      </c>
      <c r="K92" s="20">
        <f t="shared" si="55"/>
        <v>31533.155000000006</v>
      </c>
      <c r="L92" s="20">
        <f t="shared" si="55"/>
        <v>31842.590000000007</v>
      </c>
      <c r="M92" s="20">
        <f t="shared" si="55"/>
        <v>30682.560000000001</v>
      </c>
      <c r="N92" s="20">
        <f t="shared" si="55"/>
        <v>31172.265000000007</v>
      </c>
      <c r="O92" s="20">
        <f t="shared" si="55"/>
        <v>31693.790000000005</v>
      </c>
      <c r="P92" s="20">
        <f t="shared" si="55"/>
        <v>31670.370000000003</v>
      </c>
      <c r="Q92" s="20">
        <f t="shared" si="55"/>
        <v>31883.840000000004</v>
      </c>
      <c r="R92" s="20">
        <f t="shared" si="55"/>
        <v>32723.540000000008</v>
      </c>
      <c r="S92" s="20">
        <f t="shared" si="55"/>
        <v>379722.35</v>
      </c>
      <c r="U92" s="20">
        <f>+SUM(U57:U75)</f>
        <v>238.61368750183442</v>
      </c>
      <c r="V92" s="20">
        <f t="shared" ref="V92:AG92" si="56">+SUM(V57:V75)</f>
        <v>237.73908416442956</v>
      </c>
      <c r="W92" s="20">
        <f t="shared" si="56"/>
        <v>236.98041244963954</v>
      </c>
      <c r="X92" s="20">
        <f t="shared" si="56"/>
        <v>240.11373782246122</v>
      </c>
      <c r="Y92" s="20">
        <f t="shared" si="56"/>
        <v>237.48925374699323</v>
      </c>
      <c r="Z92" s="20">
        <f t="shared" si="56"/>
        <v>242.48914338799983</v>
      </c>
      <c r="AA92" s="20">
        <f t="shared" si="56"/>
        <v>234.48867532706592</v>
      </c>
      <c r="AB92" s="20">
        <f t="shared" si="56"/>
        <v>230.34915039828812</v>
      </c>
      <c r="AC92" s="20">
        <f t="shared" si="56"/>
        <v>239.99793106229589</v>
      </c>
      <c r="AD92" s="20">
        <f t="shared" si="56"/>
        <v>238.62271946476585</v>
      </c>
      <c r="AE92" s="20">
        <f t="shared" si="56"/>
        <v>239.99804832612185</v>
      </c>
      <c r="AF92" s="20">
        <f t="shared" si="56"/>
        <v>246.49824212298202</v>
      </c>
      <c r="AG92" s="20">
        <f t="shared" si="56"/>
        <v>2863.380085774877</v>
      </c>
      <c r="AH92" s="20">
        <f>+SUM(AH57:AH75)</f>
        <v>238.61500714790648</v>
      </c>
      <c r="AI92" s="1" t="s">
        <v>355</v>
      </c>
      <c r="AJ92" s="208">
        <f>+SUMIF(AJ56:AJ91,"&lt;&gt;",$AN56:$AN91)</f>
        <v>0</v>
      </c>
      <c r="AK92" s="208">
        <f t="shared" ref="AK92:AL92" si="57">+SUMIF(AK56:AK91,"&lt;&gt;",$AN56:$AN91)</f>
        <v>0</v>
      </c>
      <c r="AL92" s="208">
        <f t="shared" si="57"/>
        <v>227.9292028992671</v>
      </c>
      <c r="AM92" s="209"/>
      <c r="AN92" s="219">
        <f>+SUM(AN63:AN79)</f>
        <v>227.9292028992671</v>
      </c>
      <c r="AO92" s="214" t="s">
        <v>333</v>
      </c>
      <c r="AP92" s="211">
        <f>+SUM(AJ92:AL92)-AN92</f>
        <v>0</v>
      </c>
      <c r="AQ92" s="211"/>
      <c r="AR92" s="212"/>
      <c r="AS92" s="213">
        <f>SUM(AS57:AS91)</f>
        <v>47895.512743862528</v>
      </c>
      <c r="AT92" s="212"/>
      <c r="AU92" s="213">
        <f>SUM(AU57:AU91)</f>
        <v>427617.86274386256</v>
      </c>
      <c r="AV92" s="4">
        <f>+AS92/S92</f>
        <v>0.12613298307003137</v>
      </c>
    </row>
    <row r="93" spans="1:48" outlineLevel="1" x14ac:dyDescent="0.25">
      <c r="C93" s="3"/>
      <c r="D93" s="3"/>
      <c r="E93" s="16"/>
      <c r="F93" s="16"/>
      <c r="G93" s="16"/>
      <c r="H93" s="16"/>
      <c r="I93" s="16"/>
      <c r="J93" s="16"/>
      <c r="K93" s="16"/>
      <c r="L93" s="16"/>
      <c r="M93" s="16"/>
      <c r="N93" s="17"/>
      <c r="O93" s="17"/>
      <c r="P93" s="17"/>
      <c r="Q93" s="17"/>
      <c r="R93" s="17"/>
      <c r="S93" s="17"/>
      <c r="AB93" s="18"/>
      <c r="AC93" s="18"/>
      <c r="AD93" s="18"/>
      <c r="AE93" s="18"/>
      <c r="AF93" s="18"/>
      <c r="AG93" s="239">
        <f>SUM(AG57:AG79,AG81:AG82)</f>
        <v>4229.3775203567138</v>
      </c>
      <c r="AH93" s="18">
        <f>SUM(AH57:AH82)</f>
        <v>356.02893546331768</v>
      </c>
    </row>
    <row r="94" spans="1:48" outlineLevel="1" x14ac:dyDescent="0.25">
      <c r="C94" s="3"/>
      <c r="D94" s="3"/>
      <c r="E94" s="16"/>
      <c r="F94" s="16"/>
      <c r="G94" s="16"/>
      <c r="H94" s="16"/>
      <c r="I94" s="16"/>
      <c r="J94" s="16"/>
      <c r="K94" s="16"/>
      <c r="L94" s="16"/>
      <c r="M94" s="16"/>
      <c r="N94" s="21"/>
      <c r="O94" s="21"/>
      <c r="P94" s="21"/>
      <c r="Q94" s="21"/>
      <c r="R94" s="21"/>
      <c r="S94" s="21"/>
      <c r="AB94" s="18"/>
      <c r="AC94" s="18"/>
      <c r="AD94" s="18"/>
      <c r="AE94" s="18"/>
      <c r="AF94" s="18"/>
      <c r="AG94" s="239">
        <f ca="1">+AG93-'DF Calculation'!D40</f>
        <v>0</v>
      </c>
      <c r="AH94" s="18"/>
    </row>
    <row r="95" spans="1:48" outlineLevel="1" x14ac:dyDescent="0.25">
      <c r="A95" s="1" t="s">
        <v>356</v>
      </c>
      <c r="B95" s="2" t="s">
        <v>357</v>
      </c>
      <c r="C95" s="3"/>
      <c r="D95" s="3"/>
      <c r="E95" s="16"/>
      <c r="F95" s="16"/>
      <c r="G95" s="16"/>
      <c r="H95" s="16"/>
      <c r="I95" s="16"/>
      <c r="J95" s="16"/>
      <c r="K95" s="16"/>
      <c r="L95" s="16"/>
      <c r="M95" s="16"/>
      <c r="N95" s="17"/>
      <c r="O95" s="17"/>
      <c r="P95" s="17"/>
      <c r="Q95" s="17"/>
      <c r="R95" s="17"/>
      <c r="S95" s="17"/>
      <c r="AB95" s="18"/>
      <c r="AC95" s="18"/>
      <c r="AD95" s="18"/>
      <c r="AE95" s="18"/>
      <c r="AF95" s="18"/>
      <c r="AG95" s="18"/>
      <c r="AH95" s="18"/>
    </row>
    <row r="96" spans="1:48" outlineLevel="1" x14ac:dyDescent="0.25">
      <c r="E96" s="16"/>
      <c r="F96" s="16"/>
      <c r="G96" s="16"/>
      <c r="H96" s="16"/>
      <c r="I96" s="16"/>
      <c r="J96" s="16"/>
      <c r="K96" s="16"/>
      <c r="L96" s="16"/>
      <c r="M96" s="16"/>
      <c r="N96" s="5"/>
      <c r="O96" s="5"/>
      <c r="P96" s="5"/>
      <c r="Q96" s="5"/>
      <c r="R96" s="5"/>
      <c r="S96" s="5"/>
      <c r="T96" s="1"/>
      <c r="U96" s="1"/>
      <c r="V96" s="1"/>
      <c r="W96" s="1"/>
      <c r="X96" s="1"/>
      <c r="Y96" s="1"/>
      <c r="Z96" s="1"/>
      <c r="AA96" s="1"/>
      <c r="AB96" s="18"/>
      <c r="AC96" s="18"/>
      <c r="AD96" s="18"/>
      <c r="AE96" s="18"/>
      <c r="AF96" s="18"/>
      <c r="AG96" s="18"/>
      <c r="AH96" s="18"/>
    </row>
    <row r="97" spans="1:47" ht="15.75" outlineLevel="1" thickBot="1" x14ac:dyDescent="0.3">
      <c r="C97" s="3" t="s">
        <v>358</v>
      </c>
      <c r="D97" s="3"/>
      <c r="E97" s="16"/>
      <c r="F97" s="16"/>
      <c r="G97" s="20">
        <f t="shared" ref="G97:S97" si="58">SUM(G96:G96)</f>
        <v>0</v>
      </c>
      <c r="H97" s="20">
        <f t="shared" si="58"/>
        <v>0</v>
      </c>
      <c r="I97" s="20">
        <f t="shared" si="58"/>
        <v>0</v>
      </c>
      <c r="J97" s="20">
        <f t="shared" si="58"/>
        <v>0</v>
      </c>
      <c r="K97" s="20">
        <f t="shared" si="58"/>
        <v>0</v>
      </c>
      <c r="L97" s="20">
        <f t="shared" si="58"/>
        <v>0</v>
      </c>
      <c r="M97" s="20">
        <f t="shared" si="58"/>
        <v>0</v>
      </c>
      <c r="N97" s="20">
        <f t="shared" si="58"/>
        <v>0</v>
      </c>
      <c r="O97" s="20">
        <f t="shared" si="58"/>
        <v>0</v>
      </c>
      <c r="P97" s="20">
        <f t="shared" si="58"/>
        <v>0</v>
      </c>
      <c r="Q97" s="20">
        <f t="shared" si="58"/>
        <v>0</v>
      </c>
      <c r="R97" s="20">
        <f t="shared" si="58"/>
        <v>0</v>
      </c>
      <c r="S97" s="20">
        <f t="shared" si="58"/>
        <v>0</v>
      </c>
      <c r="U97" s="20">
        <f t="shared" ref="U97:AH97" si="59">SUM(U96:U96)</f>
        <v>0</v>
      </c>
      <c r="V97" s="20">
        <f t="shared" si="59"/>
        <v>0</v>
      </c>
      <c r="W97" s="20">
        <f t="shared" si="59"/>
        <v>0</v>
      </c>
      <c r="X97" s="20">
        <f t="shared" si="59"/>
        <v>0</v>
      </c>
      <c r="Y97" s="20">
        <f t="shared" si="59"/>
        <v>0</v>
      </c>
      <c r="Z97" s="20">
        <f t="shared" si="59"/>
        <v>0</v>
      </c>
      <c r="AA97" s="20">
        <f t="shared" si="59"/>
        <v>0</v>
      </c>
      <c r="AB97" s="20">
        <f t="shared" si="59"/>
        <v>0</v>
      </c>
      <c r="AC97" s="20">
        <f t="shared" si="59"/>
        <v>0</v>
      </c>
      <c r="AD97" s="20">
        <f t="shared" si="59"/>
        <v>0</v>
      </c>
      <c r="AE97" s="20">
        <f t="shared" si="59"/>
        <v>0</v>
      </c>
      <c r="AF97" s="20">
        <f t="shared" si="59"/>
        <v>0</v>
      </c>
      <c r="AG97" s="20">
        <f t="shared" si="59"/>
        <v>0</v>
      </c>
      <c r="AH97" s="20">
        <f t="shared" si="59"/>
        <v>0</v>
      </c>
      <c r="AR97" s="220"/>
      <c r="AS97" s="220"/>
      <c r="AT97" s="220"/>
      <c r="AU97" s="220">
        <f>+AS97+S97</f>
        <v>0</v>
      </c>
    </row>
    <row r="98" spans="1:47" outlineLevel="1" x14ac:dyDescent="0.25">
      <c r="C98" s="3"/>
      <c r="D98" s="3"/>
      <c r="E98" s="16"/>
      <c r="F98" s="16"/>
      <c r="G98" s="16"/>
      <c r="H98" s="16"/>
      <c r="I98" s="16"/>
      <c r="J98" s="16"/>
      <c r="K98" s="16"/>
      <c r="L98" s="16"/>
      <c r="M98" s="16"/>
      <c r="N98" s="17"/>
      <c r="O98" s="17"/>
      <c r="P98" s="17"/>
      <c r="Q98" s="17"/>
      <c r="R98" s="17"/>
      <c r="S98" s="17"/>
      <c r="AB98" s="18"/>
      <c r="AC98" s="18"/>
      <c r="AD98" s="18"/>
      <c r="AE98" s="18"/>
      <c r="AF98" s="18"/>
      <c r="AG98" s="18"/>
      <c r="AH98" s="18"/>
    </row>
    <row r="99" spans="1:47" outlineLevel="1" x14ac:dyDescent="0.25">
      <c r="B99" s="2" t="s">
        <v>359</v>
      </c>
      <c r="C99" s="3"/>
      <c r="D99" s="3"/>
      <c r="E99" s="16"/>
      <c r="F99" s="16"/>
      <c r="G99" s="16"/>
      <c r="H99" s="16"/>
      <c r="I99" s="16"/>
      <c r="J99" s="16"/>
      <c r="K99" s="16"/>
      <c r="L99" s="16"/>
      <c r="M99" s="16"/>
      <c r="N99" s="17"/>
      <c r="O99" s="17"/>
      <c r="P99" s="17"/>
      <c r="Q99" s="17"/>
      <c r="R99" s="17"/>
      <c r="S99" s="17"/>
      <c r="AB99" s="18"/>
      <c r="AC99" s="18"/>
      <c r="AD99" s="18"/>
      <c r="AE99" s="18"/>
      <c r="AF99" s="18"/>
      <c r="AG99" s="18"/>
      <c r="AH99" s="18"/>
    </row>
    <row r="100" spans="1:47" outlineLevel="1" x14ac:dyDescent="0.25">
      <c r="C100" s="3"/>
      <c r="D100" s="3"/>
      <c r="E100" s="16"/>
      <c r="F100" s="16"/>
      <c r="G100" s="16"/>
      <c r="H100" s="16"/>
      <c r="I100" s="16"/>
      <c r="J100" s="16"/>
      <c r="K100" s="16"/>
      <c r="L100" s="16"/>
      <c r="M100" s="16"/>
      <c r="N100" s="17"/>
      <c r="O100" s="17"/>
      <c r="P100" s="17"/>
      <c r="Q100" s="17"/>
      <c r="R100" s="17"/>
      <c r="S100" s="17"/>
      <c r="AB100" s="18"/>
      <c r="AC100" s="18"/>
      <c r="AD100" s="18"/>
      <c r="AE100" s="18"/>
      <c r="AF100" s="18"/>
      <c r="AG100" s="18"/>
      <c r="AH100" s="18"/>
    </row>
    <row r="101" spans="1:47" ht="15.75" outlineLevel="1" thickBot="1" x14ac:dyDescent="0.3">
      <c r="C101" s="3" t="s">
        <v>360</v>
      </c>
      <c r="D101" s="3"/>
      <c r="E101" s="16"/>
      <c r="F101" s="16"/>
      <c r="G101" s="20">
        <f t="shared" ref="G101:S101" si="60">SUM(G100:G100)</f>
        <v>0</v>
      </c>
      <c r="H101" s="20">
        <f t="shared" si="60"/>
        <v>0</v>
      </c>
      <c r="I101" s="20">
        <f t="shared" si="60"/>
        <v>0</v>
      </c>
      <c r="J101" s="20">
        <f t="shared" si="60"/>
        <v>0</v>
      </c>
      <c r="K101" s="20">
        <f t="shared" si="60"/>
        <v>0</v>
      </c>
      <c r="L101" s="20">
        <f t="shared" si="60"/>
        <v>0</v>
      </c>
      <c r="M101" s="20">
        <f t="shared" si="60"/>
        <v>0</v>
      </c>
      <c r="N101" s="20">
        <f t="shared" si="60"/>
        <v>0</v>
      </c>
      <c r="O101" s="20">
        <f t="shared" si="60"/>
        <v>0</v>
      </c>
      <c r="P101" s="20">
        <f t="shared" si="60"/>
        <v>0</v>
      </c>
      <c r="Q101" s="20">
        <f t="shared" si="60"/>
        <v>0</v>
      </c>
      <c r="R101" s="20">
        <f t="shared" si="60"/>
        <v>0</v>
      </c>
      <c r="S101" s="20">
        <f t="shared" si="60"/>
        <v>0</v>
      </c>
      <c r="U101" s="20">
        <f t="shared" ref="U101:AH101" si="61">SUM(U100:U100)</f>
        <v>0</v>
      </c>
      <c r="V101" s="20">
        <f t="shared" si="61"/>
        <v>0</v>
      </c>
      <c r="W101" s="20">
        <f t="shared" si="61"/>
        <v>0</v>
      </c>
      <c r="X101" s="20">
        <f t="shared" si="61"/>
        <v>0</v>
      </c>
      <c r="Y101" s="20">
        <f t="shared" si="61"/>
        <v>0</v>
      </c>
      <c r="Z101" s="20">
        <f t="shared" si="61"/>
        <v>0</v>
      </c>
      <c r="AA101" s="20">
        <f t="shared" si="61"/>
        <v>0</v>
      </c>
      <c r="AB101" s="20">
        <f t="shared" si="61"/>
        <v>0</v>
      </c>
      <c r="AC101" s="20">
        <f t="shared" si="61"/>
        <v>0</v>
      </c>
      <c r="AD101" s="20">
        <f t="shared" si="61"/>
        <v>0</v>
      </c>
      <c r="AE101" s="20">
        <f t="shared" si="61"/>
        <v>0</v>
      </c>
      <c r="AF101" s="20">
        <f t="shared" si="61"/>
        <v>0</v>
      </c>
      <c r="AG101" s="20">
        <f t="shared" si="61"/>
        <v>0</v>
      </c>
      <c r="AH101" s="20">
        <f t="shared" si="61"/>
        <v>0</v>
      </c>
      <c r="AR101" s="220"/>
      <c r="AS101" s="220"/>
      <c r="AT101" s="220"/>
      <c r="AU101" s="220">
        <f>+AS101+S101</f>
        <v>0</v>
      </c>
    </row>
    <row r="102" spans="1:47" outlineLevel="1" x14ac:dyDescent="0.25">
      <c r="C102" s="3"/>
      <c r="D102" s="3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7"/>
      <c r="P102" s="17"/>
      <c r="Q102" s="17"/>
      <c r="R102" s="17"/>
      <c r="S102" s="17"/>
      <c r="AB102" s="17"/>
      <c r="AC102" s="17"/>
      <c r="AD102" s="17"/>
      <c r="AE102" s="17"/>
      <c r="AF102" s="17"/>
      <c r="AG102" s="17"/>
      <c r="AH102" s="17"/>
    </row>
    <row r="103" spans="1:47" outlineLevel="1" x14ac:dyDescent="0.25"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7"/>
      <c r="P103" s="17"/>
      <c r="Q103" s="17"/>
      <c r="R103" s="17"/>
      <c r="S103" s="17"/>
      <c r="AB103" s="17"/>
      <c r="AC103" s="17"/>
      <c r="AD103" s="17"/>
      <c r="AE103" s="17"/>
      <c r="AF103" s="17"/>
      <c r="AG103" s="17"/>
      <c r="AH103" s="17"/>
    </row>
    <row r="104" spans="1:47" s="2" customFormat="1" x14ac:dyDescent="0.25">
      <c r="B104" s="2" t="s">
        <v>126</v>
      </c>
      <c r="E104" s="16"/>
      <c r="F104" s="16"/>
      <c r="G104" s="22">
        <f t="shared" ref="G104:S104" si="62">+G92+G97+G101</f>
        <v>31256.46</v>
      </c>
      <c r="H104" s="22">
        <f t="shared" si="62"/>
        <v>31543.82</v>
      </c>
      <c r="I104" s="22">
        <f t="shared" si="62"/>
        <v>31957.785</v>
      </c>
      <c r="J104" s="22">
        <f t="shared" si="62"/>
        <v>31762.175000000003</v>
      </c>
      <c r="K104" s="22">
        <f t="shared" si="62"/>
        <v>31533.155000000006</v>
      </c>
      <c r="L104" s="22">
        <f t="shared" si="62"/>
        <v>31842.590000000007</v>
      </c>
      <c r="M104" s="22">
        <f t="shared" si="62"/>
        <v>30682.560000000001</v>
      </c>
      <c r="N104" s="22">
        <f t="shared" si="62"/>
        <v>31172.265000000007</v>
      </c>
      <c r="O104" s="22">
        <f t="shared" si="62"/>
        <v>31693.790000000005</v>
      </c>
      <c r="P104" s="22">
        <f t="shared" si="62"/>
        <v>31670.370000000003</v>
      </c>
      <c r="Q104" s="22">
        <f t="shared" si="62"/>
        <v>31883.840000000004</v>
      </c>
      <c r="R104" s="22">
        <f t="shared" si="62"/>
        <v>32723.540000000008</v>
      </c>
      <c r="S104" s="22">
        <f t="shared" si="62"/>
        <v>379722.35</v>
      </c>
      <c r="T104" s="184"/>
      <c r="U104" s="22">
        <f>+U92+U97+U101</f>
        <v>238.61368750183442</v>
      </c>
      <c r="V104" s="22">
        <f t="shared" ref="V104:AH104" si="63">+V92+V97+V101</f>
        <v>237.73908416442956</v>
      </c>
      <c r="W104" s="22">
        <f t="shared" si="63"/>
        <v>236.98041244963954</v>
      </c>
      <c r="X104" s="22">
        <f t="shared" si="63"/>
        <v>240.11373782246122</v>
      </c>
      <c r="Y104" s="22">
        <f t="shared" si="63"/>
        <v>237.48925374699323</v>
      </c>
      <c r="Z104" s="22">
        <f t="shared" si="63"/>
        <v>242.48914338799983</v>
      </c>
      <c r="AA104" s="22">
        <f t="shared" si="63"/>
        <v>234.48867532706592</v>
      </c>
      <c r="AB104" s="22">
        <f t="shared" si="63"/>
        <v>230.34915039828812</v>
      </c>
      <c r="AC104" s="22">
        <f t="shared" si="63"/>
        <v>239.99793106229589</v>
      </c>
      <c r="AD104" s="22">
        <f t="shared" si="63"/>
        <v>238.62271946476585</v>
      </c>
      <c r="AE104" s="22">
        <f t="shared" si="63"/>
        <v>239.99804832612185</v>
      </c>
      <c r="AF104" s="22">
        <f t="shared" si="63"/>
        <v>246.49824212298202</v>
      </c>
      <c r="AG104" s="22">
        <f t="shared" si="63"/>
        <v>2863.380085774877</v>
      </c>
      <c r="AH104" s="22">
        <f t="shared" si="63"/>
        <v>238.61500714790648</v>
      </c>
      <c r="AJ104" s="185"/>
      <c r="AK104" s="185"/>
      <c r="AL104" s="185"/>
      <c r="AM104" s="185"/>
      <c r="AN104" s="186"/>
      <c r="AR104" s="1"/>
      <c r="AS104" s="1"/>
      <c r="AT104" s="1"/>
      <c r="AU104" s="1"/>
    </row>
    <row r="105" spans="1:47" s="2" customFormat="1" outlineLevel="1" x14ac:dyDescent="0.25"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7"/>
      <c r="P105" s="17"/>
      <c r="Q105" s="17"/>
      <c r="R105" s="17"/>
      <c r="S105" s="17"/>
      <c r="T105" s="184"/>
      <c r="U105" s="184"/>
      <c r="V105" s="184"/>
      <c r="W105" s="184"/>
      <c r="X105" s="184"/>
      <c r="Y105" s="184"/>
      <c r="Z105" s="184"/>
      <c r="AA105" s="184"/>
      <c r="AB105" s="24"/>
      <c r="AC105" s="24"/>
      <c r="AD105" s="24"/>
      <c r="AE105" s="24"/>
      <c r="AF105" s="24"/>
      <c r="AG105" s="24"/>
      <c r="AH105" s="24"/>
      <c r="AJ105" s="185"/>
      <c r="AK105" s="185"/>
      <c r="AL105" s="185"/>
      <c r="AM105" s="185"/>
      <c r="AN105" s="186"/>
    </row>
    <row r="106" spans="1:47" outlineLevel="1" x14ac:dyDescent="0.25"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7"/>
      <c r="P106" s="17"/>
      <c r="Q106" s="17"/>
      <c r="R106" s="17"/>
      <c r="S106" s="17"/>
      <c r="AB106" s="18"/>
      <c r="AC106" s="18"/>
      <c r="AD106" s="18"/>
      <c r="AE106" s="18"/>
      <c r="AF106" s="18"/>
      <c r="AG106" s="18"/>
      <c r="AH106" s="18"/>
    </row>
    <row r="107" spans="1:47" outlineLevel="1" x14ac:dyDescent="0.25">
      <c r="B107" s="12" t="s">
        <v>127</v>
      </c>
      <c r="C107" s="13"/>
      <c r="D107" s="13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7"/>
      <c r="P107" s="17"/>
      <c r="Q107" s="17"/>
      <c r="R107" s="17"/>
      <c r="S107" s="17"/>
      <c r="AB107" s="18"/>
      <c r="AC107" s="18"/>
      <c r="AD107" s="18"/>
      <c r="AE107" s="18"/>
      <c r="AF107" s="18"/>
      <c r="AG107" s="18"/>
      <c r="AH107" s="18"/>
    </row>
    <row r="108" spans="1:47" outlineLevel="1" x14ac:dyDescent="0.25">
      <c r="B108" s="13"/>
      <c r="C108" s="13"/>
      <c r="D108" s="13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7"/>
      <c r="P108" s="17"/>
      <c r="Q108" s="17"/>
      <c r="R108" s="17"/>
      <c r="S108" s="17"/>
      <c r="AB108" s="18"/>
      <c r="AC108" s="18"/>
      <c r="AD108" s="18"/>
      <c r="AE108" s="18"/>
      <c r="AF108" s="18"/>
      <c r="AG108" s="18"/>
      <c r="AH108" s="18"/>
    </row>
    <row r="109" spans="1:47" outlineLevel="1" x14ac:dyDescent="0.25">
      <c r="A109" s="1" t="s">
        <v>361</v>
      </c>
      <c r="B109" s="2" t="s">
        <v>128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7"/>
      <c r="P109" s="17"/>
      <c r="Q109" s="17"/>
      <c r="R109" s="17"/>
      <c r="S109" s="17"/>
      <c r="AB109" s="18"/>
      <c r="AC109" s="18"/>
      <c r="AD109" s="18"/>
      <c r="AE109" s="18"/>
      <c r="AF109" s="18"/>
      <c r="AG109" s="18"/>
      <c r="AH109" s="18"/>
    </row>
    <row r="110" spans="1:47" outlineLevel="1" x14ac:dyDescent="0.25">
      <c r="A110" s="1" t="str">
        <f t="shared" ref="A110:A126" si="64">+$A$5&amp;$A$109&amp;B110</f>
        <v>VashonRoll offROHAUL20</v>
      </c>
      <c r="B110" s="1" t="s">
        <v>129</v>
      </c>
      <c r="C110" s="1" t="s">
        <v>130</v>
      </c>
      <c r="D110" s="202">
        <f>IFERROR(VLOOKUP(B110,[53]Vashon!$B$10:$S$434,4,FALSE),0)</f>
        <v>121.2</v>
      </c>
      <c r="E110" s="202">
        <f>IFERROR(VLOOKUP(A110,'[51]PI Default Pricing 3.1.21'!A:L,12,FALSE),0)</f>
        <v>121.2</v>
      </c>
      <c r="F110" s="16"/>
      <c r="G110" s="218">
        <v>0</v>
      </c>
      <c r="H110" s="218">
        <v>0</v>
      </c>
      <c r="I110" s="218">
        <v>0</v>
      </c>
      <c r="J110" s="218">
        <v>0</v>
      </c>
      <c r="K110" s="218">
        <v>0</v>
      </c>
      <c r="L110" s="218">
        <v>0</v>
      </c>
      <c r="M110" s="218">
        <v>0</v>
      </c>
      <c r="N110" s="17">
        <v>0</v>
      </c>
      <c r="O110" s="17">
        <v>0</v>
      </c>
      <c r="P110" s="17">
        <v>0</v>
      </c>
      <c r="Q110" s="17">
        <v>121.2</v>
      </c>
      <c r="R110" s="17">
        <v>121.2</v>
      </c>
      <c r="S110" s="17">
        <v>242.4</v>
      </c>
      <c r="U110" s="18">
        <f t="shared" ref="U110:AA125" si="65">+IFERROR(G110/$D110,0)</f>
        <v>0</v>
      </c>
      <c r="V110" s="18">
        <f t="shared" si="65"/>
        <v>0</v>
      </c>
      <c r="W110" s="18">
        <f t="shared" si="65"/>
        <v>0</v>
      </c>
      <c r="X110" s="18">
        <f t="shared" si="65"/>
        <v>0</v>
      </c>
      <c r="Y110" s="18">
        <f t="shared" si="65"/>
        <v>0</v>
      </c>
      <c r="Z110" s="18">
        <f t="shared" si="65"/>
        <v>0</v>
      </c>
      <c r="AA110" s="18">
        <f t="shared" si="65"/>
        <v>0</v>
      </c>
      <c r="AB110" s="18">
        <f t="shared" ref="AB110:AF125" si="66">+IFERROR(N110/$E110,0)</f>
        <v>0</v>
      </c>
      <c r="AC110" s="18">
        <f t="shared" si="66"/>
        <v>0</v>
      </c>
      <c r="AD110" s="18">
        <f t="shared" si="66"/>
        <v>0</v>
      </c>
      <c r="AE110" s="18">
        <f t="shared" si="66"/>
        <v>1</v>
      </c>
      <c r="AF110" s="18">
        <f t="shared" si="66"/>
        <v>1</v>
      </c>
      <c r="AG110" s="18">
        <f t="shared" ref="AG110" si="67">SUM(U110:AF110)</f>
        <v>2</v>
      </c>
      <c r="AH110" s="18">
        <f t="shared" ref="AH110" si="68">+SUM(U110:AF110)/$AB$2</f>
        <v>0.16666666666666666</v>
      </c>
      <c r="AQ110" s="217">
        <v>121.2</v>
      </c>
      <c r="AR110" s="19">
        <f t="shared" ref="AR110:AR126" si="69">+$AT$2*AQ110</f>
        <v>14.265272400728495</v>
      </c>
      <c r="AS110" s="19">
        <f t="shared" ref="AS110:AS127" si="70">+AH110*AR110*12</f>
        <v>28.530544801456987</v>
      </c>
      <c r="AT110" s="19">
        <f t="shared" ref="AT110:AT126" si="71">+AR110+AQ110</f>
        <v>135.46527240072851</v>
      </c>
      <c r="AU110" s="19">
        <f t="shared" ref="AU110:AU127" si="72">+AS110+S110</f>
        <v>270.93054480145702</v>
      </c>
    </row>
    <row r="111" spans="1:47" outlineLevel="1" x14ac:dyDescent="0.25">
      <c r="A111" s="1" t="str">
        <f t="shared" si="64"/>
        <v>VashonRoll offROHAUL20T</v>
      </c>
      <c r="B111" s="1" t="s">
        <v>131</v>
      </c>
      <c r="C111" s="1" t="s">
        <v>132</v>
      </c>
      <c r="D111" s="202">
        <f>IFERROR(VLOOKUP(B111,[53]Vashon!$B$10:$S$434,4,FALSE),0)</f>
        <v>121.2</v>
      </c>
      <c r="E111" s="202">
        <f>IFERROR(VLOOKUP(A111,'[51]PI Default Pricing 3.1.21'!A:L,12,FALSE),0)</f>
        <v>121.2</v>
      </c>
      <c r="F111" s="16"/>
      <c r="G111" s="203">
        <v>484.8</v>
      </c>
      <c r="H111" s="203">
        <v>121.2</v>
      </c>
      <c r="I111" s="203">
        <v>242.4</v>
      </c>
      <c r="J111" s="203">
        <v>121.2</v>
      </c>
      <c r="K111" s="203">
        <v>121.2</v>
      </c>
      <c r="L111" s="203">
        <v>121.2</v>
      </c>
      <c r="M111" s="203">
        <v>0</v>
      </c>
      <c r="N111" s="17">
        <v>242.4</v>
      </c>
      <c r="O111" s="17">
        <v>0</v>
      </c>
      <c r="P111" s="17">
        <v>0</v>
      </c>
      <c r="Q111" s="17">
        <v>0</v>
      </c>
      <c r="R111" s="17">
        <v>121.2</v>
      </c>
      <c r="S111" s="17">
        <v>1575.6000000000001</v>
      </c>
      <c r="U111" s="18">
        <f t="shared" si="65"/>
        <v>4</v>
      </c>
      <c r="V111" s="18">
        <f t="shared" si="65"/>
        <v>1</v>
      </c>
      <c r="W111" s="18">
        <f t="shared" si="65"/>
        <v>2</v>
      </c>
      <c r="X111" s="18">
        <f t="shared" si="65"/>
        <v>1</v>
      </c>
      <c r="Y111" s="18">
        <f t="shared" si="65"/>
        <v>1</v>
      </c>
      <c r="Z111" s="18">
        <f t="shared" si="65"/>
        <v>1</v>
      </c>
      <c r="AA111" s="18">
        <f t="shared" si="65"/>
        <v>0</v>
      </c>
      <c r="AB111" s="18">
        <f t="shared" si="66"/>
        <v>2</v>
      </c>
      <c r="AC111" s="18">
        <f t="shared" si="66"/>
        <v>0</v>
      </c>
      <c r="AD111" s="18">
        <f t="shared" si="66"/>
        <v>0</v>
      </c>
      <c r="AE111" s="18">
        <f t="shared" si="66"/>
        <v>0</v>
      </c>
      <c r="AF111" s="18">
        <f t="shared" si="66"/>
        <v>1</v>
      </c>
      <c r="AG111" s="18">
        <f t="shared" ref="AG111:AG126" si="73">SUM(U111:AF111)</f>
        <v>13</v>
      </c>
      <c r="AH111" s="18">
        <f t="shared" ref="AH111:AH126" si="74">+SUM(U111:AF111)/$AB$2</f>
        <v>1.0833333333333333</v>
      </c>
      <c r="AQ111" s="217">
        <v>121.2</v>
      </c>
      <c r="AR111" s="19">
        <f t="shared" si="69"/>
        <v>14.265272400728495</v>
      </c>
      <c r="AS111" s="19">
        <f t="shared" si="70"/>
        <v>185.44854120947042</v>
      </c>
      <c r="AT111" s="19">
        <f t="shared" si="71"/>
        <v>135.46527240072851</v>
      </c>
      <c r="AU111" s="19">
        <f t="shared" si="72"/>
        <v>1761.0485412094706</v>
      </c>
    </row>
    <row r="112" spans="1:47" outlineLevel="1" x14ac:dyDescent="0.25">
      <c r="A112" s="1" t="str">
        <f t="shared" si="64"/>
        <v>VashonRoll offROHAUL25</v>
      </c>
      <c r="B112" s="1" t="s">
        <v>133</v>
      </c>
      <c r="C112" s="1" t="s">
        <v>134</v>
      </c>
      <c r="D112" s="202">
        <f>IFERROR(VLOOKUP(B112,[53]Vashon!$B$10:$S$434,4,FALSE),0)</f>
        <v>121.2</v>
      </c>
      <c r="E112" s="202">
        <f>IFERROR(VLOOKUP(A112,'[51]PI Default Pricing 3.1.21'!A:L,12,FALSE),0)</f>
        <v>121.2</v>
      </c>
      <c r="F112" s="16"/>
      <c r="G112" s="203">
        <v>0</v>
      </c>
      <c r="H112" s="203">
        <v>0</v>
      </c>
      <c r="I112" s="203">
        <v>0</v>
      </c>
      <c r="J112" s="203">
        <v>0</v>
      </c>
      <c r="K112" s="203">
        <v>0</v>
      </c>
      <c r="L112" s="203">
        <v>0</v>
      </c>
      <c r="M112" s="203">
        <v>121.2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121.2</v>
      </c>
      <c r="U112" s="18">
        <f t="shared" si="65"/>
        <v>0</v>
      </c>
      <c r="V112" s="18">
        <f t="shared" si="65"/>
        <v>0</v>
      </c>
      <c r="W112" s="18">
        <f t="shared" si="65"/>
        <v>0</v>
      </c>
      <c r="X112" s="18">
        <f t="shared" si="65"/>
        <v>0</v>
      </c>
      <c r="Y112" s="18">
        <f t="shared" si="65"/>
        <v>0</v>
      </c>
      <c r="Z112" s="18">
        <f t="shared" si="65"/>
        <v>0</v>
      </c>
      <c r="AA112" s="18">
        <f t="shared" si="65"/>
        <v>1</v>
      </c>
      <c r="AB112" s="18">
        <f t="shared" si="66"/>
        <v>0</v>
      </c>
      <c r="AC112" s="18">
        <f t="shared" si="66"/>
        <v>0</v>
      </c>
      <c r="AD112" s="18">
        <f t="shared" si="66"/>
        <v>0</v>
      </c>
      <c r="AE112" s="18">
        <f t="shared" si="66"/>
        <v>0</v>
      </c>
      <c r="AF112" s="18">
        <f t="shared" si="66"/>
        <v>0</v>
      </c>
      <c r="AG112" s="18">
        <f t="shared" si="73"/>
        <v>1</v>
      </c>
      <c r="AH112" s="18">
        <f t="shared" si="74"/>
        <v>8.3333333333333329E-2</v>
      </c>
      <c r="AQ112" s="217">
        <v>121.2</v>
      </c>
      <c r="AR112" s="19">
        <f t="shared" si="69"/>
        <v>14.265272400728495</v>
      </c>
      <c r="AS112" s="19">
        <f t="shared" si="70"/>
        <v>14.265272400728493</v>
      </c>
      <c r="AT112" s="19">
        <f t="shared" si="71"/>
        <v>135.46527240072851</v>
      </c>
      <c r="AU112" s="19">
        <f t="shared" si="72"/>
        <v>135.46527240072851</v>
      </c>
    </row>
    <row r="113" spans="1:48" outlineLevel="1" x14ac:dyDescent="0.25">
      <c r="A113" s="1" t="str">
        <f t="shared" si="64"/>
        <v>VashonRoll offROHAUL25T</v>
      </c>
      <c r="B113" s="1" t="s">
        <v>135</v>
      </c>
      <c r="C113" s="1" t="s">
        <v>136</v>
      </c>
      <c r="D113" s="202">
        <f>IFERROR(VLOOKUP(B113,[53]Vashon!$B$10:$S$434,4,FALSE),0)</f>
        <v>121.2</v>
      </c>
      <c r="E113" s="202">
        <f>IFERROR(VLOOKUP(A113,'[51]PI Default Pricing 3.1.21'!A:L,12,FALSE),0)</f>
        <v>121.2</v>
      </c>
      <c r="F113" s="16"/>
      <c r="G113" s="203">
        <v>0</v>
      </c>
      <c r="H113" s="203">
        <v>242.4</v>
      </c>
      <c r="I113" s="203">
        <v>0</v>
      </c>
      <c r="J113" s="203">
        <v>121.2</v>
      </c>
      <c r="K113" s="203">
        <v>242.4</v>
      </c>
      <c r="L113" s="203">
        <v>0</v>
      </c>
      <c r="M113" s="203">
        <v>121.2</v>
      </c>
      <c r="N113" s="17">
        <v>0</v>
      </c>
      <c r="O113" s="17">
        <v>0</v>
      </c>
      <c r="P113" s="17">
        <v>363.6</v>
      </c>
      <c r="Q113" s="17">
        <v>242.4</v>
      </c>
      <c r="R113" s="17">
        <v>121.2</v>
      </c>
      <c r="S113" s="17">
        <v>1454.4000000000003</v>
      </c>
      <c r="U113" s="18">
        <f t="shared" si="65"/>
        <v>0</v>
      </c>
      <c r="V113" s="18">
        <f t="shared" si="65"/>
        <v>2</v>
      </c>
      <c r="W113" s="18">
        <f t="shared" si="65"/>
        <v>0</v>
      </c>
      <c r="X113" s="18">
        <f t="shared" si="65"/>
        <v>1</v>
      </c>
      <c r="Y113" s="18">
        <f t="shared" si="65"/>
        <v>2</v>
      </c>
      <c r="Z113" s="18">
        <f t="shared" si="65"/>
        <v>0</v>
      </c>
      <c r="AA113" s="18">
        <f t="shared" si="65"/>
        <v>1</v>
      </c>
      <c r="AB113" s="18">
        <f t="shared" si="66"/>
        <v>0</v>
      </c>
      <c r="AC113" s="18">
        <f t="shared" si="66"/>
        <v>0</v>
      </c>
      <c r="AD113" s="18">
        <f t="shared" si="66"/>
        <v>3</v>
      </c>
      <c r="AE113" s="18">
        <f t="shared" si="66"/>
        <v>2</v>
      </c>
      <c r="AF113" s="18">
        <f t="shared" si="66"/>
        <v>1</v>
      </c>
      <c r="AG113" s="18">
        <f t="shared" si="73"/>
        <v>12</v>
      </c>
      <c r="AH113" s="18">
        <f t="shared" si="74"/>
        <v>1</v>
      </c>
      <c r="AQ113" s="217">
        <v>121.2</v>
      </c>
      <c r="AR113" s="19">
        <f t="shared" si="69"/>
        <v>14.265272400728495</v>
      </c>
      <c r="AS113" s="19">
        <f t="shared" si="70"/>
        <v>171.18326880874196</v>
      </c>
      <c r="AT113" s="19">
        <f t="shared" si="71"/>
        <v>135.46527240072851</v>
      </c>
      <c r="AU113" s="19">
        <f t="shared" si="72"/>
        <v>1625.5832688087423</v>
      </c>
    </row>
    <row r="114" spans="1:48" outlineLevel="1" x14ac:dyDescent="0.25">
      <c r="A114" s="1" t="str">
        <f t="shared" si="64"/>
        <v>VashonRoll offROHAUL30</v>
      </c>
      <c r="B114" s="1" t="s">
        <v>137</v>
      </c>
      <c r="C114" s="1" t="s">
        <v>138</v>
      </c>
      <c r="D114" s="202">
        <f>IFERROR(VLOOKUP(B114,[53]Vashon!$B$10:$S$434,4,FALSE),0)</f>
        <v>121.2</v>
      </c>
      <c r="E114" s="202">
        <f>IFERROR(VLOOKUP(A114,'[51]PI Default Pricing 3.1.21'!A:L,12,FALSE),0)</f>
        <v>121.2</v>
      </c>
      <c r="F114" s="16"/>
      <c r="G114" s="203">
        <v>0</v>
      </c>
      <c r="H114" s="203">
        <v>0</v>
      </c>
      <c r="I114" s="203">
        <v>0</v>
      </c>
      <c r="J114" s="203">
        <v>0</v>
      </c>
      <c r="K114" s="203">
        <v>0</v>
      </c>
      <c r="L114" s="203">
        <v>121.2</v>
      </c>
      <c r="M114" s="203">
        <v>0</v>
      </c>
      <c r="N114" s="17">
        <v>121.2</v>
      </c>
      <c r="O114" s="17">
        <v>0</v>
      </c>
      <c r="P114" s="17">
        <v>242.4</v>
      </c>
      <c r="Q114" s="17">
        <v>363.6</v>
      </c>
      <c r="R114" s="17">
        <v>121.2</v>
      </c>
      <c r="S114" s="17">
        <v>969.60000000000014</v>
      </c>
      <c r="U114" s="18">
        <f t="shared" si="65"/>
        <v>0</v>
      </c>
      <c r="V114" s="18">
        <f t="shared" si="65"/>
        <v>0</v>
      </c>
      <c r="W114" s="18">
        <f t="shared" si="65"/>
        <v>0</v>
      </c>
      <c r="X114" s="18">
        <f t="shared" si="65"/>
        <v>0</v>
      </c>
      <c r="Y114" s="18">
        <f t="shared" si="65"/>
        <v>0</v>
      </c>
      <c r="Z114" s="18">
        <f t="shared" si="65"/>
        <v>1</v>
      </c>
      <c r="AA114" s="18">
        <f t="shared" si="65"/>
        <v>0</v>
      </c>
      <c r="AB114" s="18">
        <f t="shared" si="66"/>
        <v>1</v>
      </c>
      <c r="AC114" s="18">
        <f t="shared" si="66"/>
        <v>0</v>
      </c>
      <c r="AD114" s="18">
        <f t="shared" si="66"/>
        <v>2</v>
      </c>
      <c r="AE114" s="18">
        <f t="shared" si="66"/>
        <v>3</v>
      </c>
      <c r="AF114" s="18">
        <f t="shared" si="66"/>
        <v>1</v>
      </c>
      <c r="AG114" s="18">
        <f t="shared" si="73"/>
        <v>8</v>
      </c>
      <c r="AH114" s="18">
        <f t="shared" si="74"/>
        <v>0.66666666666666663</v>
      </c>
      <c r="AQ114" s="217">
        <v>121.2</v>
      </c>
      <c r="AR114" s="19">
        <f t="shared" si="69"/>
        <v>14.265272400728495</v>
      </c>
      <c r="AS114" s="19">
        <f t="shared" si="70"/>
        <v>114.12217920582795</v>
      </c>
      <c r="AT114" s="19">
        <f t="shared" si="71"/>
        <v>135.46527240072851</v>
      </c>
      <c r="AU114" s="19">
        <f t="shared" si="72"/>
        <v>1083.7221792058281</v>
      </c>
    </row>
    <row r="115" spans="1:48" outlineLevel="1" x14ac:dyDescent="0.25">
      <c r="A115" s="1" t="str">
        <f t="shared" si="64"/>
        <v>VashonRoll offROHAUL30T</v>
      </c>
      <c r="B115" s="1" t="s">
        <v>139</v>
      </c>
      <c r="C115" s="1" t="s">
        <v>140</v>
      </c>
      <c r="D115" s="202">
        <f>IFERROR(VLOOKUP(B115,[53]Vashon!$B$10:$S$434,4,FALSE),0)</f>
        <v>121.2</v>
      </c>
      <c r="E115" s="202">
        <f>IFERROR(VLOOKUP(A115,'[51]PI Default Pricing 3.1.21'!A:L,12,FALSE),0)</f>
        <v>121.2</v>
      </c>
      <c r="F115" s="16"/>
      <c r="G115" s="203">
        <v>484.8</v>
      </c>
      <c r="H115" s="203">
        <v>1212</v>
      </c>
      <c r="I115" s="203">
        <v>363.6</v>
      </c>
      <c r="J115" s="203">
        <v>606</v>
      </c>
      <c r="K115" s="203">
        <v>242.4</v>
      </c>
      <c r="L115" s="203">
        <v>0</v>
      </c>
      <c r="M115" s="203">
        <v>0</v>
      </c>
      <c r="N115" s="17">
        <v>121.2</v>
      </c>
      <c r="O115" s="17">
        <v>0</v>
      </c>
      <c r="P115" s="17">
        <v>242.4</v>
      </c>
      <c r="Q115" s="17">
        <v>484.8</v>
      </c>
      <c r="R115" s="17">
        <v>242.4</v>
      </c>
      <c r="S115" s="17">
        <v>3999.6000000000004</v>
      </c>
      <c r="U115" s="18">
        <f t="shared" si="65"/>
        <v>4</v>
      </c>
      <c r="V115" s="18">
        <f t="shared" si="65"/>
        <v>10</v>
      </c>
      <c r="W115" s="18">
        <f t="shared" si="65"/>
        <v>3</v>
      </c>
      <c r="X115" s="18">
        <f t="shared" si="65"/>
        <v>5</v>
      </c>
      <c r="Y115" s="18">
        <f t="shared" si="65"/>
        <v>2</v>
      </c>
      <c r="Z115" s="18">
        <f t="shared" si="65"/>
        <v>0</v>
      </c>
      <c r="AA115" s="18">
        <f t="shared" si="65"/>
        <v>0</v>
      </c>
      <c r="AB115" s="18">
        <f t="shared" si="66"/>
        <v>1</v>
      </c>
      <c r="AC115" s="18">
        <f t="shared" si="66"/>
        <v>0</v>
      </c>
      <c r="AD115" s="18">
        <f t="shared" si="66"/>
        <v>2</v>
      </c>
      <c r="AE115" s="18">
        <f t="shared" si="66"/>
        <v>4</v>
      </c>
      <c r="AF115" s="18">
        <f t="shared" si="66"/>
        <v>2</v>
      </c>
      <c r="AG115" s="18">
        <f t="shared" si="73"/>
        <v>33</v>
      </c>
      <c r="AH115" s="18">
        <f t="shared" si="74"/>
        <v>2.75</v>
      </c>
      <c r="AQ115" s="217">
        <v>121.2</v>
      </c>
      <c r="AR115" s="19">
        <f t="shared" si="69"/>
        <v>14.265272400728495</v>
      </c>
      <c r="AS115" s="19">
        <f t="shared" si="70"/>
        <v>470.75398922404031</v>
      </c>
      <c r="AT115" s="19">
        <f t="shared" si="71"/>
        <v>135.46527240072851</v>
      </c>
      <c r="AU115" s="19">
        <f t="shared" si="72"/>
        <v>4470.3539892240406</v>
      </c>
    </row>
    <row r="116" spans="1:48" outlineLevel="1" x14ac:dyDescent="0.25">
      <c r="A116" s="1" t="str">
        <f t="shared" si="64"/>
        <v>VashonRoll offRORENT20P</v>
      </c>
      <c r="B116" s="1" t="s">
        <v>362</v>
      </c>
      <c r="C116" s="1" t="s">
        <v>363</v>
      </c>
      <c r="D116" s="202">
        <f>IFERROR(VLOOKUP(B116,[53]Vashon!$B$10:$S$434,4,FALSE),0)</f>
        <v>24.17</v>
      </c>
      <c r="E116" s="202">
        <f>IFERROR(VLOOKUP(A116,'[51]PI Default Pricing 3.1.21'!A:L,12,FALSE),0)</f>
        <v>24.17</v>
      </c>
      <c r="F116" s="16"/>
      <c r="G116" s="203">
        <v>0</v>
      </c>
      <c r="H116" s="203">
        <v>0</v>
      </c>
      <c r="I116" s="203">
        <v>0</v>
      </c>
      <c r="J116" s="203">
        <v>0</v>
      </c>
      <c r="K116" s="203">
        <v>0</v>
      </c>
      <c r="L116" s="203">
        <v>0</v>
      </c>
      <c r="M116" s="203">
        <v>0</v>
      </c>
      <c r="N116" s="17">
        <v>0</v>
      </c>
      <c r="O116" s="17">
        <v>0</v>
      </c>
      <c r="P116" s="17">
        <v>48.34</v>
      </c>
      <c r="Q116" s="17">
        <v>48.34</v>
      </c>
      <c r="R116" s="17">
        <v>44.31</v>
      </c>
      <c r="S116" s="17">
        <v>140.99</v>
      </c>
      <c r="U116" s="204">
        <f t="shared" si="65"/>
        <v>0</v>
      </c>
      <c r="V116" s="204">
        <f t="shared" si="65"/>
        <v>0</v>
      </c>
      <c r="W116" s="204">
        <f t="shared" si="65"/>
        <v>0</v>
      </c>
      <c r="X116" s="204">
        <f t="shared" si="65"/>
        <v>0</v>
      </c>
      <c r="Y116" s="204">
        <f t="shared" si="65"/>
        <v>0</v>
      </c>
      <c r="Z116" s="204">
        <f t="shared" si="65"/>
        <v>0</v>
      </c>
      <c r="AA116" s="204">
        <f t="shared" si="65"/>
        <v>0</v>
      </c>
      <c r="AB116" s="204">
        <f t="shared" si="66"/>
        <v>0</v>
      </c>
      <c r="AC116" s="204">
        <f t="shared" si="66"/>
        <v>0</v>
      </c>
      <c r="AD116" s="204">
        <f t="shared" si="66"/>
        <v>2</v>
      </c>
      <c r="AE116" s="204">
        <f t="shared" si="66"/>
        <v>2</v>
      </c>
      <c r="AF116" s="204">
        <f t="shared" si="66"/>
        <v>1.8332643773272652</v>
      </c>
      <c r="AG116" s="204">
        <f t="shared" si="73"/>
        <v>5.8332643773272652</v>
      </c>
      <c r="AH116" s="204">
        <f t="shared" si="74"/>
        <v>0.48610536477727212</v>
      </c>
      <c r="AL116" s="185">
        <v>20</v>
      </c>
      <c r="AM116" s="185">
        <v>1</v>
      </c>
      <c r="AN116" s="186">
        <f t="shared" ref="AN116:AN121" si="75">AH116*AM116</f>
        <v>0.48610536477727212</v>
      </c>
      <c r="AQ116" s="217">
        <v>24.17</v>
      </c>
      <c r="AR116" s="19">
        <f t="shared" si="69"/>
        <v>2.844815461432407</v>
      </c>
      <c r="AS116" s="19">
        <f t="shared" si="70"/>
        <v>16.594560691243487</v>
      </c>
      <c r="AT116" s="19">
        <f t="shared" si="71"/>
        <v>27.014815461432409</v>
      </c>
      <c r="AU116" s="19">
        <f t="shared" si="72"/>
        <v>157.5845606912435</v>
      </c>
    </row>
    <row r="117" spans="1:48" outlineLevel="1" x14ac:dyDescent="0.25">
      <c r="A117" s="1" t="str">
        <f t="shared" si="64"/>
        <v>VashonRoll offRORENT20T</v>
      </c>
      <c r="B117" s="1" t="s">
        <v>141</v>
      </c>
      <c r="C117" s="1" t="s">
        <v>142</v>
      </c>
      <c r="D117" s="202">
        <f>IFERROR(VLOOKUP(B117,[53]Vashon!$B$10:$S$434,4,FALSE),0)</f>
        <v>120.92</v>
      </c>
      <c r="E117" s="202">
        <f>IFERROR(VLOOKUP(A117,'[51]PI Default Pricing 3.1.21'!A:L,12,FALSE),0)</f>
        <v>120.92</v>
      </c>
      <c r="F117" s="16"/>
      <c r="G117" s="203">
        <v>157.19</v>
      </c>
      <c r="H117" s="203">
        <v>12.09</v>
      </c>
      <c r="I117" s="203">
        <v>112.85</v>
      </c>
      <c r="J117" s="203">
        <v>36.270000000000003</v>
      </c>
      <c r="K117" s="203">
        <v>0</v>
      </c>
      <c r="L117" s="203">
        <v>84.64</v>
      </c>
      <c r="M117" s="203">
        <v>241.84</v>
      </c>
      <c r="N117" s="17">
        <v>274.08</v>
      </c>
      <c r="O117" s="17">
        <v>241.84</v>
      </c>
      <c r="P117" s="17">
        <v>0</v>
      </c>
      <c r="Q117" s="17">
        <v>8.06</v>
      </c>
      <c r="R117" s="17">
        <v>16.12</v>
      </c>
      <c r="S117" s="17">
        <v>1184.9799999999998</v>
      </c>
      <c r="U117" s="204">
        <f t="shared" si="65"/>
        <v>1.2999503804168044</v>
      </c>
      <c r="V117" s="204">
        <f t="shared" si="65"/>
        <v>9.9983460138934832E-2</v>
      </c>
      <c r="W117" s="204">
        <f t="shared" si="65"/>
        <v>0.93326166060205085</v>
      </c>
      <c r="X117" s="204">
        <f t="shared" si="65"/>
        <v>0.2999503804168045</v>
      </c>
      <c r="Y117" s="204">
        <f t="shared" si="65"/>
        <v>0</v>
      </c>
      <c r="Z117" s="204">
        <f t="shared" si="65"/>
        <v>0.69996692027786966</v>
      </c>
      <c r="AA117" s="204">
        <f t="shared" si="65"/>
        <v>2</v>
      </c>
      <c r="AB117" s="204">
        <f t="shared" si="66"/>
        <v>2.2666225603704926</v>
      </c>
      <c r="AC117" s="204">
        <f t="shared" si="66"/>
        <v>2</v>
      </c>
      <c r="AD117" s="204">
        <f t="shared" si="66"/>
        <v>0</v>
      </c>
      <c r="AE117" s="204">
        <f t="shared" si="66"/>
        <v>6.6655640092623231E-2</v>
      </c>
      <c r="AF117" s="204">
        <f t="shared" si="66"/>
        <v>0.13331128018524646</v>
      </c>
      <c r="AG117" s="204">
        <f t="shared" si="73"/>
        <v>9.799702282500828</v>
      </c>
      <c r="AH117" s="204">
        <f t="shared" si="74"/>
        <v>0.81664185687506896</v>
      </c>
      <c r="AL117" s="185">
        <v>20</v>
      </c>
      <c r="AM117" s="185">
        <v>1</v>
      </c>
      <c r="AN117" s="186">
        <f t="shared" si="75"/>
        <v>0.81664185687506896</v>
      </c>
      <c r="AQ117" s="217">
        <v>120.92</v>
      </c>
      <c r="AR117" s="19">
        <f t="shared" si="69"/>
        <v>14.232316325875328</v>
      </c>
      <c r="AS117" s="19">
        <f t="shared" si="70"/>
        <v>139.47246278395426</v>
      </c>
      <c r="AT117" s="19">
        <f t="shared" si="71"/>
        <v>135.15231632587532</v>
      </c>
      <c r="AU117" s="19">
        <f t="shared" si="72"/>
        <v>1324.4524627839542</v>
      </c>
    </row>
    <row r="118" spans="1:48" outlineLevel="1" x14ac:dyDescent="0.25">
      <c r="A118" s="1" t="str">
        <f t="shared" si="64"/>
        <v>VashonRoll offRORENT25P</v>
      </c>
      <c r="B118" s="1" t="s">
        <v>364</v>
      </c>
      <c r="C118" s="1" t="s">
        <v>365</v>
      </c>
      <c r="D118" s="202">
        <f>IFERROR(VLOOKUP(B118,[53]Vashon!$B$10:$S$434,4,FALSE),0)</f>
        <v>24.17</v>
      </c>
      <c r="E118" s="202">
        <f>IFERROR(VLOOKUP(A118,'[51]PI Default Pricing 3.1.21'!A:L,12,FALSE),0)</f>
        <v>24.17</v>
      </c>
      <c r="F118" s="16"/>
      <c r="G118" s="203">
        <v>0</v>
      </c>
      <c r="H118" s="203">
        <v>0</v>
      </c>
      <c r="I118" s="203">
        <v>0</v>
      </c>
      <c r="J118" s="203">
        <v>0</v>
      </c>
      <c r="K118" s="203">
        <v>24.17</v>
      </c>
      <c r="L118" s="203">
        <v>24.17</v>
      </c>
      <c r="M118" s="203">
        <v>24.17</v>
      </c>
      <c r="N118" s="17">
        <v>24.17</v>
      </c>
      <c r="O118" s="17">
        <v>24.17</v>
      </c>
      <c r="P118" s="17">
        <v>24.17</v>
      </c>
      <c r="Q118" s="17">
        <v>24.17</v>
      </c>
      <c r="R118" s="17">
        <v>24.17</v>
      </c>
      <c r="S118" s="17">
        <v>193.36</v>
      </c>
      <c r="U118" s="204">
        <f t="shared" si="65"/>
        <v>0</v>
      </c>
      <c r="V118" s="204">
        <f t="shared" si="65"/>
        <v>0</v>
      </c>
      <c r="W118" s="204">
        <f t="shared" si="65"/>
        <v>0</v>
      </c>
      <c r="X118" s="204">
        <f t="shared" si="65"/>
        <v>0</v>
      </c>
      <c r="Y118" s="204">
        <f t="shared" si="65"/>
        <v>1</v>
      </c>
      <c r="Z118" s="204">
        <f t="shared" si="65"/>
        <v>1</v>
      </c>
      <c r="AA118" s="204">
        <f t="shared" si="65"/>
        <v>1</v>
      </c>
      <c r="AB118" s="204">
        <f t="shared" si="66"/>
        <v>1</v>
      </c>
      <c r="AC118" s="204">
        <f t="shared" si="66"/>
        <v>1</v>
      </c>
      <c r="AD118" s="204">
        <f t="shared" si="66"/>
        <v>1</v>
      </c>
      <c r="AE118" s="204">
        <f t="shared" si="66"/>
        <v>1</v>
      </c>
      <c r="AF118" s="204">
        <f t="shared" si="66"/>
        <v>1</v>
      </c>
      <c r="AG118" s="204">
        <f t="shared" si="73"/>
        <v>8</v>
      </c>
      <c r="AH118" s="204">
        <f t="shared" si="74"/>
        <v>0.66666666666666663</v>
      </c>
      <c r="AL118" s="185">
        <v>25</v>
      </c>
      <c r="AM118" s="185">
        <v>1</v>
      </c>
      <c r="AN118" s="186">
        <f t="shared" si="75"/>
        <v>0.66666666666666663</v>
      </c>
      <c r="AQ118" s="217">
        <v>24.17</v>
      </c>
      <c r="AR118" s="19">
        <f t="shared" si="69"/>
        <v>2.844815461432407</v>
      </c>
      <c r="AS118" s="19">
        <f t="shared" si="70"/>
        <v>22.758523691459253</v>
      </c>
      <c r="AT118" s="19">
        <f t="shared" si="71"/>
        <v>27.014815461432409</v>
      </c>
      <c r="AU118" s="19">
        <f t="shared" si="72"/>
        <v>216.11852369145927</v>
      </c>
    </row>
    <row r="119" spans="1:48" outlineLevel="1" x14ac:dyDescent="0.25">
      <c r="A119" s="1" t="str">
        <f t="shared" si="64"/>
        <v>VashonRoll offRORENT25T</v>
      </c>
      <c r="B119" s="1" t="s">
        <v>143</v>
      </c>
      <c r="C119" s="1" t="s">
        <v>144</v>
      </c>
      <c r="D119" s="202">
        <f>IFERROR(VLOOKUP(B119,[53]Vashon!$B$10:$S$434,4,FALSE),0)</f>
        <v>120.92</v>
      </c>
      <c r="E119" s="202">
        <f>IFERROR(VLOOKUP(A119,'[51]PI Default Pricing 3.1.21'!A:L,12,FALSE),0)</f>
        <v>120.92</v>
      </c>
      <c r="F119" s="16"/>
      <c r="G119" s="203">
        <v>213.62</v>
      </c>
      <c r="H119" s="203">
        <v>257.95999999999998</v>
      </c>
      <c r="I119" s="203">
        <v>-443.36999999999995</v>
      </c>
      <c r="J119" s="203">
        <v>205.55</v>
      </c>
      <c r="K119" s="203">
        <v>120.92</v>
      </c>
      <c r="L119" s="203">
        <v>120.92</v>
      </c>
      <c r="M119" s="203">
        <v>4.03</v>
      </c>
      <c r="N119" s="17">
        <v>0</v>
      </c>
      <c r="O119" s="17">
        <v>99.89</v>
      </c>
      <c r="P119" s="17">
        <v>149.12</v>
      </c>
      <c r="Q119" s="17">
        <v>181.38</v>
      </c>
      <c r="R119" s="17">
        <v>209.59</v>
      </c>
      <c r="S119" s="17">
        <v>1119.6100000000001</v>
      </c>
      <c r="U119" s="204">
        <f t="shared" si="65"/>
        <v>1.7666225603704928</v>
      </c>
      <c r="V119" s="204">
        <f t="shared" si="65"/>
        <v>2.1333112801852461</v>
      </c>
      <c r="W119" s="204">
        <f t="shared" si="65"/>
        <v>-3.6666391002315577</v>
      </c>
      <c r="X119" s="204">
        <f t="shared" si="65"/>
        <v>1.699884220972544</v>
      </c>
      <c r="Y119" s="204">
        <f t="shared" si="65"/>
        <v>1</v>
      </c>
      <c r="Z119" s="204">
        <f t="shared" si="65"/>
        <v>1</v>
      </c>
      <c r="AA119" s="204">
        <f t="shared" si="65"/>
        <v>3.3327820046311615E-2</v>
      </c>
      <c r="AB119" s="204">
        <f t="shared" si="66"/>
        <v>0</v>
      </c>
      <c r="AC119" s="204">
        <f t="shared" si="66"/>
        <v>0.82608336089976842</v>
      </c>
      <c r="AD119" s="204">
        <f t="shared" si="66"/>
        <v>1.2332120410188554</v>
      </c>
      <c r="AE119" s="204">
        <f t="shared" si="66"/>
        <v>1.5</v>
      </c>
      <c r="AF119" s="204">
        <f t="shared" si="66"/>
        <v>1.7332947403241812</v>
      </c>
      <c r="AG119" s="204">
        <f t="shared" si="73"/>
        <v>9.259096923585842</v>
      </c>
      <c r="AH119" s="204">
        <f t="shared" si="74"/>
        <v>0.77159141029882017</v>
      </c>
      <c r="AL119" s="185">
        <v>25</v>
      </c>
      <c r="AM119" s="185">
        <v>1</v>
      </c>
      <c r="AN119" s="186">
        <f t="shared" si="75"/>
        <v>0.77159141029882017</v>
      </c>
      <c r="AQ119" s="217">
        <v>120.92</v>
      </c>
      <c r="AR119" s="19">
        <f t="shared" si="69"/>
        <v>14.232316325875328</v>
      </c>
      <c r="AS119" s="19">
        <f t="shared" si="70"/>
        <v>131.77839630841279</v>
      </c>
      <c r="AT119" s="19">
        <f t="shared" si="71"/>
        <v>135.15231632587532</v>
      </c>
      <c r="AU119" s="19">
        <f t="shared" si="72"/>
        <v>1251.3883963084129</v>
      </c>
    </row>
    <row r="120" spans="1:48" outlineLevel="1" x14ac:dyDescent="0.25">
      <c r="A120" s="1" t="str">
        <f t="shared" si="64"/>
        <v>VashonRoll offRORENT30P</v>
      </c>
      <c r="B120" s="1" t="s">
        <v>366</v>
      </c>
      <c r="C120" s="1" t="s">
        <v>367</v>
      </c>
      <c r="D120" s="202">
        <f>IFERROR(VLOOKUP(B120,[53]Vashon!$B$10:$S$434,4,FALSE),0)</f>
        <v>24.17</v>
      </c>
      <c r="E120" s="202">
        <f>IFERROR(VLOOKUP(A120,'[51]PI Default Pricing 3.1.21'!A:L,12,FALSE),0)</f>
        <v>24.17</v>
      </c>
      <c r="F120" s="16"/>
      <c r="G120" s="203">
        <v>0</v>
      </c>
      <c r="H120" s="203">
        <v>0</v>
      </c>
      <c r="I120" s="203">
        <v>0</v>
      </c>
      <c r="J120" s="203">
        <v>0</v>
      </c>
      <c r="K120" s="203">
        <v>24.17</v>
      </c>
      <c r="L120" s="203">
        <v>48.34</v>
      </c>
      <c r="M120" s="203">
        <v>48.34</v>
      </c>
      <c r="N120" s="17">
        <v>52.36</v>
      </c>
      <c r="O120" s="17">
        <v>39.14</v>
      </c>
      <c r="P120" s="17">
        <v>24.17</v>
      </c>
      <c r="Q120" s="17">
        <v>15.3</v>
      </c>
      <c r="R120" s="17">
        <v>0</v>
      </c>
      <c r="S120" s="17">
        <v>251.82000000000005</v>
      </c>
      <c r="U120" s="204">
        <f t="shared" si="65"/>
        <v>0</v>
      </c>
      <c r="V120" s="204">
        <f t="shared" si="65"/>
        <v>0</v>
      </c>
      <c r="W120" s="204">
        <f t="shared" si="65"/>
        <v>0</v>
      </c>
      <c r="X120" s="204">
        <f t="shared" si="65"/>
        <v>0</v>
      </c>
      <c r="Y120" s="204">
        <f t="shared" si="65"/>
        <v>1</v>
      </c>
      <c r="Z120" s="204">
        <f t="shared" si="65"/>
        <v>2</v>
      </c>
      <c r="AA120" s="204">
        <f t="shared" si="65"/>
        <v>2</v>
      </c>
      <c r="AB120" s="204">
        <f t="shared" si="66"/>
        <v>2.1663218866363256</v>
      </c>
      <c r="AC120" s="204">
        <f t="shared" si="66"/>
        <v>1.6193628465039305</v>
      </c>
      <c r="AD120" s="204">
        <f t="shared" si="66"/>
        <v>1</v>
      </c>
      <c r="AE120" s="204">
        <f t="shared" si="66"/>
        <v>0.63301613570541992</v>
      </c>
      <c r="AF120" s="204">
        <f t="shared" si="66"/>
        <v>0</v>
      </c>
      <c r="AG120" s="204">
        <f t="shared" si="73"/>
        <v>10.418700868845676</v>
      </c>
      <c r="AH120" s="204">
        <f t="shared" si="74"/>
        <v>0.86822507240380631</v>
      </c>
      <c r="AL120" s="185">
        <v>30</v>
      </c>
      <c r="AM120" s="185">
        <v>1</v>
      </c>
      <c r="AN120" s="186">
        <f t="shared" si="75"/>
        <v>0.86822507240380631</v>
      </c>
      <c r="AQ120" s="217">
        <v>24.17</v>
      </c>
      <c r="AR120" s="19">
        <f t="shared" si="69"/>
        <v>2.844815461432407</v>
      </c>
      <c r="AS120" s="19">
        <f t="shared" si="70"/>
        <v>29.639281319731431</v>
      </c>
      <c r="AT120" s="19">
        <f t="shared" si="71"/>
        <v>27.014815461432409</v>
      </c>
      <c r="AU120" s="19">
        <f t="shared" si="72"/>
        <v>281.45928131973147</v>
      </c>
    </row>
    <row r="121" spans="1:48" outlineLevel="1" x14ac:dyDescent="0.25">
      <c r="A121" s="1" t="str">
        <f t="shared" si="64"/>
        <v>VashonRoll offRORENT30T</v>
      </c>
      <c r="B121" s="1" t="s">
        <v>145</v>
      </c>
      <c r="C121" s="1" t="s">
        <v>146</v>
      </c>
      <c r="D121" s="202">
        <f>IFERROR(VLOOKUP(B121,[53]Vashon!$B$10:$S$434,4,FALSE),0)</f>
        <v>120.92</v>
      </c>
      <c r="E121" s="202">
        <f>IFERROR(VLOOKUP(A121,'[51]PI Default Pricing 3.1.21'!A:L,12,FALSE),0)</f>
        <v>120.92</v>
      </c>
      <c r="F121" s="16"/>
      <c r="G121" s="203">
        <v>326.47000000000003</v>
      </c>
      <c r="H121" s="203">
        <v>499.8</v>
      </c>
      <c r="I121" s="203">
        <v>382.9</v>
      </c>
      <c r="J121" s="203">
        <v>403.06</v>
      </c>
      <c r="K121" s="203">
        <v>266.02</v>
      </c>
      <c r="L121" s="203">
        <v>-44.34</v>
      </c>
      <c r="M121" s="203">
        <v>120.92</v>
      </c>
      <c r="N121" s="17">
        <v>44.33</v>
      </c>
      <c r="O121" s="17">
        <v>44.33</v>
      </c>
      <c r="P121" s="17">
        <v>120.92</v>
      </c>
      <c r="Q121" s="17">
        <v>96.72</v>
      </c>
      <c r="R121" s="17">
        <v>48.36</v>
      </c>
      <c r="S121" s="17">
        <v>2309.4899999999998</v>
      </c>
      <c r="U121" s="204">
        <f t="shared" si="65"/>
        <v>2.6998842209725442</v>
      </c>
      <c r="V121" s="204">
        <f t="shared" si="65"/>
        <v>4.1333112801852465</v>
      </c>
      <c r="W121" s="204">
        <f t="shared" si="65"/>
        <v>3.1665564009262321</v>
      </c>
      <c r="X121" s="204">
        <f t="shared" si="65"/>
        <v>3.3332782004631163</v>
      </c>
      <c r="Y121" s="204">
        <f t="shared" si="65"/>
        <v>2.1999669202778693</v>
      </c>
      <c r="Z121" s="204">
        <f t="shared" si="65"/>
        <v>-0.36668871981475359</v>
      </c>
      <c r="AA121" s="204">
        <f t="shared" si="65"/>
        <v>1</v>
      </c>
      <c r="AB121" s="204">
        <f t="shared" si="66"/>
        <v>0.3666060205094277</v>
      </c>
      <c r="AC121" s="204">
        <f t="shared" si="66"/>
        <v>0.3666060205094277</v>
      </c>
      <c r="AD121" s="204">
        <f t="shared" si="66"/>
        <v>1</v>
      </c>
      <c r="AE121" s="204">
        <f t="shared" si="66"/>
        <v>0.79986768111147866</v>
      </c>
      <c r="AF121" s="204">
        <f t="shared" si="66"/>
        <v>0.39993384055573933</v>
      </c>
      <c r="AG121" s="204">
        <f t="shared" si="73"/>
        <v>19.099321865696325</v>
      </c>
      <c r="AH121" s="204">
        <f t="shared" si="74"/>
        <v>1.5916101554746938</v>
      </c>
      <c r="AL121" s="185">
        <v>30</v>
      </c>
      <c r="AM121" s="185">
        <v>1</v>
      </c>
      <c r="AN121" s="186">
        <f t="shared" si="75"/>
        <v>1.5916101554746938</v>
      </c>
      <c r="AQ121" s="217">
        <v>120.92</v>
      </c>
      <c r="AR121" s="19">
        <f t="shared" si="69"/>
        <v>14.232316325875328</v>
      </c>
      <c r="AS121" s="19">
        <f t="shared" si="70"/>
        <v>271.82759040229746</v>
      </c>
      <c r="AT121" s="19">
        <f t="shared" si="71"/>
        <v>135.15231632587532</v>
      </c>
      <c r="AU121" s="19">
        <f t="shared" si="72"/>
        <v>2581.3175904022974</v>
      </c>
    </row>
    <row r="122" spans="1:48" outlineLevel="1" x14ac:dyDescent="0.25">
      <c r="A122" s="1" t="str">
        <f t="shared" si="64"/>
        <v>VashonRoll offROTA</v>
      </c>
      <c r="B122" s="1" t="s">
        <v>147</v>
      </c>
      <c r="C122" s="1" t="s">
        <v>148</v>
      </c>
      <c r="D122" s="202">
        <v>18.670000000000002</v>
      </c>
      <c r="E122" s="202">
        <v>18.670000000000002</v>
      </c>
      <c r="F122" s="16"/>
      <c r="G122" s="203">
        <v>38.26</v>
      </c>
      <c r="H122" s="203">
        <v>76.52</v>
      </c>
      <c r="I122" s="203">
        <v>38.26</v>
      </c>
      <c r="J122" s="203">
        <v>19.13</v>
      </c>
      <c r="K122" s="203">
        <v>0</v>
      </c>
      <c r="L122" s="203">
        <v>0</v>
      </c>
      <c r="M122" s="203">
        <v>19.13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191.29999999999998</v>
      </c>
      <c r="U122" s="18">
        <f t="shared" si="65"/>
        <v>2.0492769148366361</v>
      </c>
      <c r="V122" s="18">
        <f t="shared" si="65"/>
        <v>4.0985538296732722</v>
      </c>
      <c r="W122" s="18">
        <f t="shared" si="65"/>
        <v>2.0492769148366361</v>
      </c>
      <c r="X122" s="18">
        <f t="shared" si="65"/>
        <v>1.024638457418318</v>
      </c>
      <c r="Y122" s="18">
        <f t="shared" si="65"/>
        <v>0</v>
      </c>
      <c r="Z122" s="18">
        <f t="shared" si="65"/>
        <v>0</v>
      </c>
      <c r="AA122" s="18">
        <f t="shared" si="65"/>
        <v>1.024638457418318</v>
      </c>
      <c r="AB122" s="18">
        <f t="shared" si="66"/>
        <v>0</v>
      </c>
      <c r="AC122" s="18">
        <f t="shared" si="66"/>
        <v>0</v>
      </c>
      <c r="AD122" s="18">
        <f t="shared" si="66"/>
        <v>0</v>
      </c>
      <c r="AE122" s="18">
        <f t="shared" si="66"/>
        <v>0</v>
      </c>
      <c r="AF122" s="18">
        <f t="shared" si="66"/>
        <v>0</v>
      </c>
      <c r="AG122" s="18">
        <f t="shared" si="73"/>
        <v>10.24638457418318</v>
      </c>
      <c r="AH122" s="18">
        <f t="shared" si="74"/>
        <v>0.85386538118193167</v>
      </c>
      <c r="AQ122" s="217">
        <v>18.670000000000002</v>
      </c>
      <c r="AR122" s="19">
        <f t="shared" si="69"/>
        <v>2.1974639911023188</v>
      </c>
      <c r="AS122" s="19">
        <f t="shared" si="70"/>
        <v>22.516061140753806</v>
      </c>
      <c r="AT122" s="19">
        <f t="shared" si="71"/>
        <v>20.867463991102319</v>
      </c>
      <c r="AU122" s="19">
        <f t="shared" si="72"/>
        <v>213.81606114075379</v>
      </c>
    </row>
    <row r="123" spans="1:48" outlineLevel="1" x14ac:dyDescent="0.25">
      <c r="A123" s="1" t="str">
        <f t="shared" si="64"/>
        <v>VashonRoll offRODEL</v>
      </c>
      <c r="B123" s="1" t="s">
        <v>149</v>
      </c>
      <c r="C123" s="1" t="s">
        <v>150</v>
      </c>
      <c r="D123" s="202">
        <f>IFERROR(VLOOKUP(B123,[53]Vashon!$B$10:$S$434,4,FALSE),0)</f>
        <v>81.81</v>
      </c>
      <c r="E123" s="202">
        <f>IFERROR(VLOOKUP(A123,'[51]PI Default Pricing 3.1.21'!A:L,12,FALSE),0)</f>
        <v>81.81</v>
      </c>
      <c r="F123" s="16"/>
      <c r="G123" s="203">
        <v>245.43</v>
      </c>
      <c r="H123" s="203">
        <v>409.05</v>
      </c>
      <c r="I123" s="203">
        <v>163.62</v>
      </c>
      <c r="J123" s="203">
        <v>490.86</v>
      </c>
      <c r="K123" s="203">
        <v>81.81</v>
      </c>
      <c r="L123" s="203">
        <v>163.62</v>
      </c>
      <c r="M123" s="203">
        <v>81.81</v>
      </c>
      <c r="N123" s="17">
        <v>81.81</v>
      </c>
      <c r="O123" s="17">
        <v>163.62</v>
      </c>
      <c r="P123" s="17">
        <v>245.43</v>
      </c>
      <c r="Q123" s="17">
        <v>245.43</v>
      </c>
      <c r="R123" s="17">
        <v>327.24</v>
      </c>
      <c r="S123" s="17">
        <v>2699.7299999999996</v>
      </c>
      <c r="U123" s="18">
        <f t="shared" si="65"/>
        <v>3</v>
      </c>
      <c r="V123" s="18">
        <f t="shared" si="65"/>
        <v>5</v>
      </c>
      <c r="W123" s="18">
        <f t="shared" si="65"/>
        <v>2</v>
      </c>
      <c r="X123" s="18">
        <f t="shared" si="65"/>
        <v>6</v>
      </c>
      <c r="Y123" s="18">
        <f t="shared" si="65"/>
        <v>1</v>
      </c>
      <c r="Z123" s="18">
        <f t="shared" si="65"/>
        <v>2</v>
      </c>
      <c r="AA123" s="18">
        <f t="shared" si="65"/>
        <v>1</v>
      </c>
      <c r="AB123" s="18">
        <f t="shared" si="66"/>
        <v>1</v>
      </c>
      <c r="AC123" s="18">
        <f t="shared" si="66"/>
        <v>2</v>
      </c>
      <c r="AD123" s="18">
        <f t="shared" si="66"/>
        <v>3</v>
      </c>
      <c r="AE123" s="18">
        <f t="shared" si="66"/>
        <v>3</v>
      </c>
      <c r="AF123" s="18">
        <f t="shared" si="66"/>
        <v>4</v>
      </c>
      <c r="AG123" s="18">
        <f t="shared" si="73"/>
        <v>33</v>
      </c>
      <c r="AH123" s="18">
        <f t="shared" si="74"/>
        <v>2.75</v>
      </c>
      <c r="AQ123" s="217">
        <v>81.81</v>
      </c>
      <c r="AR123" s="19">
        <f t="shared" si="69"/>
        <v>9.6290588704917344</v>
      </c>
      <c r="AS123" s="19">
        <f t="shared" si="70"/>
        <v>317.75894272622725</v>
      </c>
      <c r="AT123" s="19">
        <f t="shared" si="71"/>
        <v>91.439058870491735</v>
      </c>
      <c r="AU123" s="19">
        <f t="shared" si="72"/>
        <v>3017.4889427262269</v>
      </c>
    </row>
    <row r="124" spans="1:48" outlineLevel="1" x14ac:dyDescent="0.25">
      <c r="A124" s="1" t="str">
        <f t="shared" si="64"/>
        <v>VashonRoll offROMILE</v>
      </c>
      <c r="B124" s="1" t="s">
        <v>368</v>
      </c>
      <c r="C124" s="1" t="s">
        <v>369</v>
      </c>
      <c r="D124" s="202">
        <f>IFERROR(VLOOKUP(B124,[53]Vashon!$B$10:$S$434,4,FALSE),0)</f>
        <v>3.04</v>
      </c>
      <c r="E124" s="202">
        <f>IFERROR(VLOOKUP(A124,'[51]PI Default Pricing 3.1.21'!A:L,12,FALSE),0)</f>
        <v>3.04</v>
      </c>
      <c r="F124" s="16"/>
      <c r="G124" s="203">
        <v>12.16</v>
      </c>
      <c r="H124" s="203">
        <v>36.479999999999997</v>
      </c>
      <c r="I124" s="203">
        <v>6.08</v>
      </c>
      <c r="J124" s="203">
        <v>18.239999999999998</v>
      </c>
      <c r="K124" s="203">
        <v>33.44</v>
      </c>
      <c r="L124" s="203">
        <v>6.08</v>
      </c>
      <c r="M124" s="203">
        <v>24.32</v>
      </c>
      <c r="N124" s="17">
        <v>12.16</v>
      </c>
      <c r="O124" s="17">
        <v>0</v>
      </c>
      <c r="P124" s="17">
        <v>3.04</v>
      </c>
      <c r="Q124" s="17">
        <v>9.1199999999999992</v>
      </c>
      <c r="R124" s="17">
        <v>21.28</v>
      </c>
      <c r="S124" s="17">
        <v>182.39999999999998</v>
      </c>
      <c r="U124" s="18">
        <f t="shared" si="65"/>
        <v>4</v>
      </c>
      <c r="V124" s="18">
        <f t="shared" si="65"/>
        <v>11.999999999999998</v>
      </c>
      <c r="W124" s="18">
        <f t="shared" si="65"/>
        <v>2</v>
      </c>
      <c r="X124" s="18">
        <f t="shared" si="65"/>
        <v>5.9999999999999991</v>
      </c>
      <c r="Y124" s="18">
        <f t="shared" si="65"/>
        <v>11</v>
      </c>
      <c r="Z124" s="18">
        <f t="shared" si="65"/>
        <v>2</v>
      </c>
      <c r="AA124" s="18">
        <f t="shared" si="65"/>
        <v>8</v>
      </c>
      <c r="AB124" s="18">
        <f t="shared" si="66"/>
        <v>4</v>
      </c>
      <c r="AC124" s="18">
        <f t="shared" si="66"/>
        <v>0</v>
      </c>
      <c r="AD124" s="18">
        <f t="shared" si="66"/>
        <v>1</v>
      </c>
      <c r="AE124" s="18">
        <f t="shared" si="66"/>
        <v>2.9999999999999996</v>
      </c>
      <c r="AF124" s="18">
        <f t="shared" si="66"/>
        <v>7</v>
      </c>
      <c r="AG124" s="18">
        <f t="shared" si="73"/>
        <v>60</v>
      </c>
      <c r="AH124" s="18">
        <f t="shared" si="74"/>
        <v>5</v>
      </c>
      <c r="AQ124" s="217">
        <v>3.04</v>
      </c>
      <c r="AR124" s="19">
        <f t="shared" si="69"/>
        <v>0.3578088126915398</v>
      </c>
      <c r="AS124" s="19">
        <f t="shared" si="70"/>
        <v>21.468528761492387</v>
      </c>
      <c r="AT124" s="19">
        <f t="shared" si="71"/>
        <v>3.3978088126915398</v>
      </c>
      <c r="AU124" s="19">
        <f t="shared" si="72"/>
        <v>203.86852876149237</v>
      </c>
    </row>
    <row r="125" spans="1:48" outlineLevel="1" x14ac:dyDescent="0.25">
      <c r="A125" s="1" t="str">
        <f t="shared" si="64"/>
        <v>VashonRoll offOT-RO</v>
      </c>
      <c r="B125" s="1" t="s">
        <v>370</v>
      </c>
      <c r="C125" s="1" t="s">
        <v>371</v>
      </c>
      <c r="D125" s="202">
        <v>63.42</v>
      </c>
      <c r="E125" s="202">
        <f>IFERROR(VLOOKUP(A125,'[51]PI Default Pricing 3.1.21'!A:L,12,FALSE),0)</f>
        <v>63.42</v>
      </c>
      <c r="F125" s="16"/>
      <c r="G125" s="218">
        <v>0</v>
      </c>
      <c r="H125" s="218">
        <v>0</v>
      </c>
      <c r="I125" s="218">
        <v>0</v>
      </c>
      <c r="J125" s="218">
        <v>0</v>
      </c>
      <c r="K125" s="218">
        <v>0</v>
      </c>
      <c r="L125" s="218">
        <v>0</v>
      </c>
      <c r="M125" s="218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63.42</v>
      </c>
      <c r="S125" s="17">
        <v>63.42</v>
      </c>
      <c r="U125" s="18">
        <f t="shared" si="65"/>
        <v>0</v>
      </c>
      <c r="V125" s="18">
        <f t="shared" si="65"/>
        <v>0</v>
      </c>
      <c r="W125" s="18">
        <f t="shared" si="65"/>
        <v>0</v>
      </c>
      <c r="X125" s="18">
        <f t="shared" si="65"/>
        <v>0</v>
      </c>
      <c r="Y125" s="18">
        <f t="shared" si="65"/>
        <v>0</v>
      </c>
      <c r="Z125" s="18">
        <f t="shared" si="65"/>
        <v>0</v>
      </c>
      <c r="AA125" s="18">
        <f t="shared" si="65"/>
        <v>0</v>
      </c>
      <c r="AB125" s="18">
        <f t="shared" si="66"/>
        <v>0</v>
      </c>
      <c r="AC125" s="18">
        <f t="shared" si="66"/>
        <v>0</v>
      </c>
      <c r="AD125" s="18">
        <f t="shared" si="66"/>
        <v>0</v>
      </c>
      <c r="AE125" s="18">
        <f t="shared" si="66"/>
        <v>0</v>
      </c>
      <c r="AF125" s="18">
        <f t="shared" si="66"/>
        <v>1</v>
      </c>
      <c r="AG125" s="18">
        <f t="shared" si="73"/>
        <v>1</v>
      </c>
      <c r="AH125" s="18">
        <f t="shared" si="74"/>
        <v>8.3333333333333329E-2</v>
      </c>
      <c r="AN125" s="186">
        <f t="shared" ref="AN125:AN127" si="76">AM125*AH125</f>
        <v>0</v>
      </c>
      <c r="AO125" s="2"/>
      <c r="AP125" s="16"/>
      <c r="AQ125" s="217">
        <v>63.42</v>
      </c>
      <c r="AR125" s="19">
        <f t="shared" si="69"/>
        <v>7.4645509542425836</v>
      </c>
      <c r="AS125" s="19">
        <f t="shared" si="70"/>
        <v>7.4645509542425827</v>
      </c>
      <c r="AT125" s="19">
        <f t="shared" si="71"/>
        <v>70.884550954242584</v>
      </c>
      <c r="AU125" s="19">
        <f t="shared" si="72"/>
        <v>70.884550954242584</v>
      </c>
    </row>
    <row r="126" spans="1:48" outlineLevel="1" x14ac:dyDescent="0.25">
      <c r="A126" s="1" t="str">
        <f t="shared" si="64"/>
        <v>VashonRoll offTIME-RO</v>
      </c>
      <c r="B126" s="1" t="s">
        <v>372</v>
      </c>
      <c r="C126" s="1" t="s">
        <v>373</v>
      </c>
      <c r="D126" s="202">
        <v>79.28</v>
      </c>
      <c r="E126" s="202">
        <f>IFERROR(VLOOKUP(A126,'[51]PI Default Pricing 3.1.21'!A:L,12,FALSE),0)</f>
        <v>79.28</v>
      </c>
      <c r="F126" s="16"/>
      <c r="G126" s="218">
        <v>0</v>
      </c>
      <c r="H126" s="218">
        <v>0</v>
      </c>
      <c r="I126" s="218">
        <v>0</v>
      </c>
      <c r="J126" s="218">
        <v>0</v>
      </c>
      <c r="K126" s="218">
        <v>0</v>
      </c>
      <c r="L126" s="218">
        <v>0</v>
      </c>
      <c r="M126" s="218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39.64</v>
      </c>
      <c r="S126" s="17">
        <v>39.64</v>
      </c>
      <c r="U126" s="18">
        <f t="shared" ref="U126:AA126" si="77">+IFERROR(G126/$D126,0)</f>
        <v>0</v>
      </c>
      <c r="V126" s="18">
        <f t="shared" si="77"/>
        <v>0</v>
      </c>
      <c r="W126" s="18">
        <f t="shared" si="77"/>
        <v>0</v>
      </c>
      <c r="X126" s="18">
        <f t="shared" si="77"/>
        <v>0</v>
      </c>
      <c r="Y126" s="18">
        <f t="shared" si="77"/>
        <v>0</v>
      </c>
      <c r="Z126" s="18">
        <f t="shared" si="77"/>
        <v>0</v>
      </c>
      <c r="AA126" s="18">
        <f t="shared" si="77"/>
        <v>0</v>
      </c>
      <c r="AB126" s="18">
        <f t="shared" ref="AB126:AF126" si="78">+IFERROR(N126/$E126,0)</f>
        <v>0</v>
      </c>
      <c r="AC126" s="18">
        <f t="shared" si="78"/>
        <v>0</v>
      </c>
      <c r="AD126" s="18">
        <f t="shared" si="78"/>
        <v>0</v>
      </c>
      <c r="AE126" s="18">
        <f t="shared" si="78"/>
        <v>0</v>
      </c>
      <c r="AF126" s="18">
        <f t="shared" si="78"/>
        <v>0.5</v>
      </c>
      <c r="AG126" s="18">
        <f t="shared" si="73"/>
        <v>0.5</v>
      </c>
      <c r="AH126" s="18">
        <f t="shared" si="74"/>
        <v>4.1666666666666664E-2</v>
      </c>
      <c r="AN126" s="186">
        <f t="shared" si="76"/>
        <v>0</v>
      </c>
      <c r="AO126" s="2"/>
      <c r="AP126" s="16"/>
      <c r="AQ126" s="217">
        <v>79.28</v>
      </c>
      <c r="AR126" s="19">
        <f t="shared" si="69"/>
        <v>9.3312771941398935</v>
      </c>
      <c r="AS126" s="19">
        <f t="shared" si="70"/>
        <v>4.6656385970699468</v>
      </c>
      <c r="AT126" s="19">
        <f t="shared" si="71"/>
        <v>88.611277194139888</v>
      </c>
      <c r="AU126" s="19">
        <f t="shared" si="72"/>
        <v>44.305638597069944</v>
      </c>
    </row>
    <row r="127" spans="1:48" ht="15.75" outlineLevel="1" thickBot="1" x14ac:dyDescent="0.3">
      <c r="E127" s="16"/>
      <c r="F127" s="16"/>
      <c r="G127" s="16"/>
      <c r="H127" s="16"/>
      <c r="I127" s="16"/>
      <c r="J127" s="16"/>
      <c r="K127" s="16"/>
      <c r="L127" s="16"/>
      <c r="M127" s="16"/>
      <c r="N127" s="17"/>
      <c r="O127" s="17"/>
      <c r="P127" s="17"/>
      <c r="Q127" s="17"/>
      <c r="R127" s="17"/>
      <c r="S127" s="17"/>
      <c r="AB127" s="18"/>
      <c r="AC127" s="18"/>
      <c r="AD127" s="18"/>
      <c r="AE127" s="18"/>
      <c r="AF127" s="18"/>
      <c r="AG127" s="18"/>
      <c r="AH127" s="18"/>
      <c r="AN127" s="186">
        <f t="shared" si="76"/>
        <v>0</v>
      </c>
      <c r="AO127" s="2"/>
      <c r="AP127" s="16"/>
      <c r="AQ127" s="16"/>
      <c r="AR127" s="19">
        <f t="shared" ref="AR127" si="79">+$AT$2*E127</f>
        <v>0</v>
      </c>
      <c r="AS127" s="19">
        <f t="shared" si="70"/>
        <v>0</v>
      </c>
      <c r="AT127" s="19">
        <f t="shared" ref="AT127" si="80">+AR127+E127</f>
        <v>0</v>
      </c>
      <c r="AU127" s="19">
        <f t="shared" si="72"/>
        <v>0</v>
      </c>
    </row>
    <row r="128" spans="1:48" ht="15.75" outlineLevel="1" thickBot="1" x14ac:dyDescent="0.3">
      <c r="C128" s="3" t="s">
        <v>151</v>
      </c>
      <c r="D128" s="3"/>
      <c r="E128" s="16"/>
      <c r="F128" s="16"/>
      <c r="G128" s="20">
        <f t="shared" ref="G128:S128" si="81">SUM(G110:G127)</f>
        <v>1962.73</v>
      </c>
      <c r="H128" s="20">
        <f t="shared" si="81"/>
        <v>2867.5</v>
      </c>
      <c r="I128" s="20">
        <f t="shared" si="81"/>
        <v>866.34000000000015</v>
      </c>
      <c r="J128" s="20">
        <f t="shared" si="81"/>
        <v>2021.51</v>
      </c>
      <c r="K128" s="20">
        <f t="shared" si="81"/>
        <v>1156.5299999999997</v>
      </c>
      <c r="L128" s="20">
        <f t="shared" si="81"/>
        <v>645.83000000000004</v>
      </c>
      <c r="M128" s="20">
        <f t="shared" si="81"/>
        <v>806.96000000000015</v>
      </c>
      <c r="N128" s="20">
        <f t="shared" si="81"/>
        <v>973.70999999999992</v>
      </c>
      <c r="O128" s="20">
        <f t="shared" si="81"/>
        <v>612.99</v>
      </c>
      <c r="P128" s="20">
        <f t="shared" si="81"/>
        <v>1463.5900000000001</v>
      </c>
      <c r="Q128" s="20">
        <f t="shared" si="81"/>
        <v>1840.5199999999998</v>
      </c>
      <c r="R128" s="20">
        <f t="shared" si="81"/>
        <v>1521.3300000000002</v>
      </c>
      <c r="S128" s="20">
        <f t="shared" si="81"/>
        <v>16739.54</v>
      </c>
      <c r="U128" s="20">
        <f>+SUM(U116:U121)</f>
        <v>5.7664571617598419</v>
      </c>
      <c r="V128" s="20">
        <f t="shared" ref="V128:AG128" si="82">+SUM(V116:V121)</f>
        <v>6.3666060205094279</v>
      </c>
      <c r="W128" s="20">
        <f t="shared" si="82"/>
        <v>0.43317896129672517</v>
      </c>
      <c r="X128" s="20">
        <f t="shared" si="82"/>
        <v>5.3331128018524652</v>
      </c>
      <c r="Y128" s="20">
        <f t="shared" si="82"/>
        <v>5.1999669202778698</v>
      </c>
      <c r="Z128" s="20">
        <f t="shared" si="82"/>
        <v>4.3332782004631163</v>
      </c>
      <c r="AA128" s="20">
        <f t="shared" si="82"/>
        <v>6.0333278200463116</v>
      </c>
      <c r="AB128" s="20">
        <f t="shared" si="82"/>
        <v>5.7995504675162461</v>
      </c>
      <c r="AC128" s="20">
        <f t="shared" si="82"/>
        <v>5.812052227913127</v>
      </c>
      <c r="AD128" s="20">
        <f t="shared" si="82"/>
        <v>6.2332120410188558</v>
      </c>
      <c r="AE128" s="20">
        <f t="shared" si="82"/>
        <v>5.9995394569095222</v>
      </c>
      <c r="AF128" s="20">
        <f t="shared" si="82"/>
        <v>5.0998042383924327</v>
      </c>
      <c r="AG128" s="20">
        <f t="shared" si="82"/>
        <v>62.410086317955937</v>
      </c>
      <c r="AH128" s="20">
        <f>+SUM(AH116:AH121)</f>
        <v>5.2008405264963278</v>
      </c>
      <c r="AJ128" s="208">
        <f>+SUMIF(AJ109:AJ127,"&lt;&gt;",$AN109:$AN127)</f>
        <v>0</v>
      </c>
      <c r="AK128" s="208">
        <f t="shared" ref="AK128:AL128" si="83">+SUMIF(AK109:AK127,"&lt;&gt;",$AN109:$AN127)</f>
        <v>0</v>
      </c>
      <c r="AL128" s="208">
        <f t="shared" si="83"/>
        <v>5.2008405264963278</v>
      </c>
      <c r="AM128" s="209"/>
      <c r="AN128" s="219">
        <f ca="1">SUM(AN109:OFFSET(AN128,-1,0))</f>
        <v>5.2008405264963278</v>
      </c>
      <c r="AO128" s="214" t="s">
        <v>333</v>
      </c>
      <c r="AP128" s="211">
        <f ca="1">+SUM(AJ128:AL128)-AN128</f>
        <v>0</v>
      </c>
      <c r="AQ128" s="211"/>
      <c r="AR128" s="212"/>
      <c r="AS128" s="213">
        <f>SUM(AS110:AS127)</f>
        <v>1970.2483330271507</v>
      </c>
      <c r="AT128" s="212"/>
      <c r="AU128" s="213">
        <f>SUM(AU110:AU127)</f>
        <v>18709.788333027154</v>
      </c>
      <c r="AV128" s="4">
        <f>+AS128/S128</f>
        <v>0.11770026733274334</v>
      </c>
    </row>
    <row r="129" spans="1:47" outlineLevel="1" x14ac:dyDescent="0.25">
      <c r="E129" s="16"/>
      <c r="F129" s="16"/>
      <c r="G129" s="16"/>
      <c r="H129" s="16"/>
      <c r="I129" s="16"/>
      <c r="J129" s="16"/>
      <c r="K129" s="16"/>
      <c r="L129" s="16"/>
      <c r="M129" s="16"/>
      <c r="N129" s="17"/>
      <c r="O129" s="17"/>
      <c r="P129" s="17"/>
      <c r="Q129" s="17"/>
      <c r="R129" s="17"/>
      <c r="S129" s="17"/>
      <c r="T129" s="184" t="s">
        <v>374</v>
      </c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R129" s="19"/>
      <c r="AS129" s="19"/>
      <c r="AT129" s="19"/>
      <c r="AU129" s="19"/>
    </row>
    <row r="130" spans="1:47" outlineLevel="1" x14ac:dyDescent="0.25">
      <c r="B130" s="2" t="s">
        <v>152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7"/>
      <c r="O130" s="17"/>
      <c r="P130" s="17"/>
      <c r="Q130" s="17"/>
      <c r="R130" s="17"/>
      <c r="S130" s="17"/>
      <c r="AB130" s="18"/>
      <c r="AC130" s="18"/>
      <c r="AD130" s="18"/>
      <c r="AE130" s="18"/>
      <c r="AF130" s="18"/>
      <c r="AG130" s="18"/>
      <c r="AH130" s="18"/>
      <c r="AR130" s="19"/>
      <c r="AS130" s="19"/>
      <c r="AT130" s="19"/>
      <c r="AU130" s="19"/>
    </row>
    <row r="131" spans="1:47" outlineLevel="1" x14ac:dyDescent="0.25">
      <c r="A131" s="1" t="str">
        <f>+$A$5&amp;$A$109&amp;B131</f>
        <v>VashonRoll offDISP</v>
      </c>
      <c r="B131" s="1" t="s">
        <v>153</v>
      </c>
      <c r="C131" s="1" t="s">
        <v>154</v>
      </c>
      <c r="D131" s="202">
        <f>IFERROR(VLOOKUP(B131,[53]Vashon!$B$10:$S$434,4,FALSE),0)</f>
        <v>140.82</v>
      </c>
      <c r="E131" s="202">
        <f>IFERROR(VLOOKUP(A131,'[51]PI Default Pricing 3.1.21'!A:L,12,FALSE),0)</f>
        <v>154.02000000000001</v>
      </c>
      <c r="F131" s="16"/>
      <c r="G131" s="203">
        <v>3875.36</v>
      </c>
      <c r="H131" s="203">
        <v>7573.3</v>
      </c>
      <c r="I131" s="203">
        <v>1223.73</v>
      </c>
      <c r="J131" s="203">
        <v>2664.32</v>
      </c>
      <c r="K131" s="203">
        <v>1387.07</v>
      </c>
      <c r="L131" s="203">
        <v>875.9</v>
      </c>
      <c r="M131" s="203">
        <v>1070.23</v>
      </c>
      <c r="N131" s="17">
        <v>1144.46</v>
      </c>
      <c r="O131" s="17">
        <v>0</v>
      </c>
      <c r="P131" s="17">
        <v>3069.63</v>
      </c>
      <c r="Q131" s="17">
        <v>2541.35</v>
      </c>
      <c r="R131" s="17">
        <v>2177.84</v>
      </c>
      <c r="S131" s="17">
        <v>27603.19</v>
      </c>
      <c r="U131" s="18">
        <f t="shared" ref="U131:AA131" si="84">+IFERROR(G131/$D131,0)</f>
        <v>27.519954551910242</v>
      </c>
      <c r="V131" s="18">
        <f t="shared" si="84"/>
        <v>53.780002840505617</v>
      </c>
      <c r="W131" s="18">
        <f t="shared" si="84"/>
        <v>8.6900298253089048</v>
      </c>
      <c r="X131" s="18">
        <f t="shared" si="84"/>
        <v>18.920039767078542</v>
      </c>
      <c r="Y131" s="18">
        <f t="shared" si="84"/>
        <v>9.8499502911518242</v>
      </c>
      <c r="Z131" s="18">
        <f t="shared" si="84"/>
        <v>6.2199971594943904</v>
      </c>
      <c r="AA131" s="18">
        <f t="shared" si="84"/>
        <v>7.5999857974719509</v>
      </c>
      <c r="AB131" s="18">
        <f t="shared" ref="AB131:AF131" si="85">+IFERROR(N131/$E131,0)</f>
        <v>7.43059342942475</v>
      </c>
      <c r="AC131" s="18">
        <f t="shared" si="85"/>
        <v>0</v>
      </c>
      <c r="AD131" s="18">
        <f t="shared" si="85"/>
        <v>19.930074016361512</v>
      </c>
      <c r="AE131" s="18">
        <f t="shared" si="85"/>
        <v>16.500129853265808</v>
      </c>
      <c r="AF131" s="18">
        <f t="shared" si="85"/>
        <v>14.139981820542786</v>
      </c>
      <c r="AG131" s="18">
        <f t="shared" ref="AG131" si="86">SUM(U131:AF131)</f>
        <v>190.58073935251639</v>
      </c>
      <c r="AH131" s="18">
        <f t="shared" ref="AH131" si="87">+SUM(U131:AF131)/$AB$2</f>
        <v>15.881728279376366</v>
      </c>
      <c r="AQ131" s="205">
        <v>168.68</v>
      </c>
    </row>
    <row r="132" spans="1:47" outlineLevel="1" x14ac:dyDescent="0.25">
      <c r="E132" s="16"/>
      <c r="F132" s="16"/>
      <c r="G132" s="16"/>
      <c r="H132" s="16"/>
      <c r="I132" s="16"/>
      <c r="J132" s="16"/>
      <c r="K132" s="16"/>
      <c r="L132" s="16"/>
      <c r="M132" s="16"/>
      <c r="N132" s="17"/>
      <c r="O132" s="17"/>
      <c r="P132" s="17"/>
      <c r="Q132" s="17"/>
      <c r="R132" s="17"/>
      <c r="S132" s="17"/>
      <c r="AB132" s="18"/>
      <c r="AC132" s="18"/>
      <c r="AD132" s="18"/>
      <c r="AE132" s="18"/>
      <c r="AF132" s="18"/>
      <c r="AG132" s="18"/>
      <c r="AH132" s="18"/>
      <c r="AR132" s="19"/>
      <c r="AS132" s="19"/>
      <c r="AT132" s="19"/>
      <c r="AU132" s="19"/>
    </row>
    <row r="133" spans="1:47" ht="15.75" outlineLevel="1" thickBot="1" x14ac:dyDescent="0.3">
      <c r="C133" s="3" t="s">
        <v>155</v>
      </c>
      <c r="D133" s="3"/>
      <c r="E133" s="16"/>
      <c r="F133" s="16"/>
      <c r="G133" s="20">
        <f t="shared" ref="G133:S133" si="88">SUM(G131:G132)</f>
        <v>3875.36</v>
      </c>
      <c r="H133" s="20">
        <f t="shared" si="88"/>
        <v>7573.3</v>
      </c>
      <c r="I133" s="20">
        <f t="shared" si="88"/>
        <v>1223.73</v>
      </c>
      <c r="J133" s="20">
        <f t="shared" si="88"/>
        <v>2664.32</v>
      </c>
      <c r="K133" s="20">
        <f t="shared" si="88"/>
        <v>1387.07</v>
      </c>
      <c r="L133" s="20">
        <f t="shared" si="88"/>
        <v>875.9</v>
      </c>
      <c r="M133" s="20">
        <f t="shared" si="88"/>
        <v>1070.23</v>
      </c>
      <c r="N133" s="20">
        <f t="shared" si="88"/>
        <v>1144.46</v>
      </c>
      <c r="O133" s="20">
        <f t="shared" si="88"/>
        <v>0</v>
      </c>
      <c r="P133" s="20">
        <f t="shared" si="88"/>
        <v>3069.63</v>
      </c>
      <c r="Q133" s="20">
        <f t="shared" si="88"/>
        <v>2541.35</v>
      </c>
      <c r="R133" s="20">
        <f t="shared" si="88"/>
        <v>2177.84</v>
      </c>
      <c r="S133" s="20">
        <f t="shared" si="88"/>
        <v>27603.19</v>
      </c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R133" s="220"/>
      <c r="AS133" s="220"/>
      <c r="AT133" s="220"/>
      <c r="AU133" s="220">
        <f>+AS133+S133</f>
        <v>27603.19</v>
      </c>
    </row>
    <row r="134" spans="1:47" outlineLevel="1" x14ac:dyDescent="0.25">
      <c r="E134" s="16"/>
      <c r="F134" s="16"/>
      <c r="G134" s="16"/>
      <c r="H134" s="16"/>
      <c r="I134" s="16"/>
      <c r="J134" s="16"/>
      <c r="K134" s="16"/>
      <c r="L134" s="16"/>
      <c r="M134" s="16"/>
      <c r="N134" s="17"/>
      <c r="O134" s="17"/>
      <c r="P134" s="17"/>
      <c r="Q134" s="17"/>
      <c r="R134" s="17"/>
      <c r="S134" s="17"/>
      <c r="AB134" s="18"/>
      <c r="AC134" s="18"/>
      <c r="AD134" s="18"/>
      <c r="AE134" s="18"/>
      <c r="AF134" s="18"/>
      <c r="AG134" s="18"/>
      <c r="AH134" s="18"/>
      <c r="AR134" s="19"/>
      <c r="AS134" s="19"/>
      <c r="AT134" s="19"/>
      <c r="AU134" s="19"/>
    </row>
    <row r="135" spans="1:47" outlineLevel="1" x14ac:dyDescent="0.25">
      <c r="E135" s="16"/>
      <c r="F135" s="16"/>
      <c r="G135" s="16"/>
      <c r="H135" s="16"/>
      <c r="I135" s="16"/>
      <c r="J135" s="16"/>
      <c r="K135" s="16"/>
      <c r="L135" s="16"/>
      <c r="M135" s="16"/>
      <c r="N135" s="17"/>
      <c r="O135" s="17"/>
      <c r="P135" s="17"/>
      <c r="Q135" s="17"/>
      <c r="R135" s="17"/>
      <c r="S135" s="17"/>
      <c r="AB135" s="18"/>
      <c r="AC135" s="18"/>
      <c r="AD135" s="18"/>
      <c r="AE135" s="18"/>
      <c r="AF135" s="18"/>
      <c r="AG135" s="18"/>
      <c r="AH135" s="18"/>
      <c r="AR135" s="19"/>
      <c r="AS135" s="19"/>
      <c r="AT135" s="19"/>
      <c r="AU135" s="19"/>
    </row>
    <row r="136" spans="1:47" s="2" customFormat="1" x14ac:dyDescent="0.25">
      <c r="B136" s="2" t="s">
        <v>375</v>
      </c>
      <c r="E136" s="16"/>
      <c r="F136" s="16"/>
      <c r="G136" s="22">
        <f t="shared" ref="G136:S136" si="89">+G128+G133</f>
        <v>5838.09</v>
      </c>
      <c r="H136" s="22">
        <f t="shared" si="89"/>
        <v>10440.799999999999</v>
      </c>
      <c r="I136" s="22">
        <f t="shared" si="89"/>
        <v>2090.0700000000002</v>
      </c>
      <c r="J136" s="22">
        <f t="shared" si="89"/>
        <v>4685.83</v>
      </c>
      <c r="K136" s="22">
        <f t="shared" si="89"/>
        <v>2543.5999999999995</v>
      </c>
      <c r="L136" s="22">
        <f t="shared" si="89"/>
        <v>1521.73</v>
      </c>
      <c r="M136" s="22">
        <f t="shared" si="89"/>
        <v>1877.19</v>
      </c>
      <c r="N136" s="22">
        <f t="shared" si="89"/>
        <v>2118.17</v>
      </c>
      <c r="O136" s="22">
        <f t="shared" si="89"/>
        <v>612.99</v>
      </c>
      <c r="P136" s="22">
        <f t="shared" si="89"/>
        <v>4533.22</v>
      </c>
      <c r="Q136" s="22">
        <f t="shared" si="89"/>
        <v>4381.87</v>
      </c>
      <c r="R136" s="22">
        <f t="shared" si="89"/>
        <v>3699.17</v>
      </c>
      <c r="S136" s="22">
        <f t="shared" si="89"/>
        <v>44342.729999999996</v>
      </c>
      <c r="T136" s="184"/>
      <c r="U136" s="22">
        <f t="shared" ref="U136:AH136" si="90">+U128+U133</f>
        <v>5.7664571617598419</v>
      </c>
      <c r="V136" s="22">
        <f t="shared" si="90"/>
        <v>6.3666060205094279</v>
      </c>
      <c r="W136" s="22">
        <f t="shared" si="90"/>
        <v>0.43317896129672517</v>
      </c>
      <c r="X136" s="22">
        <f t="shared" si="90"/>
        <v>5.3331128018524652</v>
      </c>
      <c r="Y136" s="22">
        <f t="shared" si="90"/>
        <v>5.1999669202778698</v>
      </c>
      <c r="Z136" s="22">
        <f t="shared" si="90"/>
        <v>4.3332782004631163</v>
      </c>
      <c r="AA136" s="22">
        <f t="shared" si="90"/>
        <v>6.0333278200463116</v>
      </c>
      <c r="AB136" s="22">
        <f t="shared" si="90"/>
        <v>5.7995504675162461</v>
      </c>
      <c r="AC136" s="22">
        <f t="shared" si="90"/>
        <v>5.812052227913127</v>
      </c>
      <c r="AD136" s="22">
        <f t="shared" si="90"/>
        <v>6.2332120410188558</v>
      </c>
      <c r="AE136" s="22">
        <f t="shared" si="90"/>
        <v>5.9995394569095222</v>
      </c>
      <c r="AF136" s="22">
        <f t="shared" si="90"/>
        <v>5.0998042383924327</v>
      </c>
      <c r="AG136" s="22">
        <f t="shared" si="90"/>
        <v>62.410086317955937</v>
      </c>
      <c r="AH136" s="22">
        <f t="shared" si="90"/>
        <v>5.2008405264963278</v>
      </c>
      <c r="AJ136" s="185"/>
      <c r="AK136" s="185"/>
      <c r="AL136" s="185"/>
      <c r="AM136" s="185"/>
      <c r="AN136" s="186"/>
      <c r="AR136" s="19"/>
      <c r="AS136" s="19"/>
      <c r="AT136" s="19"/>
      <c r="AU136" s="19"/>
    </row>
    <row r="137" spans="1:47" s="2" customFormat="1" outlineLevel="1" x14ac:dyDescent="0.25">
      <c r="E137" s="16"/>
      <c r="F137" s="16"/>
      <c r="G137" s="16"/>
      <c r="H137" s="16"/>
      <c r="I137" s="16"/>
      <c r="J137" s="16"/>
      <c r="K137" s="16"/>
      <c r="L137" s="16"/>
      <c r="M137" s="16"/>
      <c r="N137" s="17"/>
      <c r="O137" s="17"/>
      <c r="P137" s="17"/>
      <c r="Q137" s="17"/>
      <c r="R137" s="17"/>
      <c r="S137" s="17"/>
      <c r="T137" s="184"/>
      <c r="U137" s="184"/>
      <c r="V137" s="184"/>
      <c r="W137" s="184"/>
      <c r="X137" s="184"/>
      <c r="Y137" s="184"/>
      <c r="Z137" s="184"/>
      <c r="AA137" s="184"/>
      <c r="AB137" s="24"/>
      <c r="AC137" s="24"/>
      <c r="AD137" s="24"/>
      <c r="AE137" s="24"/>
      <c r="AF137" s="24"/>
      <c r="AG137" s="24"/>
      <c r="AH137" s="24"/>
      <c r="AJ137" s="185"/>
      <c r="AK137" s="185"/>
      <c r="AL137" s="185"/>
      <c r="AM137" s="185"/>
      <c r="AN137" s="186"/>
      <c r="AR137" s="19"/>
      <c r="AS137" s="19"/>
      <c r="AT137" s="19"/>
      <c r="AU137" s="19"/>
    </row>
    <row r="138" spans="1:47" s="2" customFormat="1" outlineLevel="1" x14ac:dyDescent="0.25">
      <c r="E138" s="16"/>
      <c r="F138" s="16"/>
      <c r="G138" s="16"/>
      <c r="H138" s="16"/>
      <c r="I138" s="16"/>
      <c r="J138" s="16"/>
      <c r="K138" s="16"/>
      <c r="L138" s="16"/>
      <c r="M138" s="16"/>
      <c r="N138" s="17"/>
      <c r="O138" s="17"/>
      <c r="P138" s="17"/>
      <c r="Q138" s="17"/>
      <c r="R138" s="17"/>
      <c r="S138" s="17"/>
      <c r="T138" s="184"/>
      <c r="U138" s="184"/>
      <c r="V138" s="184"/>
      <c r="W138" s="184"/>
      <c r="X138" s="184"/>
      <c r="Y138" s="184"/>
      <c r="Z138" s="184"/>
      <c r="AA138" s="184"/>
      <c r="AB138" s="24"/>
      <c r="AC138" s="24"/>
      <c r="AD138" s="24"/>
      <c r="AE138" s="24"/>
      <c r="AF138" s="24"/>
      <c r="AG138" s="24"/>
      <c r="AH138" s="24"/>
      <c r="AJ138" s="185"/>
      <c r="AK138" s="185"/>
      <c r="AL138" s="185"/>
      <c r="AM138" s="185"/>
      <c r="AN138" s="186"/>
      <c r="AR138" s="19"/>
      <c r="AS138" s="19"/>
      <c r="AT138" s="19"/>
      <c r="AU138" s="19"/>
    </row>
    <row r="139" spans="1:47" outlineLevel="1" x14ac:dyDescent="0.25">
      <c r="A139" s="1" t="s">
        <v>376</v>
      </c>
      <c r="B139" s="12" t="s">
        <v>377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7"/>
      <c r="O139" s="17"/>
      <c r="P139" s="17"/>
      <c r="Q139" s="17"/>
      <c r="R139" s="17"/>
      <c r="S139" s="17"/>
      <c r="AB139" s="18"/>
      <c r="AC139" s="18"/>
      <c r="AD139" s="18"/>
      <c r="AE139" s="18"/>
      <c r="AF139" s="18"/>
      <c r="AG139" s="18"/>
      <c r="AH139" s="18"/>
      <c r="AR139" s="19"/>
      <c r="AS139" s="19"/>
      <c r="AT139" s="19"/>
      <c r="AU139" s="19"/>
    </row>
    <row r="140" spans="1:47" outlineLevel="1" x14ac:dyDescent="0.25">
      <c r="E140" s="16"/>
      <c r="F140" s="16"/>
      <c r="G140" s="16"/>
      <c r="H140" s="16"/>
      <c r="I140" s="16"/>
      <c r="J140" s="16"/>
      <c r="K140" s="16"/>
      <c r="L140" s="16"/>
      <c r="M140" s="16"/>
      <c r="N140" s="17"/>
      <c r="O140" s="17"/>
      <c r="P140" s="17"/>
      <c r="Q140" s="17"/>
      <c r="R140" s="17"/>
      <c r="S140" s="17"/>
      <c r="AB140" s="18"/>
      <c r="AC140" s="18"/>
      <c r="AD140" s="18"/>
      <c r="AE140" s="18"/>
      <c r="AF140" s="18"/>
      <c r="AG140" s="18"/>
      <c r="AH140" s="18"/>
      <c r="AR140" s="19"/>
      <c r="AS140" s="19"/>
      <c r="AT140" s="19"/>
      <c r="AU140" s="19"/>
    </row>
    <row r="141" spans="1:47" ht="15.75" outlineLevel="1" thickBot="1" x14ac:dyDescent="0.3">
      <c r="C141" s="3" t="s">
        <v>378</v>
      </c>
      <c r="D141" s="3"/>
      <c r="E141" s="16"/>
      <c r="F141" s="16"/>
      <c r="G141" s="20">
        <f t="shared" ref="G141:S141" si="91">+SUM(G140:G140)</f>
        <v>0</v>
      </c>
      <c r="H141" s="20">
        <f t="shared" si="91"/>
        <v>0</v>
      </c>
      <c r="I141" s="20">
        <f t="shared" si="91"/>
        <v>0</v>
      </c>
      <c r="J141" s="20">
        <f t="shared" si="91"/>
        <v>0</v>
      </c>
      <c r="K141" s="20">
        <f t="shared" si="91"/>
        <v>0</v>
      </c>
      <c r="L141" s="20">
        <f t="shared" si="91"/>
        <v>0</v>
      </c>
      <c r="M141" s="20">
        <f t="shared" si="91"/>
        <v>0</v>
      </c>
      <c r="N141" s="20">
        <f t="shared" si="91"/>
        <v>0</v>
      </c>
      <c r="O141" s="20">
        <f t="shared" si="91"/>
        <v>0</v>
      </c>
      <c r="P141" s="20">
        <f t="shared" si="91"/>
        <v>0</v>
      </c>
      <c r="Q141" s="20">
        <f t="shared" si="91"/>
        <v>0</v>
      </c>
      <c r="R141" s="20">
        <f t="shared" si="91"/>
        <v>0</v>
      </c>
      <c r="S141" s="20">
        <f t="shared" si="91"/>
        <v>0</v>
      </c>
      <c r="U141" s="20">
        <f t="shared" ref="U141:AF141" si="92">+SUM(U140:U140)</f>
        <v>0</v>
      </c>
      <c r="V141" s="20">
        <f t="shared" si="92"/>
        <v>0</v>
      </c>
      <c r="W141" s="20">
        <f t="shared" si="92"/>
        <v>0</v>
      </c>
      <c r="X141" s="20">
        <f t="shared" si="92"/>
        <v>0</v>
      </c>
      <c r="Y141" s="20">
        <f t="shared" si="92"/>
        <v>0</v>
      </c>
      <c r="Z141" s="20">
        <f t="shared" si="92"/>
        <v>0</v>
      </c>
      <c r="AA141" s="20">
        <f t="shared" si="92"/>
        <v>0</v>
      </c>
      <c r="AB141" s="20">
        <f t="shared" si="92"/>
        <v>0</v>
      </c>
      <c r="AC141" s="20">
        <f t="shared" si="92"/>
        <v>0</v>
      </c>
      <c r="AD141" s="20">
        <f t="shared" si="92"/>
        <v>0</v>
      </c>
      <c r="AE141" s="20">
        <f t="shared" si="92"/>
        <v>0</v>
      </c>
      <c r="AF141" s="20">
        <f t="shared" si="92"/>
        <v>0</v>
      </c>
      <c r="AG141" s="20">
        <f t="shared" ref="AG141" si="93">SUM(U141:AF141)</f>
        <v>0</v>
      </c>
      <c r="AH141" s="20">
        <f>+SUM(AH140:AH140)</f>
        <v>0</v>
      </c>
      <c r="AR141" s="220"/>
      <c r="AS141" s="220"/>
      <c r="AT141" s="220"/>
      <c r="AU141" s="220">
        <f>+AS141+S141</f>
        <v>0</v>
      </c>
    </row>
    <row r="142" spans="1:47" outlineLevel="1" x14ac:dyDescent="0.25">
      <c r="C142" s="3"/>
      <c r="D142" s="3"/>
      <c r="E142" s="16"/>
      <c r="F142" s="16"/>
      <c r="G142" s="16"/>
      <c r="H142" s="16"/>
      <c r="I142" s="16"/>
      <c r="J142" s="16"/>
      <c r="K142" s="16"/>
      <c r="L142" s="16"/>
      <c r="M142" s="16"/>
      <c r="N142" s="21"/>
      <c r="O142" s="21"/>
      <c r="P142" s="21"/>
      <c r="Q142" s="21"/>
      <c r="R142" s="21"/>
      <c r="S142" s="21"/>
      <c r="AB142" s="21"/>
      <c r="AC142" s="21"/>
      <c r="AD142" s="21"/>
      <c r="AE142" s="21"/>
      <c r="AF142" s="21"/>
      <c r="AG142" s="21"/>
      <c r="AH142" s="21"/>
      <c r="AR142" s="19"/>
      <c r="AS142" s="19"/>
      <c r="AT142" s="19"/>
      <c r="AU142" s="19"/>
    </row>
    <row r="143" spans="1:47" outlineLevel="1" x14ac:dyDescent="0.25">
      <c r="E143" s="16"/>
      <c r="F143" s="16"/>
      <c r="G143" s="16"/>
      <c r="H143" s="16"/>
      <c r="I143" s="16"/>
      <c r="J143" s="16"/>
      <c r="K143" s="16"/>
      <c r="L143" s="16"/>
      <c r="M143" s="16"/>
      <c r="N143" s="5"/>
      <c r="O143" s="5"/>
      <c r="P143" s="5"/>
      <c r="Q143" s="5"/>
      <c r="R143" s="5"/>
      <c r="S143" s="5"/>
      <c r="AB143" s="5"/>
      <c r="AC143" s="5"/>
      <c r="AD143" s="5"/>
      <c r="AE143" s="5"/>
      <c r="AF143" s="5"/>
      <c r="AG143" s="5"/>
      <c r="AH143" s="5"/>
      <c r="AR143" s="19"/>
      <c r="AS143" s="19"/>
      <c r="AT143" s="19"/>
      <c r="AU143" s="19"/>
    </row>
    <row r="144" spans="1:47" s="2" customFormat="1" x14ac:dyDescent="0.25">
      <c r="B144" s="2" t="s">
        <v>379</v>
      </c>
      <c r="E144" s="16"/>
      <c r="F144" s="16"/>
      <c r="G144" s="22">
        <f t="shared" ref="G144:M144" si="94">+G141</f>
        <v>0</v>
      </c>
      <c r="H144" s="22">
        <f t="shared" si="94"/>
        <v>0</v>
      </c>
      <c r="I144" s="22">
        <f t="shared" si="94"/>
        <v>0</v>
      </c>
      <c r="J144" s="22">
        <f t="shared" si="94"/>
        <v>0</v>
      </c>
      <c r="K144" s="22">
        <f t="shared" si="94"/>
        <v>0</v>
      </c>
      <c r="L144" s="22">
        <f t="shared" si="94"/>
        <v>0</v>
      </c>
      <c r="M144" s="22">
        <f t="shared" si="94"/>
        <v>0</v>
      </c>
      <c r="N144" s="22">
        <f>+N141</f>
        <v>0</v>
      </c>
      <c r="O144" s="22">
        <f t="shared" ref="O144:R144" si="95">+O141</f>
        <v>0</v>
      </c>
      <c r="P144" s="22">
        <f t="shared" si="95"/>
        <v>0</v>
      </c>
      <c r="Q144" s="22">
        <f t="shared" si="95"/>
        <v>0</v>
      </c>
      <c r="R144" s="22">
        <f t="shared" si="95"/>
        <v>0</v>
      </c>
      <c r="S144" s="17">
        <f>SUM(G144:R144)</f>
        <v>0</v>
      </c>
      <c r="T144" s="184"/>
      <c r="U144" s="22">
        <f t="shared" ref="U144:AG144" si="96">+U141</f>
        <v>0</v>
      </c>
      <c r="V144" s="22">
        <f t="shared" si="96"/>
        <v>0</v>
      </c>
      <c r="W144" s="22">
        <f t="shared" si="96"/>
        <v>0</v>
      </c>
      <c r="X144" s="22">
        <f t="shared" si="96"/>
        <v>0</v>
      </c>
      <c r="Y144" s="22">
        <f t="shared" si="96"/>
        <v>0</v>
      </c>
      <c r="Z144" s="22">
        <f t="shared" si="96"/>
        <v>0</v>
      </c>
      <c r="AA144" s="22">
        <f t="shared" si="96"/>
        <v>0</v>
      </c>
      <c r="AB144" s="22">
        <f t="shared" si="96"/>
        <v>0</v>
      </c>
      <c r="AC144" s="22">
        <f t="shared" si="96"/>
        <v>0</v>
      </c>
      <c r="AD144" s="22">
        <f t="shared" si="96"/>
        <v>0</v>
      </c>
      <c r="AE144" s="22">
        <f t="shared" si="96"/>
        <v>0</v>
      </c>
      <c r="AF144" s="22">
        <f t="shared" si="96"/>
        <v>0</v>
      </c>
      <c r="AG144" s="22">
        <f t="shared" si="96"/>
        <v>0</v>
      </c>
      <c r="AH144" s="22"/>
      <c r="AJ144" s="185"/>
      <c r="AK144" s="185"/>
      <c r="AL144" s="185"/>
      <c r="AM144" s="185"/>
      <c r="AN144" s="186"/>
      <c r="AR144" s="19"/>
      <c r="AS144" s="19"/>
      <c r="AT144" s="19"/>
      <c r="AU144" s="19"/>
    </row>
    <row r="145" spans="1:50" s="2" customFormat="1" outlineLevel="1" x14ac:dyDescent="0.25">
      <c r="E145" s="16"/>
      <c r="F145" s="16"/>
      <c r="G145" s="17"/>
      <c r="H145" s="17"/>
      <c r="I145" s="17"/>
      <c r="J145" s="17"/>
      <c r="K145" s="17"/>
      <c r="L145" s="17"/>
      <c r="M145" s="17"/>
      <c r="N145" s="22"/>
      <c r="O145" s="22"/>
      <c r="P145" s="22"/>
      <c r="Q145" s="22"/>
      <c r="R145" s="22"/>
      <c r="S145" s="22"/>
      <c r="T145" s="184"/>
      <c r="U145" s="184"/>
      <c r="V145" s="184"/>
      <c r="W145" s="184"/>
      <c r="X145" s="184"/>
      <c r="Y145" s="184"/>
      <c r="Z145" s="184"/>
      <c r="AA145" s="184"/>
      <c r="AB145" s="24"/>
      <c r="AC145" s="24"/>
      <c r="AD145" s="24"/>
      <c r="AE145" s="24"/>
      <c r="AF145" s="24"/>
      <c r="AG145" s="24"/>
      <c r="AH145" s="24"/>
      <c r="AJ145" s="185"/>
      <c r="AK145" s="185"/>
      <c r="AL145" s="185"/>
      <c r="AM145" s="185"/>
      <c r="AN145" s="186"/>
    </row>
    <row r="146" spans="1:50" s="2" customFormat="1" outlineLevel="1" x14ac:dyDescent="0.25">
      <c r="E146" s="16"/>
      <c r="F146" s="16"/>
      <c r="G146" s="17"/>
      <c r="H146" s="17"/>
      <c r="I146" s="17"/>
      <c r="J146" s="17"/>
      <c r="K146" s="17"/>
      <c r="L146" s="17"/>
      <c r="M146" s="17"/>
      <c r="N146" s="22"/>
      <c r="O146" s="22"/>
      <c r="P146" s="22"/>
      <c r="Q146" s="22"/>
      <c r="R146" s="22"/>
      <c r="S146" s="22"/>
      <c r="T146" s="184"/>
      <c r="U146" s="184"/>
      <c r="V146" s="184"/>
      <c r="W146" s="184"/>
      <c r="X146" s="184"/>
      <c r="Y146" s="184"/>
      <c r="Z146" s="184"/>
      <c r="AA146" s="184"/>
      <c r="AB146" s="24"/>
      <c r="AC146" s="24"/>
      <c r="AD146" s="24"/>
      <c r="AE146" s="24"/>
      <c r="AF146" s="24"/>
      <c r="AG146" s="24"/>
      <c r="AH146" s="24"/>
      <c r="AJ146" s="185"/>
      <c r="AK146" s="185"/>
      <c r="AL146" s="185"/>
      <c r="AM146" s="185"/>
      <c r="AN146" s="186"/>
    </row>
    <row r="147" spans="1:50" outlineLevel="1" x14ac:dyDescent="0.25">
      <c r="A147" s="1" t="s">
        <v>380</v>
      </c>
      <c r="B147" s="12" t="s">
        <v>381</v>
      </c>
      <c r="E147" s="16"/>
      <c r="F147" s="16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AB147" s="18"/>
      <c r="AC147" s="18"/>
      <c r="AD147" s="18"/>
      <c r="AE147" s="18"/>
      <c r="AF147" s="18"/>
      <c r="AG147" s="18"/>
      <c r="AH147" s="18"/>
    </row>
    <row r="148" spans="1:50" outlineLevel="1" x14ac:dyDescent="0.25">
      <c r="A148" s="1" t="str">
        <f>+$A$5&amp;$A$147&amp;B148</f>
        <v>VashonAccountingADJ-SB</v>
      </c>
      <c r="B148" s="1" t="s">
        <v>382</v>
      </c>
      <c r="C148" s="1" t="s">
        <v>383</v>
      </c>
      <c r="D148" s="207">
        <f>IFERROR(VLOOKUP(B148,[53]Vashon!$B$10:$S$434,4,FALSE),0)</f>
        <v>0</v>
      </c>
      <c r="E148" s="16">
        <f>IFERROR(VLOOKUP(A148,'[51]PI Default Pricing 3.1.21'!A:L,12,FALSE),0)</f>
        <v>0</v>
      </c>
      <c r="F148" s="16"/>
      <c r="G148" s="203">
        <v>0</v>
      </c>
      <c r="H148" s="203">
        <v>0</v>
      </c>
      <c r="I148" s="203">
        <v>0</v>
      </c>
      <c r="J148" s="203">
        <v>0</v>
      </c>
      <c r="K148" s="203">
        <v>1.6099999999999999</v>
      </c>
      <c r="L148" s="203">
        <v>0</v>
      </c>
      <c r="M148" s="203">
        <v>0.1</v>
      </c>
      <c r="N148" s="17">
        <v>0</v>
      </c>
      <c r="O148" s="17">
        <v>0</v>
      </c>
      <c r="P148" s="17">
        <v>0.05</v>
      </c>
      <c r="Q148" s="17">
        <v>0</v>
      </c>
      <c r="R148" s="17">
        <v>0</v>
      </c>
      <c r="S148" s="17">
        <v>1.76</v>
      </c>
      <c r="U148" s="18">
        <f t="shared" ref="U148:AA151" si="97">+IFERROR(G148/$D148,0)</f>
        <v>0</v>
      </c>
      <c r="V148" s="18">
        <f t="shared" si="97"/>
        <v>0</v>
      </c>
      <c r="W148" s="18">
        <f t="shared" si="97"/>
        <v>0</v>
      </c>
      <c r="X148" s="18">
        <f t="shared" si="97"/>
        <v>0</v>
      </c>
      <c r="Y148" s="18">
        <f t="shared" si="97"/>
        <v>0</v>
      </c>
      <c r="Z148" s="18">
        <f t="shared" si="97"/>
        <v>0</v>
      </c>
      <c r="AA148" s="18">
        <f t="shared" si="97"/>
        <v>0</v>
      </c>
      <c r="AB148" s="18">
        <f t="shared" ref="AB148:AF151" si="98">+IFERROR(N148/$E148,0)</f>
        <v>0</v>
      </c>
      <c r="AC148" s="18">
        <f t="shared" si="98"/>
        <v>0</v>
      </c>
      <c r="AD148" s="18">
        <f t="shared" si="98"/>
        <v>0</v>
      </c>
      <c r="AE148" s="18">
        <f t="shared" si="98"/>
        <v>0</v>
      </c>
      <c r="AF148" s="18">
        <f t="shared" si="98"/>
        <v>0</v>
      </c>
      <c r="AG148" s="18">
        <f t="shared" ref="AG148:AG151" si="99">SUM(U148:AF148)</f>
        <v>0</v>
      </c>
      <c r="AH148" s="18">
        <f t="shared" ref="AH148:AH151" si="100">+SUM(U148:AF148)/$AB$2</f>
        <v>0</v>
      </c>
    </row>
    <row r="149" spans="1:50" outlineLevel="1" x14ac:dyDescent="0.25">
      <c r="A149" s="1" t="str">
        <f>+$A$5&amp;$A$147&amp;B149</f>
        <v>VashonAccountingADJTAX</v>
      </c>
      <c r="B149" s="1" t="s">
        <v>384</v>
      </c>
      <c r="C149" s="1" t="s">
        <v>385</v>
      </c>
      <c r="D149" s="207">
        <f>IFERROR(VLOOKUP(B149,[53]Vashon!$B$10:$S$434,4,FALSE),0)</f>
        <v>0</v>
      </c>
      <c r="E149" s="16">
        <f>IFERROR(VLOOKUP(A149,'[51]PI Default Pricing 3.1.21'!A:L,12,FALSE),0)</f>
        <v>0</v>
      </c>
      <c r="F149" s="16"/>
      <c r="G149" s="203">
        <v>-1.34</v>
      </c>
      <c r="H149" s="203">
        <v>0</v>
      </c>
      <c r="I149" s="203">
        <v>0</v>
      </c>
      <c r="J149" s="203">
        <v>0</v>
      </c>
      <c r="K149" s="203">
        <v>0</v>
      </c>
      <c r="L149" s="203">
        <v>0</v>
      </c>
      <c r="M149" s="203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-1.34</v>
      </c>
      <c r="U149" s="18">
        <f t="shared" si="97"/>
        <v>0</v>
      </c>
      <c r="V149" s="18">
        <f t="shared" si="97"/>
        <v>0</v>
      </c>
      <c r="W149" s="18">
        <f t="shared" si="97"/>
        <v>0</v>
      </c>
      <c r="X149" s="18">
        <f t="shared" si="97"/>
        <v>0</v>
      </c>
      <c r="Y149" s="18">
        <f t="shared" si="97"/>
        <v>0</v>
      </c>
      <c r="Z149" s="18">
        <f t="shared" si="97"/>
        <v>0</v>
      </c>
      <c r="AA149" s="18">
        <f t="shared" si="97"/>
        <v>0</v>
      </c>
      <c r="AB149" s="18">
        <f t="shared" si="98"/>
        <v>0</v>
      </c>
      <c r="AC149" s="18">
        <f t="shared" si="98"/>
        <v>0</v>
      </c>
      <c r="AD149" s="18">
        <f t="shared" si="98"/>
        <v>0</v>
      </c>
      <c r="AE149" s="18">
        <f t="shared" si="98"/>
        <v>0</v>
      </c>
      <c r="AF149" s="18">
        <f t="shared" si="98"/>
        <v>0</v>
      </c>
      <c r="AG149" s="18">
        <f t="shared" si="99"/>
        <v>0</v>
      </c>
      <c r="AH149" s="18">
        <f t="shared" si="100"/>
        <v>0</v>
      </c>
    </row>
    <row r="150" spans="1:50" outlineLevel="1" x14ac:dyDescent="0.25">
      <c r="A150" s="1" t="str">
        <f>+$A$5&amp;$A$147&amp;B150</f>
        <v>VashonAccountingFINCHG</v>
      </c>
      <c r="B150" s="1" t="s">
        <v>386</v>
      </c>
      <c r="C150" s="1" t="s">
        <v>387</v>
      </c>
      <c r="D150" s="207">
        <f>IFERROR(VLOOKUP(B150,[53]Vashon!$B$10:$S$434,4,FALSE),0)</f>
        <v>0</v>
      </c>
      <c r="E150" s="16">
        <f>IFERROR(VLOOKUP(A150,'[51]PI Default Pricing 3.1.21'!A:L,12,FALSE),0)</f>
        <v>0</v>
      </c>
      <c r="F150" s="16"/>
      <c r="G150" s="203">
        <v>64.105000000000004</v>
      </c>
      <c r="H150" s="203">
        <v>109.13500000000001</v>
      </c>
      <c r="I150" s="203">
        <v>132.33500000000001</v>
      </c>
      <c r="J150" s="203">
        <v>151.77000000000001</v>
      </c>
      <c r="K150" s="203">
        <v>67.27</v>
      </c>
      <c r="L150" s="203">
        <v>68.929999999999993</v>
      </c>
      <c r="M150" s="203">
        <v>74.85499999999999</v>
      </c>
      <c r="N150" s="17">
        <v>78.575000000000003</v>
      </c>
      <c r="O150" s="17">
        <v>72.39500000000001</v>
      </c>
      <c r="P150" s="17">
        <v>69.8</v>
      </c>
      <c r="Q150" s="17">
        <v>77.77</v>
      </c>
      <c r="R150" s="17">
        <v>88.484999999999999</v>
      </c>
      <c r="S150" s="17">
        <v>1055.425</v>
      </c>
      <c r="U150" s="18">
        <f t="shared" si="97"/>
        <v>0</v>
      </c>
      <c r="V150" s="18">
        <f t="shared" si="97"/>
        <v>0</v>
      </c>
      <c r="W150" s="18">
        <f t="shared" si="97"/>
        <v>0</v>
      </c>
      <c r="X150" s="18">
        <f t="shared" si="97"/>
        <v>0</v>
      </c>
      <c r="Y150" s="18">
        <f t="shared" si="97"/>
        <v>0</v>
      </c>
      <c r="Z150" s="18">
        <f t="shared" si="97"/>
        <v>0</v>
      </c>
      <c r="AA150" s="18">
        <f t="shared" si="97"/>
        <v>0</v>
      </c>
      <c r="AB150" s="18">
        <f t="shared" si="98"/>
        <v>0</v>
      </c>
      <c r="AC150" s="18">
        <f t="shared" si="98"/>
        <v>0</v>
      </c>
      <c r="AD150" s="18">
        <f t="shared" si="98"/>
        <v>0</v>
      </c>
      <c r="AE150" s="18">
        <f t="shared" si="98"/>
        <v>0</v>
      </c>
      <c r="AF150" s="18">
        <f t="shared" si="98"/>
        <v>0</v>
      </c>
      <c r="AG150" s="18">
        <f t="shared" si="99"/>
        <v>0</v>
      </c>
      <c r="AH150" s="18">
        <f t="shared" si="100"/>
        <v>0</v>
      </c>
    </row>
    <row r="151" spans="1:50" outlineLevel="1" x14ac:dyDescent="0.25">
      <c r="A151" s="1" t="str">
        <f>+$A$5&amp;$A$147&amp;B151</f>
        <v>VashonAccountingNSF FEES</v>
      </c>
      <c r="B151" s="1" t="s">
        <v>388</v>
      </c>
      <c r="C151" s="1" t="s">
        <v>389</v>
      </c>
      <c r="D151" s="202">
        <f>IFERROR(VLOOKUP(B151,[53]Vashon!$B$10:$S$434,4,FALSE),0)</f>
        <v>28.08</v>
      </c>
      <c r="E151" s="202">
        <f>IFERROR(VLOOKUP(A151,'[51]PI Default Pricing 3.1.21'!A:L,12,FALSE),0)</f>
        <v>28.08</v>
      </c>
      <c r="F151" s="16"/>
      <c r="G151" s="203">
        <v>0</v>
      </c>
      <c r="H151" s="203">
        <v>28.08</v>
      </c>
      <c r="I151" s="203">
        <v>0</v>
      </c>
      <c r="J151" s="203">
        <v>0</v>
      </c>
      <c r="K151" s="203">
        <v>28.08</v>
      </c>
      <c r="L151" s="203">
        <v>0</v>
      </c>
      <c r="M151" s="203">
        <v>0</v>
      </c>
      <c r="N151" s="17">
        <v>0</v>
      </c>
      <c r="O151" s="17">
        <v>0</v>
      </c>
      <c r="P151" s="17">
        <v>28.08</v>
      </c>
      <c r="Q151" s="17">
        <v>0</v>
      </c>
      <c r="R151" s="17">
        <v>0</v>
      </c>
      <c r="S151" s="17">
        <v>84.24</v>
      </c>
      <c r="U151" s="18">
        <f t="shared" si="97"/>
        <v>0</v>
      </c>
      <c r="V151" s="18">
        <f t="shared" si="97"/>
        <v>1</v>
      </c>
      <c r="W151" s="18">
        <f t="shared" si="97"/>
        <v>0</v>
      </c>
      <c r="X151" s="18">
        <f t="shared" si="97"/>
        <v>0</v>
      </c>
      <c r="Y151" s="18">
        <f t="shared" si="97"/>
        <v>1</v>
      </c>
      <c r="Z151" s="18">
        <f t="shared" si="97"/>
        <v>0</v>
      </c>
      <c r="AA151" s="18">
        <f t="shared" si="97"/>
        <v>0</v>
      </c>
      <c r="AB151" s="18">
        <f t="shared" si="98"/>
        <v>0</v>
      </c>
      <c r="AC151" s="18">
        <f t="shared" si="98"/>
        <v>0</v>
      </c>
      <c r="AD151" s="18">
        <f t="shared" si="98"/>
        <v>1</v>
      </c>
      <c r="AE151" s="18">
        <f t="shared" si="98"/>
        <v>0</v>
      </c>
      <c r="AF151" s="18">
        <f t="shared" si="98"/>
        <v>0</v>
      </c>
      <c r="AG151" s="18">
        <f t="shared" si="99"/>
        <v>3</v>
      </c>
      <c r="AH151" s="18">
        <f t="shared" si="100"/>
        <v>0.25</v>
      </c>
      <c r="AQ151" s="205">
        <v>28.08</v>
      </c>
    </row>
    <row r="152" spans="1:50" outlineLevel="1" x14ac:dyDescent="0.25">
      <c r="E152" s="16"/>
      <c r="F152" s="16"/>
      <c r="G152" s="16"/>
      <c r="H152" s="16"/>
      <c r="I152" s="16"/>
      <c r="J152" s="16"/>
      <c r="K152" s="16"/>
      <c r="L152" s="16"/>
      <c r="M152" s="16"/>
      <c r="N152" s="17"/>
      <c r="O152" s="17"/>
      <c r="P152" s="17"/>
      <c r="Q152" s="17"/>
      <c r="R152" s="17"/>
      <c r="S152" s="17"/>
      <c r="AB152" s="18"/>
      <c r="AC152" s="18"/>
      <c r="AD152" s="18"/>
      <c r="AE152" s="18"/>
      <c r="AF152" s="18"/>
      <c r="AG152" s="18"/>
      <c r="AH152" s="18"/>
    </row>
    <row r="153" spans="1:50" ht="15.75" outlineLevel="1" thickBot="1" x14ac:dyDescent="0.3">
      <c r="C153" s="3" t="s">
        <v>390</v>
      </c>
      <c r="D153" s="3"/>
      <c r="E153" s="16"/>
      <c r="F153" s="16"/>
      <c r="G153" s="20">
        <f t="shared" ref="G153:S153" si="101">+SUM(G148:G152)</f>
        <v>62.765000000000001</v>
      </c>
      <c r="H153" s="20">
        <f t="shared" si="101"/>
        <v>137.215</v>
      </c>
      <c r="I153" s="20">
        <f t="shared" si="101"/>
        <v>132.33500000000001</v>
      </c>
      <c r="J153" s="20">
        <f t="shared" si="101"/>
        <v>151.77000000000001</v>
      </c>
      <c r="K153" s="20">
        <f t="shared" si="101"/>
        <v>96.96</v>
      </c>
      <c r="L153" s="20">
        <f t="shared" si="101"/>
        <v>68.929999999999993</v>
      </c>
      <c r="M153" s="20">
        <f t="shared" si="101"/>
        <v>74.954999999999984</v>
      </c>
      <c r="N153" s="20">
        <f t="shared" si="101"/>
        <v>78.575000000000003</v>
      </c>
      <c r="O153" s="20">
        <f t="shared" si="101"/>
        <v>72.39500000000001</v>
      </c>
      <c r="P153" s="20">
        <f t="shared" si="101"/>
        <v>97.929999999999993</v>
      </c>
      <c r="Q153" s="20">
        <f t="shared" si="101"/>
        <v>77.77</v>
      </c>
      <c r="R153" s="20">
        <f t="shared" si="101"/>
        <v>88.484999999999999</v>
      </c>
      <c r="S153" s="20">
        <f t="shared" si="101"/>
        <v>1140.085</v>
      </c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R153" s="220"/>
      <c r="AS153" s="220"/>
      <c r="AT153" s="220"/>
      <c r="AU153" s="220">
        <f>+AS153+S153</f>
        <v>1140.085</v>
      </c>
    </row>
    <row r="154" spans="1:50" outlineLevel="1" x14ac:dyDescent="0.25">
      <c r="C154" s="3"/>
      <c r="D154" s="3"/>
      <c r="E154" s="16"/>
      <c r="F154" s="16"/>
      <c r="G154" s="16"/>
      <c r="H154" s="16"/>
      <c r="I154" s="16"/>
      <c r="J154" s="16"/>
      <c r="K154" s="16"/>
      <c r="L154" s="16"/>
      <c r="M154" s="16"/>
      <c r="N154" s="21"/>
      <c r="O154" s="21"/>
      <c r="P154" s="21"/>
      <c r="Q154" s="21"/>
      <c r="R154" s="21"/>
      <c r="S154" s="21"/>
      <c r="AB154" s="21"/>
      <c r="AC154" s="21"/>
      <c r="AD154" s="21"/>
      <c r="AE154" s="21"/>
      <c r="AF154" s="21"/>
      <c r="AG154" s="21"/>
      <c r="AH154" s="21"/>
    </row>
    <row r="155" spans="1:50" outlineLevel="1" x14ac:dyDescent="0.25">
      <c r="E155" s="16"/>
      <c r="F155" s="16"/>
      <c r="G155" s="16"/>
      <c r="H155" s="16"/>
      <c r="I155" s="16"/>
      <c r="J155" s="16"/>
      <c r="K155" s="16"/>
      <c r="L155" s="16"/>
      <c r="M155" s="16"/>
      <c r="N155" s="5"/>
      <c r="O155" s="5"/>
      <c r="P155" s="5"/>
      <c r="Q155" s="5"/>
      <c r="R155" s="5"/>
      <c r="S155" s="5"/>
      <c r="AB155" s="5"/>
      <c r="AC155" s="5"/>
      <c r="AD155" s="5"/>
      <c r="AE155" s="5"/>
      <c r="AF155" s="5"/>
      <c r="AG155" s="5"/>
      <c r="AH155" s="5"/>
    </row>
    <row r="156" spans="1:50" s="2" customFormat="1" x14ac:dyDescent="0.25">
      <c r="B156" s="2" t="s">
        <v>391</v>
      </c>
      <c r="E156" s="16"/>
      <c r="F156" s="16"/>
      <c r="G156" s="22">
        <f t="shared" ref="G156:M156" si="102">+G153</f>
        <v>62.765000000000001</v>
      </c>
      <c r="H156" s="22">
        <f t="shared" si="102"/>
        <v>137.215</v>
      </c>
      <c r="I156" s="22">
        <f t="shared" si="102"/>
        <v>132.33500000000001</v>
      </c>
      <c r="J156" s="22">
        <f t="shared" si="102"/>
        <v>151.77000000000001</v>
      </c>
      <c r="K156" s="22">
        <f t="shared" si="102"/>
        <v>96.96</v>
      </c>
      <c r="L156" s="22">
        <f t="shared" si="102"/>
        <v>68.929999999999993</v>
      </c>
      <c r="M156" s="22">
        <f t="shared" si="102"/>
        <v>74.954999999999984</v>
      </c>
      <c r="N156" s="22">
        <f>+N153</f>
        <v>78.575000000000003</v>
      </c>
      <c r="O156" s="22">
        <f t="shared" ref="O156:R156" si="103">+O153</f>
        <v>72.39500000000001</v>
      </c>
      <c r="P156" s="22">
        <f t="shared" si="103"/>
        <v>97.929999999999993</v>
      </c>
      <c r="Q156" s="22">
        <f t="shared" si="103"/>
        <v>77.77</v>
      </c>
      <c r="R156" s="22">
        <f t="shared" si="103"/>
        <v>88.484999999999999</v>
      </c>
      <c r="S156" s="22">
        <f>SUM(G156:R156)</f>
        <v>1140.085</v>
      </c>
      <c r="T156" s="184"/>
      <c r="U156" s="22">
        <f t="shared" ref="U156:AA156" si="104">+U153</f>
        <v>0</v>
      </c>
      <c r="V156" s="22">
        <f t="shared" si="104"/>
        <v>0</v>
      </c>
      <c r="W156" s="22">
        <f t="shared" si="104"/>
        <v>0</v>
      </c>
      <c r="X156" s="22">
        <f t="shared" si="104"/>
        <v>0</v>
      </c>
      <c r="Y156" s="22">
        <f t="shared" si="104"/>
        <v>0</v>
      </c>
      <c r="Z156" s="22">
        <f t="shared" si="104"/>
        <v>0</v>
      </c>
      <c r="AA156" s="22">
        <f t="shared" si="104"/>
        <v>0</v>
      </c>
      <c r="AB156" s="22">
        <f>+AB153</f>
        <v>0</v>
      </c>
      <c r="AC156" s="22">
        <f t="shared" ref="AC156" si="105">+AC153</f>
        <v>0</v>
      </c>
      <c r="AD156" s="18">
        <f>+IFERROR(P156/$F156,0)</f>
        <v>0</v>
      </c>
      <c r="AE156" s="18">
        <f>+IFERROR(Q156/$F156,0)</f>
        <v>0</v>
      </c>
      <c r="AF156" s="18">
        <f>+IFERROR(R156/$F156,0)</f>
        <v>0</v>
      </c>
      <c r="AG156" s="18">
        <f t="shared" ref="AG156" si="106">SUM(U156:AF156)</f>
        <v>0</v>
      </c>
      <c r="AH156" s="18">
        <f t="shared" ref="AH156" si="107">+SUM(U156:AF156)/$AB$2</f>
        <v>0</v>
      </c>
      <c r="AJ156" s="185"/>
      <c r="AK156" s="185"/>
      <c r="AL156" s="185"/>
      <c r="AM156" s="185"/>
      <c r="AN156" s="186"/>
    </row>
    <row r="157" spans="1:50" s="2" customFormat="1" ht="15.75" thickBot="1" x14ac:dyDescent="0.3">
      <c r="E157" s="16"/>
      <c r="F157" s="16"/>
      <c r="G157" s="16"/>
      <c r="H157" s="16"/>
      <c r="I157" s="16"/>
      <c r="J157" s="16"/>
      <c r="K157" s="16"/>
      <c r="L157" s="16"/>
      <c r="M157" s="16"/>
      <c r="N157" s="25"/>
      <c r="O157" s="25"/>
      <c r="P157" s="25"/>
      <c r="Q157" s="25"/>
      <c r="R157" s="25"/>
      <c r="S157" s="26"/>
      <c r="T157" s="184"/>
      <c r="U157" s="184"/>
      <c r="V157" s="184"/>
      <c r="W157" s="184"/>
      <c r="X157" s="184"/>
      <c r="Y157" s="184"/>
      <c r="Z157" s="184"/>
      <c r="AA157" s="184"/>
      <c r="AB157" s="26"/>
      <c r="AC157" s="26"/>
      <c r="AD157" s="26"/>
      <c r="AE157" s="26"/>
      <c r="AF157" s="26"/>
      <c r="AG157" s="26"/>
      <c r="AH157" s="26"/>
      <c r="AJ157" s="185"/>
      <c r="AK157" s="185"/>
      <c r="AL157" s="185"/>
      <c r="AM157" s="185"/>
      <c r="AN157" s="186"/>
    </row>
    <row r="158" spans="1:50" ht="45" x14ac:dyDescent="0.25">
      <c r="E158" s="16"/>
      <c r="F158" s="16"/>
      <c r="G158" s="16"/>
      <c r="H158" s="16"/>
      <c r="I158" s="16"/>
      <c r="J158" s="16"/>
      <c r="K158" s="16"/>
      <c r="L158" s="16"/>
      <c r="M158" s="16"/>
      <c r="N158" s="5"/>
      <c r="O158" s="5"/>
      <c r="P158" s="5"/>
      <c r="Q158" s="5"/>
      <c r="R158" s="5"/>
      <c r="S158" s="18"/>
      <c r="AB158" s="18"/>
      <c r="AC158" s="18"/>
      <c r="AD158" s="18"/>
      <c r="AE158" s="18"/>
      <c r="AF158" s="18"/>
      <c r="AG158" s="18"/>
      <c r="AH158" s="18"/>
      <c r="AP158" s="221"/>
      <c r="AQ158" s="222"/>
      <c r="AR158" s="222"/>
      <c r="AS158" s="222"/>
      <c r="AT158" s="222"/>
      <c r="AU158" s="222"/>
      <c r="AV158" s="223" t="s">
        <v>392</v>
      </c>
      <c r="AW158" s="224" t="s">
        <v>5</v>
      </c>
      <c r="AX158" s="225"/>
    </row>
    <row r="159" spans="1:50" s="2" customFormat="1" ht="15.75" thickBot="1" x14ac:dyDescent="0.3">
      <c r="B159" s="2" t="s">
        <v>393</v>
      </c>
      <c r="E159" s="16"/>
      <c r="F159" s="16"/>
      <c r="G159" s="226">
        <f t="shared" ref="G159:S159" si="108">+G51+G104+G136+G144+G156</f>
        <v>108546.68999999999</v>
      </c>
      <c r="H159" s="226">
        <f t="shared" si="108"/>
        <v>115835.56500000002</v>
      </c>
      <c r="I159" s="226">
        <f t="shared" si="108"/>
        <v>107342.79500000003</v>
      </c>
      <c r="J159" s="226">
        <f t="shared" si="108"/>
        <v>111201.02000000002</v>
      </c>
      <c r="K159" s="226">
        <f t="shared" si="108"/>
        <v>106020.03000000001</v>
      </c>
      <c r="L159" s="226">
        <f t="shared" si="108"/>
        <v>105164.83</v>
      </c>
      <c r="M159" s="226">
        <f t="shared" si="108"/>
        <v>103893.31500000002</v>
      </c>
      <c r="N159" s="226">
        <f t="shared" si="108"/>
        <v>106527.50500000003</v>
      </c>
      <c r="O159" s="226">
        <f t="shared" si="108"/>
        <v>104512.91500000002</v>
      </c>
      <c r="P159" s="226">
        <f t="shared" si="108"/>
        <v>109697.95499999999</v>
      </c>
      <c r="Q159" s="226">
        <f t="shared" si="108"/>
        <v>109627.21500000001</v>
      </c>
      <c r="R159" s="226">
        <f t="shared" si="108"/>
        <v>110495.60500000003</v>
      </c>
      <c r="S159" s="226">
        <f t="shared" si="108"/>
        <v>1298865.44</v>
      </c>
      <c r="T159" s="184"/>
      <c r="U159" s="226">
        <f t="shared" ref="U159:AH159" si="109">+U51+U104+U136+U144+U156</f>
        <v>4086.0056395176443</v>
      </c>
      <c r="V159" s="226">
        <f t="shared" si="109"/>
        <v>4150.524605079042</v>
      </c>
      <c r="W159" s="226">
        <f t="shared" si="109"/>
        <v>4179.5327656276959</v>
      </c>
      <c r="X159" s="226">
        <f t="shared" si="109"/>
        <v>4244.7595551310924</v>
      </c>
      <c r="Y159" s="226">
        <f t="shared" si="109"/>
        <v>4158.7296087659224</v>
      </c>
      <c r="Z159" s="226">
        <f t="shared" si="109"/>
        <v>4185.6973886110745</v>
      </c>
      <c r="AA159" s="226">
        <f t="shared" si="109"/>
        <v>4165.7270556622907</v>
      </c>
      <c r="AB159" s="226">
        <f t="shared" si="109"/>
        <v>4118.2695501812341</v>
      </c>
      <c r="AC159" s="226">
        <f t="shared" si="109"/>
        <v>4143.1978597678908</v>
      </c>
      <c r="AD159" s="226">
        <f t="shared" si="109"/>
        <v>4191.152805844541</v>
      </c>
      <c r="AE159" s="226">
        <f t="shared" si="109"/>
        <v>4168.8503533411895</v>
      </c>
      <c r="AF159" s="226">
        <f t="shared" si="109"/>
        <v>4215.3001710948965</v>
      </c>
      <c r="AG159" s="226">
        <f t="shared" si="109"/>
        <v>50007.747358624518</v>
      </c>
      <c r="AH159" s="226">
        <f t="shared" si="109"/>
        <v>4167.3122798853765</v>
      </c>
      <c r="AJ159" s="185"/>
      <c r="AK159" s="185"/>
      <c r="AL159" s="185"/>
      <c r="AM159" s="185"/>
      <c r="AN159" s="186"/>
      <c r="AP159" s="227"/>
      <c r="AR159" s="228" t="s">
        <v>6</v>
      </c>
      <c r="AS159" s="228">
        <f>+AS128+AS92+AS36</f>
        <v>126748.0917100216</v>
      </c>
      <c r="AT159" s="228"/>
      <c r="AU159" s="229">
        <f>+AU128+AU92+AU36+AU133+AU141+AU153+'[52]Consolidated IS (C)'!N53</f>
        <v>1231794.4489862565</v>
      </c>
      <c r="AV159" s="230">
        <f>+'[52]LG BRG - Vashon MSW'!J21</f>
        <v>1231668.9147705042</v>
      </c>
      <c r="AW159" s="231">
        <f>+AU159-AV159</f>
        <v>125.53421575226821</v>
      </c>
      <c r="AX159" s="232"/>
    </row>
    <row r="160" spans="1:50" ht="16.5" thickTop="1" thickBot="1" x14ac:dyDescent="0.3">
      <c r="S160" s="18"/>
      <c r="AP160" s="233"/>
      <c r="AR160" s="234" t="s">
        <v>9</v>
      </c>
      <c r="AS160" s="234">
        <f>+AS44</f>
        <v>-8363.792468779111</v>
      </c>
      <c r="AT160" s="234"/>
      <c r="AU160" s="234">
        <f>+AU44</f>
        <v>248561.27753122093</v>
      </c>
      <c r="AV160" s="6">
        <f>+'[52]LG BRG -Vashon Recycle'!J21</f>
        <v>248422.11742863065</v>
      </c>
      <c r="AW160" s="231">
        <f>+AU160-AV160</f>
        <v>139.16010259027826</v>
      </c>
      <c r="AX160" s="235"/>
    </row>
    <row r="161" spans="19:50" ht="16.5" thickTop="1" thickBot="1" x14ac:dyDescent="0.3">
      <c r="S161" s="18"/>
      <c r="AP161" s="236"/>
      <c r="AQ161" s="237"/>
      <c r="AR161" s="237"/>
      <c r="AS161" s="237"/>
      <c r="AT161" s="237"/>
      <c r="AU161" s="237"/>
      <c r="AV161" s="237"/>
      <c r="AW161" s="237"/>
      <c r="AX161" s="238"/>
    </row>
    <row r="162" spans="19:50" x14ac:dyDescent="0.25">
      <c r="S162" s="18"/>
    </row>
    <row r="163" spans="19:50" x14ac:dyDescent="0.25">
      <c r="S163" s="18"/>
    </row>
    <row r="164" spans="19:50" x14ac:dyDescent="0.25">
      <c r="S164" s="18"/>
    </row>
    <row r="165" spans="19:50" x14ac:dyDescent="0.25">
      <c r="S165" s="18"/>
    </row>
    <row r="166" spans="19:50" x14ac:dyDescent="0.25">
      <c r="S166" s="18"/>
    </row>
    <row r="167" spans="19:50" x14ac:dyDescent="0.25">
      <c r="S167" s="18"/>
    </row>
    <row r="168" spans="19:50" x14ac:dyDescent="0.25">
      <c r="S168" s="18"/>
    </row>
    <row r="169" spans="19:50" x14ac:dyDescent="0.25">
      <c r="S169" s="18"/>
    </row>
    <row r="170" spans="19:50" x14ac:dyDescent="0.25">
      <c r="S170" s="18"/>
    </row>
  </sheetData>
  <autoFilter ref="B6:AP159" xr:uid="{00000000-0001-0000-0E00-000000000000}"/>
  <mergeCells count="3">
    <mergeCell ref="G5:R5"/>
    <mergeCell ref="U5:AH5"/>
    <mergeCell ref="AJ5:AN5"/>
  </mergeCells>
  <pageMargins left="0.7" right="0.7" top="0.75" bottom="0.75" header="0.3" footer="0.3"/>
  <pageSetup scale="29" fitToHeight="4" pageOrder="overThenDown" orientation="landscape" r:id="rId1"/>
  <headerFooter>
    <oddHeader>&amp;R&amp;F
&amp;A</oddHeader>
    <oddFooter>&amp;L&amp;D&amp;C&amp;P&amp;R&amp;T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6C13-406E-4AB5-AFD9-432496292F15}">
  <sheetPr>
    <tabColor theme="8" tint="0.59999389629810485"/>
    <pageSetUpPr fitToPage="1"/>
  </sheetPr>
  <dimension ref="A1:O32"/>
  <sheetViews>
    <sheetView tabSelected="1" topLeftCell="A15" workbookViewId="0">
      <selection activeCell="B43" sqref="B43"/>
    </sheetView>
  </sheetViews>
  <sheetFormatPr defaultRowHeight="15" x14ac:dyDescent="0.25"/>
  <cols>
    <col min="1" max="1" width="28.42578125" style="242" bestFit="1" customWidth="1"/>
    <col min="2" max="2" width="12.5703125" bestFit="1" customWidth="1"/>
    <col min="3" max="13" width="11.5703125" bestFit="1" customWidth="1"/>
    <col min="14" max="14" width="18.28515625" style="242" customWidth="1"/>
  </cols>
  <sheetData>
    <row r="1" spans="1:15" x14ac:dyDescent="0.25">
      <c r="A1" s="242" t="s">
        <v>4</v>
      </c>
    </row>
    <row r="2" spans="1:15" x14ac:dyDescent="0.25">
      <c r="A2" s="242" t="s">
        <v>404</v>
      </c>
    </row>
    <row r="3" spans="1:15" x14ac:dyDescent="0.25">
      <c r="A3" s="242" t="s">
        <v>403</v>
      </c>
    </row>
    <row r="4" spans="1:15" x14ac:dyDescent="0.25">
      <c r="A4" s="243" t="s">
        <v>402</v>
      </c>
    </row>
    <row r="5" spans="1:15" x14ac:dyDescent="0.25">
      <c r="A5" s="244" t="s">
        <v>408</v>
      </c>
    </row>
    <row r="6" spans="1:15" x14ac:dyDescent="0.25">
      <c r="A6" s="286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6"/>
    </row>
    <row r="7" spans="1:15" x14ac:dyDescent="0.25">
      <c r="A7" s="286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6"/>
    </row>
    <row r="8" spans="1:15" x14ac:dyDescent="0.25">
      <c r="A8" s="286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6"/>
    </row>
    <row r="9" spans="1:15" s="242" customFormat="1" ht="15.75" thickBot="1" x14ac:dyDescent="0.3">
      <c r="A9" s="286"/>
      <c r="B9" s="288">
        <f>'[54]Epicor 2021'!N10</f>
        <v>44377</v>
      </c>
      <c r="C9" s="288">
        <f>'[54]Epicor 2021'!O10</f>
        <v>44408</v>
      </c>
      <c r="D9" s="288">
        <f>'[54]Epicor 2021'!P10</f>
        <v>44439</v>
      </c>
      <c r="E9" s="288">
        <f>'[54]Epicor 2021'!Q10</f>
        <v>44469</v>
      </c>
      <c r="F9" s="288">
        <f>'[54]Epicor 2021'!R10</f>
        <v>44500</v>
      </c>
      <c r="G9" s="288">
        <f>'[54]Epicor 2021'!S10</f>
        <v>44530</v>
      </c>
      <c r="H9" s="288">
        <f>'[54]Epicor 2021'!T10</f>
        <v>44561</v>
      </c>
      <c r="I9" s="288">
        <f>'[54]Epicor 2022'!I10</f>
        <v>44562</v>
      </c>
      <c r="J9" s="288">
        <f>'[54]Epicor 2022'!J10</f>
        <v>44620</v>
      </c>
      <c r="K9" s="288">
        <f>'[54]Epicor 2022'!K10</f>
        <v>44651</v>
      </c>
      <c r="L9" s="288">
        <f>'[54]Epicor 2022'!L10</f>
        <v>44681</v>
      </c>
      <c r="M9" s="288">
        <f>'[54]Epicor 2022'!M10</f>
        <v>44712</v>
      </c>
      <c r="N9" s="286" t="s">
        <v>0</v>
      </c>
      <c r="O9"/>
    </row>
    <row r="10" spans="1:15" x14ac:dyDescent="0.25">
      <c r="A10" s="293" t="str">
        <f>+'[55]Epicor 2020'!F19</f>
        <v>MSW $/ton</v>
      </c>
      <c r="B10" s="279">
        <f>'[54]Epicor 2021'!N16</f>
        <v>140.82</v>
      </c>
      <c r="C10" s="279">
        <f>'[54]Epicor 2021'!O16</f>
        <v>140.82</v>
      </c>
      <c r="D10" s="279">
        <f>'[54]Epicor 2021'!P16</f>
        <v>140.82</v>
      </c>
      <c r="E10" s="279">
        <f>'[54]Epicor 2021'!Q16</f>
        <v>140.82</v>
      </c>
      <c r="F10" s="279">
        <f>'[54]Epicor 2021'!R16</f>
        <v>140.82</v>
      </c>
      <c r="G10" s="279">
        <f>'[54]Epicor 2021'!S16</f>
        <v>140.82</v>
      </c>
      <c r="H10" s="279">
        <f>'[54]Epicor 2021'!T16</f>
        <v>140.82</v>
      </c>
      <c r="I10" s="280">
        <f>'[54]Epicor 2022'!I16</f>
        <v>154.02000000000001</v>
      </c>
      <c r="J10" s="280">
        <f>'[54]Epicor 2022'!J16</f>
        <v>154.02000000000001</v>
      </c>
      <c r="K10" s="280">
        <f>'[54]Epicor 2022'!K16</f>
        <v>154.02000000000001</v>
      </c>
      <c r="L10" s="280">
        <f>'[54]Epicor 2022'!L16</f>
        <v>154.02000000000001</v>
      </c>
      <c r="M10" s="280">
        <f>'[54]Epicor 2022'!M16</f>
        <v>154.02000000000001</v>
      </c>
      <c r="N10" s="294"/>
    </row>
    <row r="11" spans="1:15" x14ac:dyDescent="0.25">
      <c r="A11" s="295" t="str">
        <f>+'[55]Epicor 2020'!F21</f>
        <v>Resi/Commercial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96"/>
    </row>
    <row r="12" spans="1:15" x14ac:dyDescent="0.25">
      <c r="A12" s="297" t="str">
        <f>+'[55]Epicor 2020'!F22</f>
        <v>Regulated MSW Tons</v>
      </c>
      <c r="B12" s="281">
        <f>'[54]Epicor 2021'!N19</f>
        <v>245.06163897173695</v>
      </c>
      <c r="C12" s="281">
        <f>'[54]Epicor 2021'!O19</f>
        <v>237.55020593665679</v>
      </c>
      <c r="D12" s="281">
        <f>'[54]Epicor 2021'!P19</f>
        <v>238.73000994176965</v>
      </c>
      <c r="E12" s="281">
        <f>'[54]Epicor 2021'!Q19</f>
        <v>219.17007527339868</v>
      </c>
      <c r="F12" s="281">
        <f>'[54]Epicor 2021'!R19</f>
        <v>218.73000994176962</v>
      </c>
      <c r="G12" s="281">
        <f>'[54]Epicor 2021'!S19</f>
        <v>242.32424371538133</v>
      </c>
      <c r="H12" s="281">
        <f>'[54]Epicor 2021'!T19</f>
        <v>163.68598210481468</v>
      </c>
      <c r="I12" s="281">
        <f>'[54]Epicor 2022'!I19</f>
        <v>252.27593818984548</v>
      </c>
      <c r="J12" s="281">
        <f>'[54]Epicor 2022'!J19</f>
        <v>207.51837423711206</v>
      </c>
      <c r="K12" s="281">
        <f>'[54]Epicor 2022'!K19</f>
        <v>183.05518763796908</v>
      </c>
      <c r="L12" s="281">
        <f>'[54]Epicor 2022'!L19</f>
        <v>197.95994026749773</v>
      </c>
      <c r="M12" s="281">
        <f>'[54]Epicor 2022'!M19</f>
        <v>200.11790676535514</v>
      </c>
      <c r="N12" s="298">
        <f>SUM(B12:M12)</f>
        <v>2606.1795129833067</v>
      </c>
    </row>
    <row r="13" spans="1:15" x14ac:dyDescent="0.25">
      <c r="A13" s="295" t="str">
        <f>+'[55]Epicor 2020'!F25</f>
        <v xml:space="preserve">Roll Off 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96"/>
    </row>
    <row r="14" spans="1:15" x14ac:dyDescent="0.25">
      <c r="A14" s="297" t="str">
        <f>+'[55]Epicor 2020'!F26</f>
        <v>Regulated MSW Tons</v>
      </c>
      <c r="B14" s="281">
        <f>'[54]Epicor 2021'!N22</f>
        <v>25.149978696207924</v>
      </c>
      <c r="C14" s="281">
        <f>'[54]Epicor 2021'!O22</f>
        <v>45.170004260758418</v>
      </c>
      <c r="D14" s="281">
        <f>'[54]Epicor 2021'!P22</f>
        <v>8.6900298253089048</v>
      </c>
      <c r="E14" s="281">
        <f>'[54]Epicor 2021'!Q22</f>
        <v>21.08003124556171</v>
      </c>
      <c r="F14" s="281">
        <f>'[54]Epicor 2021'!R22</f>
        <v>7.6899588126686558</v>
      </c>
      <c r="G14" s="281">
        <f>'[54]Epicor 2021'!S22</f>
        <v>6.2199971594943904</v>
      </c>
      <c r="H14" s="281">
        <f>'[54]Epicor 2021'!T22</f>
        <v>7.5999857974719509</v>
      </c>
      <c r="I14" s="281">
        <f>'[54]Epicor 2022'!I22</f>
        <v>7.43059342942475</v>
      </c>
      <c r="J14" s="281">
        <f>'[54]Epicor 2022'!J22</f>
        <v>0</v>
      </c>
      <c r="K14" s="281">
        <f>'[54]Epicor 2022'!K22</f>
        <v>19.930074016361512</v>
      </c>
      <c r="L14" s="281">
        <f>'[54]Epicor 2022'!L22</f>
        <v>16.500129853265808</v>
      </c>
      <c r="M14" s="281">
        <f>'[54]Epicor 2022'!M22</f>
        <v>14.139981820542786</v>
      </c>
      <c r="N14" s="298">
        <f>SUM(B14:M14)</f>
        <v>179.60076491706678</v>
      </c>
    </row>
    <row r="15" spans="1:15" x14ac:dyDescent="0.25">
      <c r="A15" s="297"/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98"/>
    </row>
    <row r="16" spans="1:15" x14ac:dyDescent="0.25">
      <c r="A16" s="297" t="s">
        <v>401</v>
      </c>
      <c r="B16" s="282">
        <f t="shared" ref="B16:M16" si="0">+(B14+B12)*B10</f>
        <v>38051.199999999997</v>
      </c>
      <c r="C16" s="282">
        <f t="shared" si="0"/>
        <v>39812.660000000011</v>
      </c>
      <c r="D16" s="282">
        <f t="shared" si="0"/>
        <v>34841.69</v>
      </c>
      <c r="E16" s="282">
        <f t="shared" si="0"/>
        <v>33832.020000000004</v>
      </c>
      <c r="F16" s="282">
        <f t="shared" si="0"/>
        <v>31884.46</v>
      </c>
      <c r="G16" s="282">
        <f t="shared" si="0"/>
        <v>35000</v>
      </c>
      <c r="H16" s="282">
        <f t="shared" si="0"/>
        <v>24120.490000000005</v>
      </c>
      <c r="I16" s="282">
        <f t="shared" si="0"/>
        <v>40000</v>
      </c>
      <c r="J16" s="282">
        <f t="shared" si="0"/>
        <v>31961.98</v>
      </c>
      <c r="K16" s="282">
        <f t="shared" si="0"/>
        <v>31263.79</v>
      </c>
      <c r="L16" s="282">
        <f t="shared" si="0"/>
        <v>33031.14</v>
      </c>
      <c r="M16" s="282">
        <f t="shared" si="0"/>
        <v>33000</v>
      </c>
      <c r="N16" s="299">
        <f>SUM(B16:M16)</f>
        <v>406799.43</v>
      </c>
    </row>
    <row r="17" spans="1:14" x14ac:dyDescent="0.25">
      <c r="A17" s="297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3" t="s">
        <v>400</v>
      </c>
      <c r="N17" s="299">
        <f>+'[52]Consolidated IS (C)'!$K$189+'[52]Consolidated IS (C)'!$K$190</f>
        <v>406799.43</v>
      </c>
    </row>
    <row r="18" spans="1:14" x14ac:dyDescent="0.25">
      <c r="A18" s="297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3" t="s">
        <v>5</v>
      </c>
      <c r="N18" s="299">
        <f>+N16-N17</f>
        <v>0</v>
      </c>
    </row>
    <row r="19" spans="1:14" ht="15.75" thickBot="1" x14ac:dyDescent="0.3">
      <c r="A19" s="300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301"/>
    </row>
    <row r="20" spans="1:14" ht="15.75" thickBot="1" x14ac:dyDescent="0.3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6"/>
    </row>
    <row r="21" spans="1:14" x14ac:dyDescent="0.25">
      <c r="A21" s="302"/>
      <c r="B21" s="303"/>
      <c r="C21" s="303"/>
      <c r="D21" s="304"/>
      <c r="E21" s="287"/>
      <c r="F21" s="287"/>
      <c r="G21" s="287"/>
      <c r="H21" s="287"/>
      <c r="I21" s="287"/>
      <c r="J21" s="287"/>
      <c r="K21" s="287"/>
      <c r="L21" s="287"/>
      <c r="M21" s="287"/>
      <c r="N21" s="286"/>
    </row>
    <row r="22" spans="1:14" x14ac:dyDescent="0.25">
      <c r="A22" s="295" t="s">
        <v>394</v>
      </c>
      <c r="B22" s="289" t="s">
        <v>399</v>
      </c>
      <c r="C22" s="289" t="s">
        <v>311</v>
      </c>
      <c r="D22" s="305"/>
      <c r="E22" s="287"/>
      <c r="F22" s="287"/>
      <c r="G22" s="287"/>
      <c r="H22" s="287"/>
      <c r="I22" s="287"/>
      <c r="J22" s="287"/>
      <c r="K22" s="287"/>
      <c r="L22" s="287"/>
      <c r="M22" s="287"/>
      <c r="N22" s="286"/>
    </row>
    <row r="23" spans="1:14" x14ac:dyDescent="0.25">
      <c r="A23" s="295" t="s">
        <v>398</v>
      </c>
      <c r="B23" s="285">
        <v>168.68</v>
      </c>
      <c r="C23" s="285">
        <f>+B23</f>
        <v>168.68</v>
      </c>
      <c r="D23" s="305"/>
      <c r="E23" s="287"/>
      <c r="F23" s="287"/>
      <c r="G23" s="287"/>
      <c r="H23" s="287"/>
      <c r="I23" s="287"/>
      <c r="J23" s="287"/>
      <c r="K23" s="287"/>
      <c r="L23" s="287"/>
      <c r="M23" s="287"/>
      <c r="N23" s="286"/>
    </row>
    <row r="24" spans="1:14" x14ac:dyDescent="0.25">
      <c r="A24" s="295" t="s">
        <v>397</v>
      </c>
      <c r="B24" s="290">
        <f>+N12</f>
        <v>2606.1795129833067</v>
      </c>
      <c r="C24" s="290">
        <f>+N14</f>
        <v>179.60076491706678</v>
      </c>
      <c r="D24" s="305"/>
      <c r="E24" s="287"/>
      <c r="F24" s="287"/>
      <c r="G24" s="287"/>
      <c r="H24" s="287"/>
      <c r="I24" s="287"/>
      <c r="J24" s="287"/>
      <c r="K24" s="287"/>
      <c r="L24" s="287"/>
      <c r="M24" s="287"/>
      <c r="N24" s="286"/>
    </row>
    <row r="25" spans="1:14" x14ac:dyDescent="0.25">
      <c r="A25" s="295" t="s">
        <v>396</v>
      </c>
      <c r="B25" s="282">
        <f>+B23*B24</f>
        <v>439610.36025002418</v>
      </c>
      <c r="C25" s="282">
        <f>+C23*C24</f>
        <v>30295.057026210827</v>
      </c>
      <c r="D25" s="305"/>
      <c r="E25" s="287"/>
      <c r="F25" s="287"/>
      <c r="G25" s="287"/>
      <c r="H25" s="287"/>
      <c r="I25" s="287"/>
      <c r="J25" s="287"/>
      <c r="K25" s="287"/>
      <c r="L25" s="287"/>
      <c r="M25" s="287"/>
      <c r="N25" s="286"/>
    </row>
    <row r="26" spans="1:14" x14ac:dyDescent="0.25">
      <c r="A26" s="295" t="s">
        <v>395</v>
      </c>
      <c r="B26" s="291">
        <f>+'[52]Consolidated IS (C)'!K189</f>
        <v>379196.24</v>
      </c>
      <c r="C26" s="291">
        <f>+'[52]Consolidated IS (C)'!K190</f>
        <v>27603.19</v>
      </c>
      <c r="D26" s="305"/>
      <c r="E26" s="287"/>
      <c r="F26" s="287"/>
      <c r="G26" s="287"/>
      <c r="H26" s="287"/>
      <c r="I26" s="287"/>
      <c r="J26" s="287"/>
      <c r="K26" s="287"/>
      <c r="L26" s="287"/>
      <c r="M26" s="287"/>
      <c r="N26" s="286"/>
    </row>
    <row r="27" spans="1:14" x14ac:dyDescent="0.25">
      <c r="A27" s="295" t="s">
        <v>394</v>
      </c>
      <c r="B27" s="292">
        <f>+B25-B26</f>
        <v>60414.120250024193</v>
      </c>
      <c r="C27" s="292">
        <f>+C25-C26</f>
        <v>2691.867026210828</v>
      </c>
      <c r="D27" s="305"/>
      <c r="E27" s="287"/>
      <c r="F27" s="287"/>
      <c r="G27" s="287"/>
      <c r="H27" s="287"/>
      <c r="I27" s="287"/>
      <c r="J27" s="287"/>
      <c r="K27" s="287"/>
      <c r="L27" s="287"/>
      <c r="M27" s="287"/>
      <c r="N27" s="286"/>
    </row>
    <row r="28" spans="1:14" x14ac:dyDescent="0.25">
      <c r="A28" s="306"/>
      <c r="B28" s="307"/>
      <c r="C28" s="307"/>
      <c r="D28" s="308"/>
    </row>
    <row r="29" spans="1:14" ht="15.75" thickBot="1" x14ac:dyDescent="0.3">
      <c r="A29" s="309"/>
      <c r="B29" s="310"/>
      <c r="C29" s="310"/>
      <c r="D29" s="311"/>
    </row>
    <row r="32" spans="1:14" x14ac:dyDescent="0.25">
      <c r="C32" s="246"/>
    </row>
  </sheetData>
  <pageMargins left="0.7" right="0.7" top="0.75" bottom="0.7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164AA15625C348A08BCA385E584E27" ma:contentTypeVersion="24" ma:contentTypeDescription="" ma:contentTypeScope="" ma:versionID="57f570415747f20e3d35f60e9bd50e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2023-12-11T08:00:00+00:00</OpenedDate>
    <SignificantOrder xmlns="dc463f71-b30c-4ab2-9473-d307f9d35888">false</SignificantOrder>
    <Date1 xmlns="dc463f71-b30c-4ab2-9473-d307f9d35888">2023-12-11T08:00:00+00:00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AMERICAN DISPOSAL COMPANY, INC.  </CaseCompanyNames>
    <Nickname xmlns="http://schemas.microsoft.com/sharepoint/v3" xsi:nil="true"/>
    <DocketNumber xmlns="dc463f71-b30c-4ab2-9473-d307f9d35888">231005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660E46-8169-4538-94E1-9465A526AEBF}"/>
</file>

<file path=customXml/itemProps2.xml><?xml version="1.0" encoding="utf-8"?>
<ds:datastoreItem xmlns:ds="http://schemas.openxmlformats.org/officeDocument/2006/customXml" ds:itemID="{D58FB17C-796F-43EE-9B38-80490DCBC053}"/>
</file>

<file path=customXml/itemProps3.xml><?xml version="1.0" encoding="utf-8"?>
<ds:datastoreItem xmlns:ds="http://schemas.openxmlformats.org/officeDocument/2006/customXml" ds:itemID="{87EB27BD-E31C-4E2B-AA7D-710B926ECD85}"/>
</file>

<file path=customXml/itemProps4.xml><?xml version="1.0" encoding="utf-8"?>
<ds:datastoreItem xmlns:ds="http://schemas.openxmlformats.org/officeDocument/2006/customXml" ds:itemID="{263E2E54-1766-4DED-B92A-5E18CA1D25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DF Calculation</vt:lpstr>
      <vt:lpstr>Proposed Rates</vt:lpstr>
      <vt:lpstr>Vashon Price Out TG220857</vt:lpstr>
      <vt:lpstr>Vashon Disposal TG220857</vt:lpstr>
      <vt:lpstr>'DF Calculation'!Print_Area</vt:lpstr>
      <vt:lpstr>'Proposed Rates'!Print_Area</vt:lpstr>
      <vt:lpstr>'Vashon Price Out TG220857'!Print_Area</vt:lpstr>
      <vt:lpstr>'DF Calculation'!Print_Titles</vt:lpstr>
      <vt:lpstr>'Proposed Rates'!Print_Titles</vt:lpstr>
      <vt:lpstr>'Vashon Price Out TG220857'!Print_Titles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Brian Vandenburg</cp:lastModifiedBy>
  <cp:lastPrinted>2023-12-12T21:18:37Z</cp:lastPrinted>
  <dcterms:created xsi:type="dcterms:W3CDTF">2020-11-10T18:03:55Z</dcterms:created>
  <dcterms:modified xsi:type="dcterms:W3CDTF">2023-12-12T21:18:39Z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0x0101006E56B4D1795A2E4DB2F0B01679ED314A00D9164AA15625C348A08BCA385E584E27</vt:lpwstr>
  </property>
  <property fmtid="{D5CDD505-2E9C-101B-9397-08002B2CF9AE}" pid="3" name="_docset_NoMedatataSyncRequired">
    <vt:lpwstr>False</vt:lpwstr>
  </property>
</Properties>
</file>