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78621\Documents\CCA\"/>
    </mc:Choice>
  </mc:AlternateContent>
  <bookViews>
    <workbookView xWindow="0" yWindow="0" windowWidth="28800" windowHeight="12300" tabRatio="832"/>
  </bookViews>
  <sheets>
    <sheet name="Sch. 111 Rate Summary" sheetId="41" r:id="rId1"/>
    <sheet name="Sch. 111 Charge Rates" sheetId="1" r:id="rId2"/>
    <sheet name="Sch. 111 Low Inc. Credit Rates" sheetId="9" r:id="rId3"/>
    <sheet name="Sch. 111 Non-Vol Credit Rates" sheetId="2" r:id="rId4"/>
    <sheet name="Sch.111 Non-Vol Credit Seasonal" sheetId="10" r:id="rId5"/>
    <sheet name="Sch. 88T--&gt;" sheetId="51" r:id="rId6"/>
    <sheet name="Sch. 111 Chrg Rates (88T)" sheetId="49" r:id="rId7"/>
    <sheet name="Sch. 111 NVC Rates (88T)" sheetId="48" r:id="rId8"/>
    <sheet name="Rate Impacts--&gt;" sheetId="11" r:id="rId9"/>
    <sheet name="Rate Impacts Sch 111" sheetId="52" r:id="rId10"/>
    <sheet name="Typical Res Bill Sch 111" sheetId="53" r:id="rId11"/>
    <sheet name="Avg Per Therm" sheetId="54" r:id="rId12"/>
    <sheet name="Sch. 111 Charge" sheetId="55" r:id="rId13"/>
    <sheet name="Sch. 111 Credit" sheetId="56" r:id="rId14"/>
    <sheet name="Work Papers--&gt;" sheetId="3" r:id="rId15"/>
    <sheet name="Rev Req" sheetId="50" r:id="rId16"/>
    <sheet name="Low Income Forecast" sheetId="8" r:id="rId17"/>
    <sheet name="CCA Therm Forecast" sheetId="6" r:id="rId18"/>
    <sheet name="CCA Customer Forecast" sheetId="7" r:id="rId19"/>
    <sheet name="F2023 Forecast" sheetId="5" r:id="rId20"/>
  </sheets>
  <definedNames>
    <definedName name="_xlnm.Print_Area" localSheetId="11">'Avg Per Therm'!$B$1:$L$37</definedName>
    <definedName name="_xlnm.Print_Area" localSheetId="18">'CCA Customer Forecast'!$A$1:$N$141</definedName>
    <definedName name="_xlnm.Print_Area" localSheetId="17">'CCA Therm Forecast'!$A$1:$N$122</definedName>
    <definedName name="_xlnm.Print_Area" localSheetId="19">'F2023 Forecast'!$A$1:$N$47</definedName>
    <definedName name="_xlnm.Print_Area" localSheetId="16">'Low Income Forecast'!$A$1:$N$43</definedName>
    <definedName name="_xlnm.Print_Area" localSheetId="9">'Rate Impacts Sch 111'!$B$1:$V$37</definedName>
    <definedName name="_xlnm.Print_Area" localSheetId="12">'Sch. 111 Charge'!$A$1:$M$23</definedName>
    <definedName name="_xlnm.Print_Area" localSheetId="1">'Sch. 111 Charge Rates'!$A$1:$H$31</definedName>
    <definedName name="_xlnm.Print_Area" localSheetId="6">'Sch. 111 Chrg Rates (88T)'!$A$1:$H$32</definedName>
    <definedName name="_xlnm.Print_Area" localSheetId="13">'Sch. 111 Credit'!$A$1:$M$34</definedName>
    <definedName name="_xlnm.Print_Area" localSheetId="2">'Sch. 111 Low Inc. Credit Rates'!$A$1:$F$14</definedName>
    <definedName name="_xlnm.Print_Area" localSheetId="3">'Sch. 111 Non-Vol Credit Rates'!$A$1:$H$35</definedName>
    <definedName name="_xlnm.Print_Area" localSheetId="7">'Sch. 111 NVC Rates (88T)'!$A$1:$H$34</definedName>
    <definedName name="_xlnm.Print_Area" localSheetId="0">'Sch. 111 Rate Summary'!$A$1:$H$101</definedName>
    <definedName name="_xlnm.Print_Area" localSheetId="4">'Sch.111 Non-Vol Credit Seasonal'!$A$1:$P$31</definedName>
    <definedName name="_xlnm.Print_Area" localSheetId="10">'Typical Res Bill Sch 111'!$B$1:$H$43</definedName>
    <definedName name="_xlnm.Print_Titles" localSheetId="18">'CCA Customer Forecast'!$1:$4</definedName>
    <definedName name="_xlnm.Print_Titles" localSheetId="17">'CCA Therm Forecast'!$1:$4</definedName>
    <definedName name="_xlnm.Print_Titles" localSheetId="0">'Sch. 111 Rate Summary'!$1:$4</definedName>
  </definedNames>
  <calcPr calcId="162913" concurrentManualCount="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2" i="41" l="1"/>
  <c r="G84" i="41" l="1"/>
  <c r="G85" i="41"/>
  <c r="G86" i="41"/>
  <c r="H86" i="41" s="1"/>
  <c r="F85" i="41"/>
  <c r="F86" i="41"/>
  <c r="F84" i="41"/>
  <c r="H84" i="41"/>
  <c r="H85" i="41"/>
  <c r="E84" i="41"/>
  <c r="E85" i="41"/>
  <c r="E86" i="41"/>
  <c r="B85" i="41"/>
  <c r="B86" i="41" s="1"/>
  <c r="B87" i="41" s="1"/>
  <c r="G68" i="41"/>
  <c r="G69" i="41"/>
  <c r="G70" i="41"/>
  <c r="F69" i="41"/>
  <c r="F70" i="41"/>
  <c r="F68" i="41"/>
  <c r="H68" i="41"/>
  <c r="H69" i="41"/>
  <c r="H70" i="41"/>
  <c r="E68" i="41"/>
  <c r="E69" i="41"/>
  <c r="E70" i="41"/>
  <c r="B69" i="41"/>
  <c r="B70" i="41" s="1"/>
  <c r="B71" i="41" s="1"/>
  <c r="G53" i="41"/>
  <c r="G54" i="41"/>
  <c r="G52" i="41"/>
  <c r="F53" i="41"/>
  <c r="F54" i="41"/>
  <c r="F52" i="41"/>
  <c r="H52" i="41"/>
  <c r="H53" i="41"/>
  <c r="H54" i="41"/>
  <c r="E52" i="41"/>
  <c r="E53" i="41"/>
  <c r="E54" i="41"/>
  <c r="B53" i="41" l="1"/>
  <c r="B54" i="41"/>
  <c r="B55" i="41"/>
  <c r="B35" i="2" l="1"/>
  <c r="B30" i="1"/>
  <c r="A101" i="41"/>
  <c r="K16" i="56" l="1"/>
  <c r="J16" i="56"/>
  <c r="L16" i="56"/>
  <c r="G29" i="56" l="1"/>
  <c r="I29" i="56" s="1"/>
  <c r="K29" i="56" s="1"/>
  <c r="F29" i="56"/>
  <c r="J29" i="56" s="1"/>
  <c r="C28" i="56"/>
  <c r="K22" i="56"/>
  <c r="L22" i="56" s="1"/>
  <c r="J22" i="56"/>
  <c r="I22" i="56"/>
  <c r="G22" i="56"/>
  <c r="F22" i="56"/>
  <c r="G21" i="56"/>
  <c r="I21" i="56" s="1"/>
  <c r="F21" i="56"/>
  <c r="J21" i="56"/>
  <c r="G20" i="56"/>
  <c r="I20" i="56" s="1"/>
  <c r="F20" i="56"/>
  <c r="J20" i="56"/>
  <c r="G19" i="56"/>
  <c r="I19" i="56" s="1"/>
  <c r="F19" i="56"/>
  <c r="G18" i="56"/>
  <c r="I18" i="56" s="1"/>
  <c r="F18" i="56"/>
  <c r="G17" i="56"/>
  <c r="I17" i="56" s="1"/>
  <c r="K17" i="56" s="1"/>
  <c r="F17" i="56"/>
  <c r="J17" i="56" s="1"/>
  <c r="G16" i="56"/>
  <c r="I16" i="56" s="1"/>
  <c r="F16" i="56"/>
  <c r="J15" i="56"/>
  <c r="I15" i="56"/>
  <c r="K15" i="56" s="1"/>
  <c r="L15" i="56" s="1"/>
  <c r="G15" i="56"/>
  <c r="F15" i="56"/>
  <c r="K14" i="56"/>
  <c r="L14" i="56" s="1"/>
  <c r="I14" i="56"/>
  <c r="G14" i="56"/>
  <c r="F14" i="56"/>
  <c r="J14" i="56"/>
  <c r="G13" i="56"/>
  <c r="I13" i="56" s="1"/>
  <c r="F13" i="56"/>
  <c r="G12" i="56"/>
  <c r="I12" i="56" s="1"/>
  <c r="F12" i="56"/>
  <c r="G11" i="56"/>
  <c r="F11" i="56"/>
  <c r="I10" i="56"/>
  <c r="G15" i="53" s="1"/>
  <c r="H15" i="53" s="1"/>
  <c r="G10" i="56"/>
  <c r="F10" i="56"/>
  <c r="D15" i="53" s="1"/>
  <c r="E15" i="53" s="1"/>
  <c r="C9" i="56"/>
  <c r="G22" i="55"/>
  <c r="F22" i="55"/>
  <c r="G21" i="55"/>
  <c r="I21" i="55" s="1"/>
  <c r="F21" i="55"/>
  <c r="G20" i="55"/>
  <c r="I20" i="55" s="1"/>
  <c r="K20" i="55" s="1"/>
  <c r="F20" i="55"/>
  <c r="J20" i="55" s="1"/>
  <c r="K19" i="55"/>
  <c r="G19" i="55"/>
  <c r="I19" i="55" s="1"/>
  <c r="F19" i="55"/>
  <c r="J19" i="55" s="1"/>
  <c r="I18" i="55"/>
  <c r="K18" i="55" s="1"/>
  <c r="G18" i="55"/>
  <c r="F18" i="55"/>
  <c r="J18" i="55" s="1"/>
  <c r="I17" i="55"/>
  <c r="G17" i="55"/>
  <c r="F17" i="55"/>
  <c r="G16" i="55"/>
  <c r="I16" i="55" s="1"/>
  <c r="F16" i="55"/>
  <c r="G15" i="55"/>
  <c r="I15" i="55" s="1"/>
  <c r="F15" i="55"/>
  <c r="G14" i="55"/>
  <c r="I14" i="55" s="1"/>
  <c r="F14" i="55"/>
  <c r="G13" i="55"/>
  <c r="I13" i="55" s="1"/>
  <c r="F13" i="55"/>
  <c r="G12" i="55"/>
  <c r="I12" i="55" s="1"/>
  <c r="K12" i="55" s="1"/>
  <c r="F12" i="55"/>
  <c r="J12" i="55" s="1"/>
  <c r="G11" i="55"/>
  <c r="I11" i="55" s="1"/>
  <c r="K11" i="55" s="1"/>
  <c r="F11" i="55"/>
  <c r="J11" i="55" s="1"/>
  <c r="I10" i="55"/>
  <c r="G10" i="55"/>
  <c r="F10" i="55"/>
  <c r="J10" i="55" s="1"/>
  <c r="C9" i="55"/>
  <c r="D23" i="54"/>
  <c r="D34" i="54" s="1"/>
  <c r="D21" i="54"/>
  <c r="D19" i="54"/>
  <c r="D16" i="54"/>
  <c r="D32" i="54" s="1"/>
  <c r="D13" i="54"/>
  <c r="D11" i="54"/>
  <c r="I9" i="54"/>
  <c r="H9" i="54"/>
  <c r="E9" i="54"/>
  <c r="B4" i="54"/>
  <c r="B2" i="54"/>
  <c r="D34" i="53"/>
  <c r="E34" i="53" s="1"/>
  <c r="G33" i="53"/>
  <c r="G32" i="53"/>
  <c r="G34" i="53" s="1"/>
  <c r="H34" i="53" s="1"/>
  <c r="D30" i="53"/>
  <c r="E30" i="53" s="1"/>
  <c r="G27" i="53"/>
  <c r="G26" i="53"/>
  <c r="G25" i="53"/>
  <c r="G24" i="53"/>
  <c r="G23" i="53"/>
  <c r="G22" i="53"/>
  <c r="G21" i="53"/>
  <c r="G20" i="53"/>
  <c r="G19" i="53"/>
  <c r="D28" i="53"/>
  <c r="G13" i="53"/>
  <c r="D13" i="53"/>
  <c r="H12" i="53"/>
  <c r="H13" i="53" s="1"/>
  <c r="G12" i="53"/>
  <c r="E12" i="53"/>
  <c r="E13" i="53" s="1"/>
  <c r="B4" i="53"/>
  <c r="B2" i="53"/>
  <c r="S33" i="52"/>
  <c r="R33" i="52"/>
  <c r="Q33" i="52"/>
  <c r="P33" i="52"/>
  <c r="O33" i="52"/>
  <c r="M33" i="52"/>
  <c r="L33" i="52"/>
  <c r="J33" i="52"/>
  <c r="I33" i="52"/>
  <c r="H33" i="52"/>
  <c r="G33" i="52"/>
  <c r="S32" i="52"/>
  <c r="P32" i="52"/>
  <c r="O32" i="52"/>
  <c r="F32" i="52"/>
  <c r="P31" i="52"/>
  <c r="O31" i="52"/>
  <c r="N31" i="52"/>
  <c r="M31" i="52"/>
  <c r="E31" i="52"/>
  <c r="S30" i="52"/>
  <c r="P30" i="52"/>
  <c r="O30" i="52"/>
  <c r="N30" i="52"/>
  <c r="N29" i="52"/>
  <c r="J28" i="52"/>
  <c r="E27" i="52"/>
  <c r="N33" i="52"/>
  <c r="H23" i="54"/>
  <c r="H34" i="54" s="1"/>
  <c r="F23" i="52"/>
  <c r="H23" i="52" s="1"/>
  <c r="E33" i="52"/>
  <c r="F33" i="52" s="1"/>
  <c r="D33" i="52"/>
  <c r="H22" i="54"/>
  <c r="F22" i="52"/>
  <c r="H22" i="52" s="1"/>
  <c r="H21" i="54"/>
  <c r="F20" i="52"/>
  <c r="H20" i="52" s="1"/>
  <c r="H19" i="54"/>
  <c r="E28" i="52"/>
  <c r="R32" i="52"/>
  <c r="Q32" i="52"/>
  <c r="N32" i="52"/>
  <c r="M32" i="52"/>
  <c r="L32" i="52"/>
  <c r="J32" i="52"/>
  <c r="I32" i="52"/>
  <c r="H17" i="54"/>
  <c r="E32" i="52"/>
  <c r="D32" i="52"/>
  <c r="R31" i="52"/>
  <c r="Q31" i="52"/>
  <c r="L31" i="52"/>
  <c r="J31" i="52"/>
  <c r="I31" i="52"/>
  <c r="H16" i="52"/>
  <c r="F16" i="52"/>
  <c r="R30" i="52"/>
  <c r="Q30" i="52"/>
  <c r="M30" i="52"/>
  <c r="L30" i="52"/>
  <c r="J30" i="52"/>
  <c r="I30" i="52"/>
  <c r="F15" i="52"/>
  <c r="H15" i="52" s="1"/>
  <c r="D30" i="52"/>
  <c r="S29" i="52"/>
  <c r="R29" i="52"/>
  <c r="Q29" i="52"/>
  <c r="P29" i="52"/>
  <c r="O29" i="52"/>
  <c r="M29" i="52"/>
  <c r="L29" i="52"/>
  <c r="J29" i="52"/>
  <c r="I29" i="52"/>
  <c r="H14" i="54"/>
  <c r="H30" i="54" s="1"/>
  <c r="F14" i="52"/>
  <c r="H14" i="52" s="1"/>
  <c r="E29" i="52"/>
  <c r="D29" i="52"/>
  <c r="S28" i="52"/>
  <c r="O28" i="52"/>
  <c r="N28" i="52"/>
  <c r="M28" i="52"/>
  <c r="L24" i="52"/>
  <c r="I28" i="52"/>
  <c r="F13" i="52"/>
  <c r="H13" i="52" s="1"/>
  <c r="P24" i="52"/>
  <c r="D24" i="52"/>
  <c r="S27" i="52"/>
  <c r="R27" i="52"/>
  <c r="Q24" i="52"/>
  <c r="L27" i="52"/>
  <c r="J24" i="52"/>
  <c r="I24" i="52"/>
  <c r="F11" i="52"/>
  <c r="H11" i="52" s="1"/>
  <c r="E7" i="52"/>
  <c r="L12" i="55" l="1"/>
  <c r="M12" i="55" s="1"/>
  <c r="L19" i="55"/>
  <c r="M19" i="55" s="1"/>
  <c r="L11" i="55"/>
  <c r="M11" i="55" s="1"/>
  <c r="K21" i="52"/>
  <c r="L18" i="55"/>
  <c r="M15" i="56"/>
  <c r="W16" i="52"/>
  <c r="W23" i="52"/>
  <c r="M22" i="56"/>
  <c r="F28" i="52"/>
  <c r="U13" i="52"/>
  <c r="H28" i="52"/>
  <c r="M18" i="55"/>
  <c r="U19" i="52"/>
  <c r="H30" i="52"/>
  <c r="M14" i="56"/>
  <c r="W15" i="52"/>
  <c r="L29" i="56"/>
  <c r="M29" i="56" s="1"/>
  <c r="E28" i="53"/>
  <c r="E35" i="53" s="1"/>
  <c r="E37" i="53" s="1"/>
  <c r="D41" i="53"/>
  <c r="D35" i="53"/>
  <c r="F12" i="52"/>
  <c r="H12" i="52" s="1"/>
  <c r="D27" i="52"/>
  <c r="D34" i="52" s="1"/>
  <c r="U20" i="52"/>
  <c r="H12" i="54"/>
  <c r="D12" i="54"/>
  <c r="D28" i="54" s="1"/>
  <c r="D35" i="54" s="1"/>
  <c r="H33" i="54"/>
  <c r="E34" i="52"/>
  <c r="F27" i="52"/>
  <c r="I27" i="52"/>
  <c r="I34" i="52" s="1"/>
  <c r="D14" i="54"/>
  <c r="D30" i="54" s="1"/>
  <c r="K10" i="55"/>
  <c r="G30" i="53"/>
  <c r="H30" i="53" s="1"/>
  <c r="G29" i="52"/>
  <c r="D22" i="54"/>
  <c r="J15" i="55"/>
  <c r="K16" i="52" s="1"/>
  <c r="K15" i="55"/>
  <c r="L17" i="56"/>
  <c r="Q27" i="52"/>
  <c r="Q34" i="52" s="1"/>
  <c r="E30" i="52"/>
  <c r="F30" i="52" s="1"/>
  <c r="H11" i="54"/>
  <c r="G24" i="52"/>
  <c r="G27" i="52"/>
  <c r="G34" i="52" s="1"/>
  <c r="U12" i="52"/>
  <c r="R24" i="52"/>
  <c r="L28" i="52"/>
  <c r="K14" i="55"/>
  <c r="J14" i="55"/>
  <c r="K15" i="52" s="1"/>
  <c r="K17" i="55"/>
  <c r="J17" i="55"/>
  <c r="K18" i="52" s="1"/>
  <c r="K18" i="56"/>
  <c r="L18" i="56" s="1"/>
  <c r="J18" i="56"/>
  <c r="K19" i="52" s="1"/>
  <c r="H20" i="54"/>
  <c r="D20" i="54"/>
  <c r="G32" i="52"/>
  <c r="G18" i="53"/>
  <c r="G28" i="53" s="1"/>
  <c r="D29" i="54"/>
  <c r="K16" i="55"/>
  <c r="J16" i="55"/>
  <c r="K17" i="52" s="1"/>
  <c r="J12" i="56"/>
  <c r="K13" i="52" s="1"/>
  <c r="T13" i="52" s="1"/>
  <c r="K12" i="56"/>
  <c r="L12" i="56" s="1"/>
  <c r="D28" i="52"/>
  <c r="F18" i="52"/>
  <c r="C23" i="55"/>
  <c r="L34" i="52"/>
  <c r="H18" i="54"/>
  <c r="D18" i="54"/>
  <c r="H18" i="52"/>
  <c r="H15" i="54"/>
  <c r="H31" i="54" s="1"/>
  <c r="D15" i="54"/>
  <c r="D31" i="54" s="1"/>
  <c r="G30" i="52"/>
  <c r="J27" i="52"/>
  <c r="J34" i="52" s="1"/>
  <c r="D17" i="54"/>
  <c r="D33" i="54" s="1"/>
  <c r="L20" i="55"/>
  <c r="K21" i="56"/>
  <c r="L21" i="56" s="1"/>
  <c r="N24" i="52"/>
  <c r="N27" i="52"/>
  <c r="N34" i="52" s="1"/>
  <c r="H13" i="54"/>
  <c r="H29" i="54" s="1"/>
  <c r="G28" i="52"/>
  <c r="K20" i="56"/>
  <c r="L20" i="56" s="1"/>
  <c r="O24" i="52"/>
  <c r="O27" i="52"/>
  <c r="O34" i="52" s="1"/>
  <c r="P27" i="52"/>
  <c r="R28" i="52"/>
  <c r="R34" i="52" s="1"/>
  <c r="F29" i="52"/>
  <c r="H16" i="54"/>
  <c r="H32" i="54" s="1"/>
  <c r="G31" i="52"/>
  <c r="S24" i="52"/>
  <c r="K13" i="56"/>
  <c r="J13" i="56"/>
  <c r="F19" i="52"/>
  <c r="H19" i="52" s="1"/>
  <c r="P28" i="52"/>
  <c r="D31" i="52"/>
  <c r="F31" i="52" s="1"/>
  <c r="F21" i="52"/>
  <c r="H21" i="52" s="1"/>
  <c r="K13" i="55"/>
  <c r="J13" i="55"/>
  <c r="K19" i="56"/>
  <c r="J19" i="56"/>
  <c r="S31" i="52"/>
  <c r="S34" i="52" s="1"/>
  <c r="J22" i="55"/>
  <c r="K23" i="52" s="1"/>
  <c r="K33" i="52" s="1"/>
  <c r="K11" i="56"/>
  <c r="J11" i="56"/>
  <c r="K12" i="52" s="1"/>
  <c r="E24" i="52"/>
  <c r="F24" i="52" s="1"/>
  <c r="M24" i="52"/>
  <c r="Q28" i="52"/>
  <c r="F17" i="52"/>
  <c r="H17" i="52" s="1"/>
  <c r="M27" i="52"/>
  <c r="M34" i="52" s="1"/>
  <c r="K20" i="52"/>
  <c r="T20" i="52" s="1"/>
  <c r="E20" i="54" s="1"/>
  <c r="K21" i="55"/>
  <c r="J21" i="55"/>
  <c r="K22" i="52" s="1"/>
  <c r="T22" i="52" s="1"/>
  <c r="E22" i="54" s="1"/>
  <c r="I22" i="55"/>
  <c r="K22" i="55" s="1"/>
  <c r="K10" i="56"/>
  <c r="C23" i="56"/>
  <c r="J10" i="56"/>
  <c r="I11" i="56"/>
  <c r="F26" i="2"/>
  <c r="F27" i="48"/>
  <c r="F26" i="1"/>
  <c r="F27" i="49"/>
  <c r="B36" i="50"/>
  <c r="B35" i="50"/>
  <c r="B34" i="50"/>
  <c r="B33" i="50"/>
  <c r="B32" i="50"/>
  <c r="E31" i="50"/>
  <c r="B31" i="50"/>
  <c r="B30" i="50"/>
  <c r="B29" i="50"/>
  <c r="B25" i="50"/>
  <c r="B24" i="50"/>
  <c r="B23" i="50"/>
  <c r="B22" i="50"/>
  <c r="E22" i="50"/>
  <c r="B21" i="50"/>
  <c r="E20" i="50"/>
  <c r="B20" i="50"/>
  <c r="B19" i="50"/>
  <c r="B18" i="50"/>
  <c r="B14" i="50"/>
  <c r="B13" i="50"/>
  <c r="B12" i="50"/>
  <c r="B11" i="50"/>
  <c r="B10" i="50"/>
  <c r="B9" i="50"/>
  <c r="B8" i="50"/>
  <c r="B7" i="50"/>
  <c r="T19" i="52" l="1"/>
  <c r="E19" i="54" s="1"/>
  <c r="L15" i="55"/>
  <c r="L22" i="55"/>
  <c r="T23" i="52"/>
  <c r="K31" i="52"/>
  <c r="T21" i="52"/>
  <c r="E21" i="54" s="1"/>
  <c r="F21" i="54" s="1"/>
  <c r="U23" i="52"/>
  <c r="M22" i="55"/>
  <c r="F22" i="54"/>
  <c r="F20" i="54"/>
  <c r="U16" i="52"/>
  <c r="M15" i="55"/>
  <c r="D24" i="54"/>
  <c r="V19" i="52"/>
  <c r="L13" i="55"/>
  <c r="M20" i="56"/>
  <c r="W21" i="52"/>
  <c r="F34" i="52"/>
  <c r="L21" i="55"/>
  <c r="L11" i="56"/>
  <c r="W33" i="52"/>
  <c r="X23" i="52"/>
  <c r="H28" i="54"/>
  <c r="H35" i="54" s="1"/>
  <c r="H24" i="54"/>
  <c r="E13" i="54"/>
  <c r="W13" i="52"/>
  <c r="M12" i="56"/>
  <c r="J23" i="56"/>
  <c r="J32" i="56" s="1"/>
  <c r="K11" i="52"/>
  <c r="T17" i="52"/>
  <c r="H32" i="52"/>
  <c r="T18" i="52"/>
  <c r="E18" i="54" s="1"/>
  <c r="T16" i="52"/>
  <c r="X16" i="52" s="1"/>
  <c r="K23" i="55"/>
  <c r="L10" i="55"/>
  <c r="H29" i="52"/>
  <c r="Y13" i="52"/>
  <c r="V13" i="52"/>
  <c r="K32" i="52"/>
  <c r="K14" i="52"/>
  <c r="J23" i="55"/>
  <c r="M18" i="56"/>
  <c r="W19" i="52"/>
  <c r="X19" i="52" s="1"/>
  <c r="V12" i="52"/>
  <c r="E23" i="54"/>
  <c r="T33" i="52"/>
  <c r="G35" i="53"/>
  <c r="G41" i="53"/>
  <c r="H28" i="53"/>
  <c r="H35" i="53" s="1"/>
  <c r="H37" i="53" s="1"/>
  <c r="H38" i="53" s="1"/>
  <c r="H39" i="53" s="1"/>
  <c r="T12" i="52"/>
  <c r="E12" i="54" s="1"/>
  <c r="L17" i="55"/>
  <c r="K30" i="52"/>
  <c r="T15" i="52"/>
  <c r="H24" i="52"/>
  <c r="L14" i="55"/>
  <c r="F19" i="54"/>
  <c r="K28" i="52"/>
  <c r="M16" i="56"/>
  <c r="W17" i="52"/>
  <c r="H27" i="52"/>
  <c r="P34" i="52"/>
  <c r="W22" i="52"/>
  <c r="X22" i="52" s="1"/>
  <c r="M21" i="56"/>
  <c r="H31" i="52"/>
  <c r="V20" i="52"/>
  <c r="W31" i="52"/>
  <c r="K23" i="56"/>
  <c r="K32" i="56" s="1"/>
  <c r="L10" i="56"/>
  <c r="L19" i="56"/>
  <c r="L13" i="56"/>
  <c r="M20" i="55"/>
  <c r="U21" i="52"/>
  <c r="L16" i="55"/>
  <c r="M17" i="56"/>
  <c r="W18" i="52"/>
  <c r="E23" i="50"/>
  <c r="E11" i="50"/>
  <c r="E32" i="50"/>
  <c r="G23" i="49"/>
  <c r="F23" i="49"/>
  <c r="E23" i="49"/>
  <c r="D22" i="49"/>
  <c r="D23" i="49"/>
  <c r="A23" i="49"/>
  <c r="A24" i="49" s="1"/>
  <c r="A25" i="49" s="1"/>
  <c r="A26" i="49" s="1"/>
  <c r="A27" i="49" s="1"/>
  <c r="D24" i="49"/>
  <c r="D21" i="49"/>
  <c r="D20" i="49"/>
  <c r="D19" i="49"/>
  <c r="D18" i="49"/>
  <c r="D17" i="49"/>
  <c r="D16" i="49"/>
  <c r="D15" i="49"/>
  <c r="D14" i="49"/>
  <c r="D13" i="49"/>
  <c r="A13" i="49"/>
  <c r="A14" i="49" s="1"/>
  <c r="A15" i="49" s="1"/>
  <c r="A16" i="49" s="1"/>
  <c r="A17" i="49" s="1"/>
  <c r="A18" i="49" s="1"/>
  <c r="A19" i="49" s="1"/>
  <c r="A20" i="49" s="1"/>
  <c r="A21" i="49" s="1"/>
  <c r="A22" i="49" s="1"/>
  <c r="D12" i="49"/>
  <c r="A12" i="49"/>
  <c r="D11" i="49"/>
  <c r="D25" i="49" s="1"/>
  <c r="E17" i="49" s="1"/>
  <c r="F17" i="49" s="1"/>
  <c r="G17" i="49" s="1"/>
  <c r="X21" i="52" l="1"/>
  <c r="M16" i="55"/>
  <c r="U17" i="52"/>
  <c r="X17" i="52"/>
  <c r="W32" i="52"/>
  <c r="X32" i="52" s="1"/>
  <c r="F18" i="54"/>
  <c r="F13" i="54"/>
  <c r="E29" i="54"/>
  <c r="F29" i="54" s="1"/>
  <c r="I13" i="54"/>
  <c r="U18" i="52"/>
  <c r="M17" i="55"/>
  <c r="F23" i="54"/>
  <c r="E34" i="54"/>
  <c r="F34" i="54" s="1"/>
  <c r="U31" i="52"/>
  <c r="V31" i="52" s="1"/>
  <c r="Y16" i="52"/>
  <c r="V16" i="52"/>
  <c r="T32" i="52"/>
  <c r="E17" i="54"/>
  <c r="M13" i="56"/>
  <c r="W14" i="52"/>
  <c r="K24" i="52"/>
  <c r="K27" i="52"/>
  <c r="T11" i="52"/>
  <c r="F12" i="54"/>
  <c r="L23" i="55"/>
  <c r="M23" i="55" s="1"/>
  <c r="M10" i="55"/>
  <c r="U11" i="52"/>
  <c r="Y11" i="52" s="1"/>
  <c r="Y21" i="52"/>
  <c r="V21" i="52"/>
  <c r="Z13" i="52"/>
  <c r="W20" i="52"/>
  <c r="M19" i="56"/>
  <c r="X33" i="52"/>
  <c r="U14" i="52"/>
  <c r="M13" i="55"/>
  <c r="M10" i="56"/>
  <c r="L23" i="56"/>
  <c r="W11" i="52"/>
  <c r="U15" i="52"/>
  <c r="M14" i="55"/>
  <c r="W12" i="52"/>
  <c r="M11" i="56"/>
  <c r="X18" i="52"/>
  <c r="W28" i="52"/>
  <c r="X13" i="52"/>
  <c r="U22" i="52"/>
  <c r="M21" i="55"/>
  <c r="Y19" i="52"/>
  <c r="H34" i="52"/>
  <c r="E15" i="54"/>
  <c r="T30" i="52"/>
  <c r="K29" i="52"/>
  <c r="T14" i="52"/>
  <c r="T31" i="52"/>
  <c r="X31" i="52" s="1"/>
  <c r="E16" i="54"/>
  <c r="T28" i="52"/>
  <c r="X15" i="52"/>
  <c r="V23" i="52"/>
  <c r="U33" i="52"/>
  <c r="V33" i="52" s="1"/>
  <c r="Y23" i="52"/>
  <c r="E33" i="50"/>
  <c r="E34" i="50"/>
  <c r="E12" i="50"/>
  <c r="E25" i="50"/>
  <c r="E18" i="49"/>
  <c r="F18" i="49" s="1"/>
  <c r="G18" i="49" s="1"/>
  <c r="E12" i="49"/>
  <c r="F12" i="49" s="1"/>
  <c r="G12" i="49" s="1"/>
  <c r="H12" i="49" s="1"/>
  <c r="E19" i="49"/>
  <c r="F19" i="49" s="1"/>
  <c r="G19" i="49" s="1"/>
  <c r="E20" i="49"/>
  <c r="F20" i="49" s="1"/>
  <c r="G20" i="49" s="1"/>
  <c r="E13" i="49"/>
  <c r="F13" i="49" s="1"/>
  <c r="G13" i="49" s="1"/>
  <c r="E21" i="49"/>
  <c r="F21" i="49" s="1"/>
  <c r="G21" i="49" s="1"/>
  <c r="E14" i="49"/>
  <c r="F14" i="49" s="1"/>
  <c r="G14" i="49" s="1"/>
  <c r="E22" i="49"/>
  <c r="F22" i="49" s="1"/>
  <c r="G22" i="49" s="1"/>
  <c r="E15" i="49"/>
  <c r="F15" i="49" s="1"/>
  <c r="G15" i="49" s="1"/>
  <c r="E24" i="49"/>
  <c r="F24" i="49" s="1"/>
  <c r="G24" i="49" s="1"/>
  <c r="E16" i="49"/>
  <c r="F16" i="49" s="1"/>
  <c r="G16" i="49" s="1"/>
  <c r="E11" i="49"/>
  <c r="G22" i="48"/>
  <c r="G23" i="48"/>
  <c r="N133" i="7"/>
  <c r="E23" i="48"/>
  <c r="D22" i="48"/>
  <c r="D23" i="48"/>
  <c r="N116" i="6"/>
  <c r="N117" i="6"/>
  <c r="N115" i="6"/>
  <c r="A23" i="48"/>
  <c r="A24" i="48" s="1"/>
  <c r="A25" i="48" s="1"/>
  <c r="A26" i="48" s="1"/>
  <c r="A27" i="48" s="1"/>
  <c r="A28" i="48" s="1"/>
  <c r="A29" i="48" s="1"/>
  <c r="A14" i="48"/>
  <c r="A15" i="48" s="1"/>
  <c r="A16" i="48" s="1"/>
  <c r="A17" i="48" s="1"/>
  <c r="A18" i="48" s="1"/>
  <c r="A19" i="48" s="1"/>
  <c r="A20" i="48" s="1"/>
  <c r="A21" i="48" s="1"/>
  <c r="A22" i="48" s="1"/>
  <c r="A13" i="48"/>
  <c r="G12" i="48"/>
  <c r="A12" i="48"/>
  <c r="D9" i="48"/>
  <c r="D8" i="48"/>
  <c r="A4" i="48"/>
  <c r="A2" i="48"/>
  <c r="M94" i="6"/>
  <c r="L94" i="6"/>
  <c r="K94" i="6"/>
  <c r="J94" i="6"/>
  <c r="I94" i="6"/>
  <c r="H94" i="6"/>
  <c r="G94" i="6"/>
  <c r="F94" i="6"/>
  <c r="E94" i="6"/>
  <c r="D94" i="6"/>
  <c r="C94" i="6"/>
  <c r="B94" i="6"/>
  <c r="N93" i="6"/>
  <c r="N92" i="6"/>
  <c r="N91" i="6"/>
  <c r="N90" i="6"/>
  <c r="N89" i="6"/>
  <c r="N88" i="6"/>
  <c r="N87" i="6"/>
  <c r="N86" i="6"/>
  <c r="N85" i="6"/>
  <c r="N84" i="6"/>
  <c r="N83" i="6"/>
  <c r="N82" i="6"/>
  <c r="N81" i="6"/>
  <c r="N80" i="6"/>
  <c r="Z11" i="52" l="1"/>
  <c r="X28" i="52"/>
  <c r="Y33" i="52"/>
  <c r="Z33" i="52" s="1"/>
  <c r="Z23" i="52"/>
  <c r="K34" i="52"/>
  <c r="F15" i="54"/>
  <c r="E31" i="54"/>
  <c r="F31" i="54" s="1"/>
  <c r="Y14" i="52"/>
  <c r="V14" i="52"/>
  <c r="U29" i="52"/>
  <c r="I23" i="54"/>
  <c r="X12" i="52"/>
  <c r="Y12" i="52"/>
  <c r="U24" i="52"/>
  <c r="V11" i="52"/>
  <c r="U27" i="52"/>
  <c r="F16" i="54"/>
  <c r="E32" i="54"/>
  <c r="F32" i="54" s="1"/>
  <c r="I16" i="54"/>
  <c r="E11" i="54"/>
  <c r="T24" i="52"/>
  <c r="T27" i="52"/>
  <c r="T34" i="52" s="1"/>
  <c r="Y31" i="52"/>
  <c r="Z31" i="52" s="1"/>
  <c r="Z16" i="52"/>
  <c r="Z21" i="52"/>
  <c r="I21" i="54"/>
  <c r="X14" i="52"/>
  <c r="W29" i="52"/>
  <c r="Z19" i="52"/>
  <c r="I19" i="54"/>
  <c r="U30" i="52"/>
  <c r="V30" i="52" s="1"/>
  <c r="V15" i="52"/>
  <c r="Y15" i="52"/>
  <c r="I15" i="54" s="1"/>
  <c r="X20" i="52"/>
  <c r="W30" i="52"/>
  <c r="X30" i="52" s="1"/>
  <c r="Y20" i="52"/>
  <c r="F17" i="54"/>
  <c r="E33" i="54"/>
  <c r="F33" i="54" s="1"/>
  <c r="V22" i="52"/>
  <c r="Y22" i="52"/>
  <c r="W24" i="52"/>
  <c r="W27" i="52"/>
  <c r="X11" i="52"/>
  <c r="V18" i="52"/>
  <c r="Y18" i="52"/>
  <c r="U28" i="52"/>
  <c r="V28" i="52" s="1"/>
  <c r="U32" i="52"/>
  <c r="V32" i="52" s="1"/>
  <c r="Y17" i="52"/>
  <c r="I17" i="54" s="1"/>
  <c r="V17" i="52"/>
  <c r="E14" i="54"/>
  <c r="T29" i="52"/>
  <c r="L32" i="56"/>
  <c r="M32" i="56" s="1"/>
  <c r="M23" i="56"/>
  <c r="L13" i="54"/>
  <c r="N13" i="54" s="1"/>
  <c r="J13" i="54"/>
  <c r="E36" i="50"/>
  <c r="E14" i="50"/>
  <c r="E25" i="49"/>
  <c r="F11" i="49"/>
  <c r="N94" i="6"/>
  <c r="L17" i="54" l="1"/>
  <c r="J17" i="54"/>
  <c r="Y29" i="52"/>
  <c r="Z29" i="52" s="1"/>
  <c r="Z14" i="52"/>
  <c r="L19" i="54"/>
  <c r="N19" i="54" s="1"/>
  <c r="J19" i="54"/>
  <c r="V24" i="52"/>
  <c r="X29" i="52"/>
  <c r="Z12" i="52"/>
  <c r="I12" i="54"/>
  <c r="X24" i="52"/>
  <c r="L21" i="54"/>
  <c r="N21" i="54" s="1"/>
  <c r="J21" i="54"/>
  <c r="I34" i="54"/>
  <c r="L23" i="54"/>
  <c r="N23" i="54" s="1"/>
  <c r="J23" i="54"/>
  <c r="U34" i="52"/>
  <c r="V34" i="52" s="1"/>
  <c r="V27" i="52"/>
  <c r="Y24" i="52"/>
  <c r="Z24" i="52" s="1"/>
  <c r="Y27" i="52"/>
  <c r="Z18" i="52"/>
  <c r="Y28" i="52"/>
  <c r="Z28" i="52" s="1"/>
  <c r="I18" i="54"/>
  <c r="J15" i="54"/>
  <c r="L15" i="54"/>
  <c r="Z20" i="52"/>
  <c r="I20" i="54"/>
  <c r="F11" i="54"/>
  <c r="E28" i="54"/>
  <c r="E24" i="54"/>
  <c r="F24" i="54" s="1"/>
  <c r="I11" i="54"/>
  <c r="F14" i="54"/>
  <c r="E30" i="54"/>
  <c r="F30" i="54" s="1"/>
  <c r="I14" i="54"/>
  <c r="W34" i="52"/>
  <c r="X34" i="52" s="1"/>
  <c r="X27" i="52"/>
  <c r="I32" i="54"/>
  <c r="J16" i="54"/>
  <c r="L16" i="54"/>
  <c r="N16" i="54" s="1"/>
  <c r="Z17" i="52"/>
  <c r="Y32" i="52"/>
  <c r="Z32" i="52" s="1"/>
  <c r="Z22" i="52"/>
  <c r="I22" i="54"/>
  <c r="Y30" i="52"/>
  <c r="Z30" i="52" s="1"/>
  <c r="Z15" i="52"/>
  <c r="V29" i="52"/>
  <c r="F25" i="49"/>
  <c r="G11" i="49"/>
  <c r="F28" i="54" l="1"/>
  <c r="E35" i="54"/>
  <c r="F35" i="54" s="1"/>
  <c r="L32" i="54"/>
  <c r="N32" i="54" s="1"/>
  <c r="J32" i="54"/>
  <c r="L34" i="54"/>
  <c r="N34" i="54" s="1"/>
  <c r="J34" i="54"/>
  <c r="L22" i="54"/>
  <c r="N22" i="54" s="1"/>
  <c r="J22" i="54"/>
  <c r="J20" i="54"/>
  <c r="L20" i="54"/>
  <c r="N20" i="54" s="1"/>
  <c r="I30" i="54"/>
  <c r="L14" i="54"/>
  <c r="N14" i="54" s="1"/>
  <c r="J14" i="54"/>
  <c r="N17" i="54"/>
  <c r="Y34" i="52"/>
  <c r="Z34" i="52" s="1"/>
  <c r="Z27" i="52"/>
  <c r="I31" i="54"/>
  <c r="N15" i="54"/>
  <c r="L12" i="54"/>
  <c r="N12" i="54" s="1"/>
  <c r="J12" i="54"/>
  <c r="L11" i="54"/>
  <c r="N11" i="54" s="1"/>
  <c r="I28" i="54"/>
  <c r="J11" i="54"/>
  <c r="I24" i="54"/>
  <c r="J18" i="54"/>
  <c r="L18" i="54"/>
  <c r="N18" i="54" s="1"/>
  <c r="I29" i="54"/>
  <c r="I33" i="54"/>
  <c r="M29" i="5"/>
  <c r="L29" i="5"/>
  <c r="K29" i="5"/>
  <c r="J29" i="5"/>
  <c r="I29" i="5"/>
  <c r="H29" i="5"/>
  <c r="G29" i="5"/>
  <c r="F29" i="5"/>
  <c r="E29" i="5"/>
  <c r="D29" i="5"/>
  <c r="C29" i="5"/>
  <c r="B29" i="5"/>
  <c r="M11" i="5"/>
  <c r="L11" i="5"/>
  <c r="K11" i="5"/>
  <c r="J11" i="5"/>
  <c r="I11" i="5"/>
  <c r="H11" i="5"/>
  <c r="G11" i="5"/>
  <c r="F11" i="5"/>
  <c r="E11" i="5"/>
  <c r="D11" i="5"/>
  <c r="C11" i="5"/>
  <c r="B11" i="5"/>
  <c r="L24" i="54" l="1"/>
  <c r="N24" i="54" s="1"/>
  <c r="J24" i="54"/>
  <c r="L33" i="54"/>
  <c r="N33" i="54" s="1"/>
  <c r="J33" i="54"/>
  <c r="L28" i="54"/>
  <c r="N28" i="54" s="1"/>
  <c r="I35" i="54"/>
  <c r="J28" i="54"/>
  <c r="J29" i="54"/>
  <c r="L29" i="54"/>
  <c r="N29" i="54" s="1"/>
  <c r="L30" i="54"/>
  <c r="N30" i="54" s="1"/>
  <c r="J30" i="54"/>
  <c r="L31" i="54"/>
  <c r="N31" i="54" s="1"/>
  <c r="J31" i="54"/>
  <c r="E98" i="41"/>
  <c r="E97" i="41"/>
  <c r="E96" i="41"/>
  <c r="E95" i="41"/>
  <c r="E94" i="41"/>
  <c r="E93" i="41"/>
  <c r="E92" i="41"/>
  <c r="E91" i="41"/>
  <c r="E90" i="41"/>
  <c r="E89" i="41"/>
  <c r="E88" i="41"/>
  <c r="B88" i="41"/>
  <c r="B89" i="41" s="1"/>
  <c r="B90" i="41" s="1"/>
  <c r="B91" i="41" s="1"/>
  <c r="B92" i="41" s="1"/>
  <c r="B93" i="41" s="1"/>
  <c r="B94" i="41" s="1"/>
  <c r="B95" i="41" s="1"/>
  <c r="B96" i="41" s="1"/>
  <c r="B97" i="41" s="1"/>
  <c r="B98" i="41" s="1"/>
  <c r="E87" i="41"/>
  <c r="E82" i="41"/>
  <c r="E81" i="41"/>
  <c r="E80" i="41"/>
  <c r="E79" i="41"/>
  <c r="E78" i="41"/>
  <c r="E77" i="41"/>
  <c r="E76" i="41"/>
  <c r="E75" i="41"/>
  <c r="E74" i="41"/>
  <c r="E73" i="41"/>
  <c r="E72" i="41"/>
  <c r="B72" i="41"/>
  <c r="B73" i="41" s="1"/>
  <c r="B74" i="41" s="1"/>
  <c r="B75" i="41" s="1"/>
  <c r="B76" i="41" s="1"/>
  <c r="B77" i="41" s="1"/>
  <c r="B78" i="41" s="1"/>
  <c r="B79" i="41" s="1"/>
  <c r="B80" i="41" s="1"/>
  <c r="B81" i="41" s="1"/>
  <c r="B82" i="41" s="1"/>
  <c r="E71" i="41"/>
  <c r="E56" i="41"/>
  <c r="E57" i="41"/>
  <c r="E58" i="41"/>
  <c r="E59" i="41"/>
  <c r="E60" i="41"/>
  <c r="E61" i="41"/>
  <c r="E62" i="41"/>
  <c r="E63" i="41"/>
  <c r="E64" i="41"/>
  <c r="E65" i="41"/>
  <c r="E66" i="41"/>
  <c r="E55" i="41"/>
  <c r="B56" i="41"/>
  <c r="B57" i="41" s="1"/>
  <c r="B58" i="41" s="1"/>
  <c r="B59" i="41" s="1"/>
  <c r="B60" i="41" s="1"/>
  <c r="B61" i="41" s="1"/>
  <c r="B62" i="41" s="1"/>
  <c r="B63" i="41" s="1"/>
  <c r="B64" i="41" s="1"/>
  <c r="B65" i="41" s="1"/>
  <c r="B66" i="41" s="1"/>
  <c r="E46" i="41"/>
  <c r="E40" i="41"/>
  <c r="E39" i="41"/>
  <c r="E38" i="41"/>
  <c r="E37" i="41"/>
  <c r="E36" i="41"/>
  <c r="E34" i="41"/>
  <c r="E33" i="41"/>
  <c r="E32" i="41"/>
  <c r="E31" i="41"/>
  <c r="E29" i="41"/>
  <c r="E22" i="41"/>
  <c r="E21" i="41"/>
  <c r="E20" i="41"/>
  <c r="E19" i="41"/>
  <c r="E18" i="41"/>
  <c r="E17" i="41"/>
  <c r="E16" i="41"/>
  <c r="E15" i="41"/>
  <c r="E14" i="41"/>
  <c r="E13" i="41"/>
  <c r="E12" i="41"/>
  <c r="E11" i="41"/>
  <c r="E10" i="41"/>
  <c r="J35" i="54" l="1"/>
  <c r="L35" i="54"/>
  <c r="N35" i="54" s="1"/>
  <c r="C80" i="7"/>
  <c r="D80" i="7"/>
  <c r="E80" i="7"/>
  <c r="F80" i="7"/>
  <c r="G80" i="7"/>
  <c r="H80" i="7"/>
  <c r="I80" i="7"/>
  <c r="J80" i="7"/>
  <c r="K80" i="7"/>
  <c r="L80" i="7"/>
  <c r="M80" i="7"/>
  <c r="C81" i="7"/>
  <c r="D81" i="7"/>
  <c r="E81" i="7"/>
  <c r="F81" i="7"/>
  <c r="G81" i="7"/>
  <c r="H81" i="7"/>
  <c r="I81" i="7"/>
  <c r="J81" i="7"/>
  <c r="K81" i="7"/>
  <c r="L81" i="7"/>
  <c r="M81" i="7"/>
  <c r="C82" i="7"/>
  <c r="D82" i="7"/>
  <c r="E82" i="7"/>
  <c r="F82" i="7"/>
  <c r="G82" i="7"/>
  <c r="H82" i="7"/>
  <c r="I82" i="7"/>
  <c r="J82" i="7"/>
  <c r="K82" i="7"/>
  <c r="L82" i="7"/>
  <c r="M82" i="7"/>
  <c r="C83" i="7"/>
  <c r="D83" i="7"/>
  <c r="E83" i="7"/>
  <c r="F83" i="7"/>
  <c r="G83" i="7"/>
  <c r="H83" i="7"/>
  <c r="I83" i="7"/>
  <c r="J83" i="7"/>
  <c r="K83" i="7"/>
  <c r="L83" i="7"/>
  <c r="M83" i="7"/>
  <c r="C84" i="7"/>
  <c r="D84" i="7"/>
  <c r="E84" i="7"/>
  <c r="F84" i="7"/>
  <c r="G84" i="7"/>
  <c r="H84" i="7"/>
  <c r="I84" i="7"/>
  <c r="J84" i="7"/>
  <c r="K84" i="7"/>
  <c r="L84" i="7"/>
  <c r="M84" i="7"/>
  <c r="C85" i="7"/>
  <c r="D85" i="7"/>
  <c r="E85" i="7"/>
  <c r="F85" i="7"/>
  <c r="G85" i="7"/>
  <c r="H85" i="7"/>
  <c r="I85" i="7"/>
  <c r="J85" i="7"/>
  <c r="K85" i="7"/>
  <c r="L85" i="7"/>
  <c r="M85" i="7"/>
  <c r="C86" i="7"/>
  <c r="D86" i="7"/>
  <c r="E86" i="7"/>
  <c r="F86" i="7"/>
  <c r="G86" i="7"/>
  <c r="H86" i="7"/>
  <c r="I86" i="7"/>
  <c r="J86" i="7"/>
  <c r="K86" i="7"/>
  <c r="L86" i="7"/>
  <c r="M86" i="7"/>
  <c r="C87" i="7"/>
  <c r="D87" i="7"/>
  <c r="E87" i="7"/>
  <c r="F87" i="7"/>
  <c r="G87" i="7"/>
  <c r="H87" i="7"/>
  <c r="I87" i="7"/>
  <c r="J87" i="7"/>
  <c r="K87" i="7"/>
  <c r="L87" i="7"/>
  <c r="M87" i="7"/>
  <c r="C88" i="7"/>
  <c r="D88" i="7"/>
  <c r="E88" i="7"/>
  <c r="F88" i="7"/>
  <c r="G88" i="7"/>
  <c r="H88" i="7"/>
  <c r="I88" i="7"/>
  <c r="J88" i="7"/>
  <c r="K88" i="7"/>
  <c r="L88" i="7"/>
  <c r="M88" i="7"/>
  <c r="C89" i="7"/>
  <c r="D89" i="7"/>
  <c r="E89" i="7"/>
  <c r="F89" i="7"/>
  <c r="G89" i="7"/>
  <c r="H89" i="7"/>
  <c r="I89" i="7"/>
  <c r="J89" i="7"/>
  <c r="K89" i="7"/>
  <c r="L89" i="7"/>
  <c r="M89" i="7"/>
  <c r="C90" i="7"/>
  <c r="D90" i="7"/>
  <c r="E90" i="7"/>
  <c r="F90" i="7"/>
  <c r="G90" i="7"/>
  <c r="H90" i="7"/>
  <c r="I90" i="7"/>
  <c r="J90" i="7"/>
  <c r="K90" i="7"/>
  <c r="L90" i="7"/>
  <c r="M90" i="7"/>
  <c r="C91" i="7"/>
  <c r="D91" i="7"/>
  <c r="E91" i="7"/>
  <c r="F91" i="7"/>
  <c r="G91" i="7"/>
  <c r="H91" i="7"/>
  <c r="I91" i="7"/>
  <c r="J91" i="7"/>
  <c r="K91" i="7"/>
  <c r="L91" i="7"/>
  <c r="M91" i="7"/>
  <c r="C92" i="7"/>
  <c r="D92" i="7"/>
  <c r="E92" i="7"/>
  <c r="F92" i="7"/>
  <c r="G92" i="7"/>
  <c r="H92" i="7"/>
  <c r="I92" i="7"/>
  <c r="J92" i="7"/>
  <c r="K92" i="7"/>
  <c r="L92" i="7"/>
  <c r="M92" i="7"/>
  <c r="C93" i="7"/>
  <c r="D93" i="7"/>
  <c r="E93" i="7"/>
  <c r="F93" i="7"/>
  <c r="G93" i="7"/>
  <c r="H93" i="7"/>
  <c r="I93" i="7"/>
  <c r="J93" i="7"/>
  <c r="K93" i="7"/>
  <c r="L93" i="7"/>
  <c r="M93" i="7"/>
  <c r="B81" i="7"/>
  <c r="B82" i="7"/>
  <c r="B83" i="7"/>
  <c r="B84" i="7"/>
  <c r="B85" i="7"/>
  <c r="B86" i="7"/>
  <c r="B87" i="7"/>
  <c r="B88" i="7"/>
  <c r="B89" i="7"/>
  <c r="B90" i="7"/>
  <c r="B91" i="7"/>
  <c r="B92" i="7"/>
  <c r="B93" i="7"/>
  <c r="B80" i="7"/>
  <c r="B25" i="8"/>
  <c r="M40" i="8"/>
  <c r="L40" i="8"/>
  <c r="K40" i="8"/>
  <c r="J40" i="8"/>
  <c r="I40" i="8"/>
  <c r="H40" i="8"/>
  <c r="G40" i="8"/>
  <c r="F40" i="8"/>
  <c r="E40" i="8"/>
  <c r="D40" i="8"/>
  <c r="C40" i="8"/>
  <c r="B40" i="8"/>
  <c r="N39" i="8"/>
  <c r="N38" i="8"/>
  <c r="N37" i="8"/>
  <c r="N36" i="8"/>
  <c r="N35" i="8"/>
  <c r="N34" i="8"/>
  <c r="N33" i="8"/>
  <c r="N32" i="8"/>
  <c r="N31" i="8"/>
  <c r="N30" i="8"/>
  <c r="N29" i="8"/>
  <c r="N28" i="8"/>
  <c r="N27" i="8"/>
  <c r="N26" i="8"/>
  <c r="N40" i="8" l="1"/>
  <c r="A18" i="10" l="1"/>
  <c r="A19" i="10"/>
  <c r="A20" i="10"/>
  <c r="A21" i="10"/>
  <c r="A22" i="10"/>
  <c r="A23" i="10" s="1"/>
  <c r="A24" i="10" s="1"/>
  <c r="A25" i="10" s="1"/>
  <c r="A26" i="10" s="1"/>
  <c r="A27" i="10" s="1"/>
  <c r="A28" i="10" s="1"/>
  <c r="A29" i="10" s="1"/>
  <c r="D9" i="2" l="1"/>
  <c r="D8" i="2"/>
  <c r="D9" i="9"/>
  <c r="D8" i="9"/>
  <c r="A4" i="9"/>
  <c r="N9" i="8" l="1"/>
  <c r="N10" i="8"/>
  <c r="N11" i="8"/>
  <c r="N12" i="8"/>
  <c r="N13" i="8"/>
  <c r="N14" i="8"/>
  <c r="N15" i="8"/>
  <c r="N16" i="8"/>
  <c r="N17" i="8"/>
  <c r="N18" i="8"/>
  <c r="N19" i="8"/>
  <c r="N20" i="8"/>
  <c r="N21" i="8"/>
  <c r="N8" i="8"/>
  <c r="C22" i="8"/>
  <c r="D22" i="8"/>
  <c r="E22" i="8"/>
  <c r="F22" i="8"/>
  <c r="G22" i="8"/>
  <c r="H22" i="8"/>
  <c r="I22" i="8"/>
  <c r="J22" i="8"/>
  <c r="K22" i="8"/>
  <c r="L22" i="8"/>
  <c r="M22" i="8"/>
  <c r="B22" i="8"/>
  <c r="N63" i="6"/>
  <c r="N64" i="6"/>
  <c r="N65" i="6"/>
  <c r="N66" i="6"/>
  <c r="N67" i="6"/>
  <c r="N68" i="6"/>
  <c r="N69" i="6"/>
  <c r="N70" i="6"/>
  <c r="N71" i="6"/>
  <c r="N72" i="6"/>
  <c r="N73" i="6"/>
  <c r="N74" i="6"/>
  <c r="N75" i="6"/>
  <c r="N62" i="6"/>
  <c r="C76" i="6"/>
  <c r="D76" i="6"/>
  <c r="E76" i="6"/>
  <c r="F76" i="6"/>
  <c r="G76" i="6"/>
  <c r="H76" i="6"/>
  <c r="I76" i="6"/>
  <c r="J76" i="6"/>
  <c r="K76" i="6"/>
  <c r="L76" i="6"/>
  <c r="M76" i="6"/>
  <c r="B76" i="6"/>
  <c r="N45" i="6"/>
  <c r="N46" i="6"/>
  <c r="N47" i="6"/>
  <c r="N48" i="6"/>
  <c r="N49" i="6"/>
  <c r="N50" i="6"/>
  <c r="N51" i="6"/>
  <c r="N52" i="6"/>
  <c r="N53" i="6"/>
  <c r="N54" i="6"/>
  <c r="N55" i="6"/>
  <c r="N56" i="6"/>
  <c r="N57" i="6"/>
  <c r="N44" i="6"/>
  <c r="C58" i="6"/>
  <c r="D58" i="6"/>
  <c r="E58" i="6"/>
  <c r="F58" i="6"/>
  <c r="G58" i="6"/>
  <c r="H58" i="6"/>
  <c r="I58" i="6"/>
  <c r="J58" i="6"/>
  <c r="K58" i="6"/>
  <c r="L58" i="6"/>
  <c r="M58" i="6"/>
  <c r="B58" i="6"/>
  <c r="N27" i="6"/>
  <c r="N28" i="6"/>
  <c r="N29" i="6"/>
  <c r="N30" i="6"/>
  <c r="N31" i="6"/>
  <c r="N32" i="6"/>
  <c r="N33" i="6"/>
  <c r="N34" i="6"/>
  <c r="N35" i="6"/>
  <c r="N36" i="6"/>
  <c r="N37" i="6"/>
  <c r="N38" i="6"/>
  <c r="N39" i="6"/>
  <c r="N26" i="6"/>
  <c r="C40" i="6"/>
  <c r="D40" i="6"/>
  <c r="E40" i="6"/>
  <c r="F40" i="6"/>
  <c r="G40" i="6"/>
  <c r="H40" i="6"/>
  <c r="I40" i="6"/>
  <c r="J40" i="6"/>
  <c r="K40" i="6"/>
  <c r="L40" i="6"/>
  <c r="M40" i="6"/>
  <c r="B40" i="6"/>
  <c r="G8" i="6"/>
  <c r="G98" i="6" s="1"/>
  <c r="H8" i="6"/>
  <c r="H98" i="6" s="1"/>
  <c r="I8" i="6"/>
  <c r="I98" i="6" s="1"/>
  <c r="J8" i="6"/>
  <c r="J98" i="6" s="1"/>
  <c r="K8" i="6"/>
  <c r="K98" i="6" s="1"/>
  <c r="L8" i="6"/>
  <c r="L98" i="6" s="1"/>
  <c r="M8" i="6"/>
  <c r="M98" i="6" s="1"/>
  <c r="G9" i="6"/>
  <c r="H9" i="6"/>
  <c r="H99" i="6" s="1"/>
  <c r="I9" i="6"/>
  <c r="I99" i="6" s="1"/>
  <c r="J9" i="6"/>
  <c r="J99" i="6" s="1"/>
  <c r="K9" i="6"/>
  <c r="K99" i="6" s="1"/>
  <c r="L9" i="6"/>
  <c r="L99" i="6" s="1"/>
  <c r="M9" i="6"/>
  <c r="M99" i="6" s="1"/>
  <c r="G10" i="6"/>
  <c r="G100" i="6" s="1"/>
  <c r="H10" i="6"/>
  <c r="H100" i="6" s="1"/>
  <c r="I10" i="6"/>
  <c r="I100" i="6" s="1"/>
  <c r="J10" i="6"/>
  <c r="J100" i="6" s="1"/>
  <c r="K10" i="6"/>
  <c r="K100" i="6" s="1"/>
  <c r="L10" i="6"/>
  <c r="L100" i="6" s="1"/>
  <c r="M10" i="6"/>
  <c r="M100" i="6" s="1"/>
  <c r="G11" i="6"/>
  <c r="G101" i="6" s="1"/>
  <c r="H11" i="6"/>
  <c r="H101" i="6" s="1"/>
  <c r="I11" i="6"/>
  <c r="I101" i="6" s="1"/>
  <c r="J11" i="6"/>
  <c r="J101" i="6" s="1"/>
  <c r="K11" i="6"/>
  <c r="K101" i="6" s="1"/>
  <c r="L11" i="6"/>
  <c r="L101" i="6" s="1"/>
  <c r="M11" i="6"/>
  <c r="M101" i="6" s="1"/>
  <c r="G12" i="6"/>
  <c r="G102" i="6" s="1"/>
  <c r="H12" i="6"/>
  <c r="H102" i="6" s="1"/>
  <c r="I12" i="6"/>
  <c r="I102" i="6" s="1"/>
  <c r="J12" i="6"/>
  <c r="J102" i="6" s="1"/>
  <c r="K12" i="6"/>
  <c r="K102" i="6" s="1"/>
  <c r="L12" i="6"/>
  <c r="L102" i="6" s="1"/>
  <c r="M12" i="6"/>
  <c r="M102" i="6" s="1"/>
  <c r="G13" i="6"/>
  <c r="G103" i="6" s="1"/>
  <c r="H13" i="6"/>
  <c r="H103" i="6" s="1"/>
  <c r="I13" i="6"/>
  <c r="I103" i="6" s="1"/>
  <c r="J13" i="6"/>
  <c r="J103" i="6" s="1"/>
  <c r="K13" i="6"/>
  <c r="K103" i="6" s="1"/>
  <c r="L13" i="6"/>
  <c r="L103" i="6" s="1"/>
  <c r="M13" i="6"/>
  <c r="M103" i="6" s="1"/>
  <c r="G14" i="6"/>
  <c r="G104" i="6" s="1"/>
  <c r="H14" i="6"/>
  <c r="H104" i="6" s="1"/>
  <c r="I14" i="6"/>
  <c r="I104" i="6" s="1"/>
  <c r="J14" i="6"/>
  <c r="J104" i="6" s="1"/>
  <c r="K14" i="6"/>
  <c r="K104" i="6" s="1"/>
  <c r="L14" i="6"/>
  <c r="L104" i="6" s="1"/>
  <c r="M14" i="6"/>
  <c r="M104" i="6" s="1"/>
  <c r="G15" i="6"/>
  <c r="G105" i="6" s="1"/>
  <c r="H15" i="6"/>
  <c r="H105" i="6" s="1"/>
  <c r="I15" i="6"/>
  <c r="I105" i="6" s="1"/>
  <c r="J15" i="6"/>
  <c r="J105" i="6" s="1"/>
  <c r="K15" i="6"/>
  <c r="K105" i="6" s="1"/>
  <c r="L15" i="6"/>
  <c r="L105" i="6" s="1"/>
  <c r="M15" i="6"/>
  <c r="M105" i="6" s="1"/>
  <c r="G16" i="6"/>
  <c r="G106" i="6" s="1"/>
  <c r="H16" i="6"/>
  <c r="H106" i="6" s="1"/>
  <c r="I16" i="6"/>
  <c r="I106" i="6" s="1"/>
  <c r="J16" i="6"/>
  <c r="J106" i="6" s="1"/>
  <c r="K16" i="6"/>
  <c r="K106" i="6" s="1"/>
  <c r="L16" i="6"/>
  <c r="L106" i="6" s="1"/>
  <c r="M16" i="6"/>
  <c r="M106" i="6" s="1"/>
  <c r="G17" i="6"/>
  <c r="G107" i="6" s="1"/>
  <c r="H17" i="6"/>
  <c r="H107" i="6" s="1"/>
  <c r="I17" i="6"/>
  <c r="I107" i="6" s="1"/>
  <c r="J17" i="6"/>
  <c r="J107" i="6" s="1"/>
  <c r="K17" i="6"/>
  <c r="K107" i="6" s="1"/>
  <c r="L17" i="6"/>
  <c r="L107" i="6" s="1"/>
  <c r="M17" i="6"/>
  <c r="M107" i="6" s="1"/>
  <c r="G18" i="6"/>
  <c r="G108" i="6" s="1"/>
  <c r="H18" i="6"/>
  <c r="H108" i="6" s="1"/>
  <c r="I18" i="6"/>
  <c r="I108" i="6" s="1"/>
  <c r="J18" i="6"/>
  <c r="J108" i="6" s="1"/>
  <c r="K18" i="6"/>
  <c r="K108" i="6" s="1"/>
  <c r="L18" i="6"/>
  <c r="L108" i="6" s="1"/>
  <c r="M18" i="6"/>
  <c r="M108" i="6" s="1"/>
  <c r="G19" i="6"/>
  <c r="G109" i="6" s="1"/>
  <c r="H19" i="6"/>
  <c r="H109" i="6" s="1"/>
  <c r="I19" i="6"/>
  <c r="I109" i="6" s="1"/>
  <c r="J19" i="6"/>
  <c r="J109" i="6" s="1"/>
  <c r="K19" i="6"/>
  <c r="K109" i="6" s="1"/>
  <c r="L19" i="6"/>
  <c r="L109" i="6" s="1"/>
  <c r="M19" i="6"/>
  <c r="M109" i="6" s="1"/>
  <c r="G20" i="6"/>
  <c r="G110" i="6" s="1"/>
  <c r="H20" i="6"/>
  <c r="H110" i="6" s="1"/>
  <c r="I20" i="6"/>
  <c r="I110" i="6" s="1"/>
  <c r="J20" i="6"/>
  <c r="J110" i="6" s="1"/>
  <c r="K20" i="6"/>
  <c r="K110" i="6" s="1"/>
  <c r="L20" i="6"/>
  <c r="L110" i="6" s="1"/>
  <c r="M20" i="6"/>
  <c r="M110" i="6" s="1"/>
  <c r="G21" i="6"/>
  <c r="G111" i="6" s="1"/>
  <c r="H21" i="6"/>
  <c r="H111" i="6" s="1"/>
  <c r="I21" i="6"/>
  <c r="I111" i="6" s="1"/>
  <c r="J21" i="6"/>
  <c r="J111" i="6" s="1"/>
  <c r="K21" i="6"/>
  <c r="K111" i="6" s="1"/>
  <c r="L21" i="6"/>
  <c r="L111" i="6" s="1"/>
  <c r="M21" i="6"/>
  <c r="M111" i="6" s="1"/>
  <c r="C112" i="7"/>
  <c r="D112" i="7"/>
  <c r="E112" i="7"/>
  <c r="F112" i="7"/>
  <c r="G112" i="7"/>
  <c r="H112" i="7"/>
  <c r="I112" i="7"/>
  <c r="J112" i="7"/>
  <c r="K112" i="7"/>
  <c r="L112" i="7"/>
  <c r="M112" i="7"/>
  <c r="B112" i="7"/>
  <c r="N99" i="7"/>
  <c r="N100" i="7"/>
  <c r="N101" i="7"/>
  <c r="N102" i="7"/>
  <c r="N103" i="7"/>
  <c r="N104" i="7"/>
  <c r="N105" i="7"/>
  <c r="N106" i="7"/>
  <c r="N107" i="7"/>
  <c r="N108" i="7"/>
  <c r="N109" i="7"/>
  <c r="N110" i="7"/>
  <c r="N111" i="7"/>
  <c r="N98" i="7"/>
  <c r="C94" i="7"/>
  <c r="D94" i="7"/>
  <c r="E94" i="7"/>
  <c r="F94" i="7"/>
  <c r="G94" i="7"/>
  <c r="H94" i="7"/>
  <c r="I94" i="7"/>
  <c r="J94" i="7"/>
  <c r="K94" i="7"/>
  <c r="L94" i="7"/>
  <c r="M94" i="7"/>
  <c r="B94" i="7"/>
  <c r="N81" i="7"/>
  <c r="N82" i="7"/>
  <c r="N83" i="7"/>
  <c r="N84" i="7"/>
  <c r="N85" i="7"/>
  <c r="N86" i="7"/>
  <c r="N87" i="7"/>
  <c r="N88" i="7"/>
  <c r="N89" i="7"/>
  <c r="N90" i="7"/>
  <c r="N91" i="7"/>
  <c r="N92" i="7"/>
  <c r="N93" i="7"/>
  <c r="N80" i="7"/>
  <c r="C76" i="7"/>
  <c r="D76" i="7"/>
  <c r="E76" i="7"/>
  <c r="F76" i="7"/>
  <c r="G76" i="7"/>
  <c r="H76" i="7"/>
  <c r="I76" i="7"/>
  <c r="J76" i="7"/>
  <c r="K76" i="7"/>
  <c r="L76" i="7"/>
  <c r="M76" i="7"/>
  <c r="B76" i="7"/>
  <c r="N63" i="7"/>
  <c r="N64" i="7"/>
  <c r="N65" i="7"/>
  <c r="N66" i="7"/>
  <c r="N67" i="7"/>
  <c r="N68" i="7"/>
  <c r="N69" i="7"/>
  <c r="N70" i="7"/>
  <c r="N71" i="7"/>
  <c r="N72" i="7"/>
  <c r="N73" i="7"/>
  <c r="N74" i="7"/>
  <c r="N75" i="7"/>
  <c r="N62" i="7"/>
  <c r="C58" i="7"/>
  <c r="D58" i="7"/>
  <c r="E58" i="7"/>
  <c r="F58" i="7"/>
  <c r="G58" i="7"/>
  <c r="H58" i="7"/>
  <c r="I58" i="7"/>
  <c r="J58" i="7"/>
  <c r="K58" i="7"/>
  <c r="L58" i="7"/>
  <c r="M58" i="7"/>
  <c r="B58" i="7"/>
  <c r="N45" i="7"/>
  <c r="N46" i="7"/>
  <c r="N47" i="7"/>
  <c r="N48" i="7"/>
  <c r="N49" i="7"/>
  <c r="N50" i="7"/>
  <c r="N51" i="7"/>
  <c r="N52" i="7"/>
  <c r="N53" i="7"/>
  <c r="N54" i="7"/>
  <c r="N55" i="7"/>
  <c r="N56" i="7"/>
  <c r="N57" i="7"/>
  <c r="N44" i="7"/>
  <c r="N34" i="7"/>
  <c r="N29" i="7"/>
  <c r="C40" i="7"/>
  <c r="D40" i="7"/>
  <c r="E40" i="7"/>
  <c r="F40" i="7"/>
  <c r="G40" i="7"/>
  <c r="H40" i="7"/>
  <c r="I40" i="7"/>
  <c r="J40" i="7"/>
  <c r="K40" i="7"/>
  <c r="L40" i="7"/>
  <c r="M40" i="7"/>
  <c r="B40" i="7"/>
  <c r="N27" i="7"/>
  <c r="N28" i="7"/>
  <c r="N30" i="7"/>
  <c r="N31" i="7"/>
  <c r="N32" i="7"/>
  <c r="N33" i="7"/>
  <c r="N35" i="7"/>
  <c r="N36" i="7"/>
  <c r="N37" i="7"/>
  <c r="N38" i="7"/>
  <c r="N39" i="7"/>
  <c r="N26" i="7"/>
  <c r="C8" i="7"/>
  <c r="D8" i="7"/>
  <c r="E8" i="7"/>
  <c r="F8" i="7"/>
  <c r="G8" i="7"/>
  <c r="H8" i="7"/>
  <c r="I8" i="7"/>
  <c r="I116" i="7" s="1"/>
  <c r="J8" i="7"/>
  <c r="J116" i="7" s="1"/>
  <c r="K8" i="7"/>
  <c r="K116" i="7" s="1"/>
  <c r="L8" i="7"/>
  <c r="M8" i="7"/>
  <c r="M116" i="7" s="1"/>
  <c r="C9" i="7"/>
  <c r="D9" i="7"/>
  <c r="E9" i="7"/>
  <c r="F9" i="7"/>
  <c r="G9" i="7"/>
  <c r="G117" i="7" s="1"/>
  <c r="H9" i="7"/>
  <c r="H117" i="7" s="1"/>
  <c r="I9" i="7"/>
  <c r="I117" i="7" s="1"/>
  <c r="J9" i="7"/>
  <c r="J117" i="7" s="1"/>
  <c r="K9" i="7"/>
  <c r="K117" i="7" s="1"/>
  <c r="L9" i="7"/>
  <c r="L117" i="7" s="1"/>
  <c r="M9" i="7"/>
  <c r="M117" i="7" s="1"/>
  <c r="C10" i="7"/>
  <c r="D10" i="7"/>
  <c r="E10" i="7"/>
  <c r="F10" i="7"/>
  <c r="G10" i="7"/>
  <c r="G118" i="7" s="1"/>
  <c r="H10" i="7"/>
  <c r="H118" i="7" s="1"/>
  <c r="I10" i="7"/>
  <c r="I118" i="7" s="1"/>
  <c r="J10" i="7"/>
  <c r="J118" i="7" s="1"/>
  <c r="K10" i="7"/>
  <c r="K118" i="7" s="1"/>
  <c r="L10" i="7"/>
  <c r="L118" i="7" s="1"/>
  <c r="M10" i="7"/>
  <c r="M118" i="7" s="1"/>
  <c r="C11" i="7"/>
  <c r="D11" i="7"/>
  <c r="E11" i="7"/>
  <c r="F11" i="7"/>
  <c r="G11" i="7"/>
  <c r="H11" i="7"/>
  <c r="H119" i="7" s="1"/>
  <c r="I11" i="7"/>
  <c r="I119" i="7" s="1"/>
  <c r="J11" i="7"/>
  <c r="J119" i="7" s="1"/>
  <c r="K11" i="7"/>
  <c r="K119" i="7" s="1"/>
  <c r="L11" i="7"/>
  <c r="L119" i="7" s="1"/>
  <c r="M11" i="7"/>
  <c r="M119" i="7" s="1"/>
  <c r="C12" i="7"/>
  <c r="D12" i="7"/>
  <c r="E12" i="7"/>
  <c r="F12" i="7"/>
  <c r="G12" i="7"/>
  <c r="G120" i="7" s="1"/>
  <c r="H12" i="7"/>
  <c r="H120" i="7" s="1"/>
  <c r="I12" i="7"/>
  <c r="I120" i="7" s="1"/>
  <c r="J12" i="7"/>
  <c r="J120" i="7" s="1"/>
  <c r="K12" i="7"/>
  <c r="K120" i="7" s="1"/>
  <c r="L12" i="7"/>
  <c r="L120" i="7" s="1"/>
  <c r="M12" i="7"/>
  <c r="M120" i="7" s="1"/>
  <c r="C13" i="7"/>
  <c r="D13" i="7"/>
  <c r="E13" i="7"/>
  <c r="F13" i="7"/>
  <c r="G13" i="7"/>
  <c r="G121" i="7" s="1"/>
  <c r="H13" i="7"/>
  <c r="H121" i="7" s="1"/>
  <c r="I13" i="7"/>
  <c r="I121" i="7" s="1"/>
  <c r="J13" i="7"/>
  <c r="J121" i="7" s="1"/>
  <c r="K13" i="7"/>
  <c r="K121" i="7" s="1"/>
  <c r="L13" i="7"/>
  <c r="L121" i="7" s="1"/>
  <c r="M13" i="7"/>
  <c r="M121" i="7" s="1"/>
  <c r="C14" i="7"/>
  <c r="D14" i="7"/>
  <c r="E14" i="7"/>
  <c r="F14" i="7"/>
  <c r="G14" i="7"/>
  <c r="G122" i="7" s="1"/>
  <c r="H14" i="7"/>
  <c r="H122" i="7" s="1"/>
  <c r="I14" i="7"/>
  <c r="I122" i="7" s="1"/>
  <c r="J14" i="7"/>
  <c r="J122" i="7" s="1"/>
  <c r="K14" i="7"/>
  <c r="K122" i="7" s="1"/>
  <c r="L14" i="7"/>
  <c r="L122" i="7" s="1"/>
  <c r="M14" i="7"/>
  <c r="M122" i="7" s="1"/>
  <c r="C15" i="7"/>
  <c r="D15" i="7"/>
  <c r="E15" i="7"/>
  <c r="F15" i="7"/>
  <c r="G15" i="7"/>
  <c r="G123" i="7" s="1"/>
  <c r="H15" i="7"/>
  <c r="H123" i="7" s="1"/>
  <c r="I15" i="7"/>
  <c r="I123" i="7" s="1"/>
  <c r="J15" i="7"/>
  <c r="J123" i="7" s="1"/>
  <c r="K15" i="7"/>
  <c r="K123" i="7" s="1"/>
  <c r="L15" i="7"/>
  <c r="L123" i="7" s="1"/>
  <c r="M15" i="7"/>
  <c r="M123" i="7" s="1"/>
  <c r="C16" i="7"/>
  <c r="D16" i="7"/>
  <c r="E16" i="7"/>
  <c r="F16" i="7"/>
  <c r="G16" i="7"/>
  <c r="G124" i="7" s="1"/>
  <c r="H16" i="7"/>
  <c r="H124" i="7" s="1"/>
  <c r="I16" i="7"/>
  <c r="I124" i="7" s="1"/>
  <c r="J16" i="7"/>
  <c r="J124" i="7" s="1"/>
  <c r="K16" i="7"/>
  <c r="K124" i="7" s="1"/>
  <c r="L16" i="7"/>
  <c r="L124" i="7" s="1"/>
  <c r="M16" i="7"/>
  <c r="M124" i="7" s="1"/>
  <c r="C17" i="7"/>
  <c r="D17" i="7"/>
  <c r="E17" i="7"/>
  <c r="F17" i="7"/>
  <c r="G17" i="7"/>
  <c r="G125" i="7" s="1"/>
  <c r="H17" i="7"/>
  <c r="H125" i="7" s="1"/>
  <c r="I17" i="7"/>
  <c r="I125" i="7" s="1"/>
  <c r="J17" i="7"/>
  <c r="J125" i="7" s="1"/>
  <c r="K17" i="7"/>
  <c r="K125" i="7" s="1"/>
  <c r="L17" i="7"/>
  <c r="L125" i="7" s="1"/>
  <c r="M17" i="7"/>
  <c r="M125" i="7" s="1"/>
  <c r="C18" i="7"/>
  <c r="D18" i="7"/>
  <c r="E18" i="7"/>
  <c r="F18" i="7"/>
  <c r="G18" i="7"/>
  <c r="G126" i="7" s="1"/>
  <c r="H18" i="7"/>
  <c r="H126" i="7" s="1"/>
  <c r="I18" i="7"/>
  <c r="I126" i="7" s="1"/>
  <c r="J18" i="7"/>
  <c r="J126" i="7" s="1"/>
  <c r="K18" i="7"/>
  <c r="K126" i="7" s="1"/>
  <c r="L18" i="7"/>
  <c r="L126" i="7" s="1"/>
  <c r="M18" i="7"/>
  <c r="M126" i="7" s="1"/>
  <c r="C19" i="7"/>
  <c r="D19" i="7"/>
  <c r="E19" i="7"/>
  <c r="F19" i="7"/>
  <c r="G19" i="7"/>
  <c r="G127" i="7" s="1"/>
  <c r="H19" i="7"/>
  <c r="H127" i="7" s="1"/>
  <c r="I19" i="7"/>
  <c r="I127" i="7" s="1"/>
  <c r="J19" i="7"/>
  <c r="J127" i="7" s="1"/>
  <c r="K19" i="7"/>
  <c r="K127" i="7" s="1"/>
  <c r="L19" i="7"/>
  <c r="L127" i="7" s="1"/>
  <c r="M19" i="7"/>
  <c r="M127" i="7" s="1"/>
  <c r="C20" i="7"/>
  <c r="D20" i="7"/>
  <c r="E20" i="7"/>
  <c r="F20" i="7"/>
  <c r="G20" i="7"/>
  <c r="G128" i="7" s="1"/>
  <c r="H20" i="7"/>
  <c r="H128" i="7" s="1"/>
  <c r="I20" i="7"/>
  <c r="I128" i="7" s="1"/>
  <c r="J20" i="7"/>
  <c r="J128" i="7" s="1"/>
  <c r="K20" i="7"/>
  <c r="K128" i="7" s="1"/>
  <c r="L20" i="7"/>
  <c r="L128" i="7" s="1"/>
  <c r="M20" i="7"/>
  <c r="M128" i="7" s="1"/>
  <c r="C21" i="7"/>
  <c r="D21" i="7"/>
  <c r="E21" i="7"/>
  <c r="F21" i="7"/>
  <c r="G21" i="7"/>
  <c r="G129" i="7" s="1"/>
  <c r="H21" i="7"/>
  <c r="H129" i="7" s="1"/>
  <c r="I21" i="7"/>
  <c r="I129" i="7" s="1"/>
  <c r="J21" i="7"/>
  <c r="J129" i="7" s="1"/>
  <c r="K21" i="7"/>
  <c r="K129" i="7" s="1"/>
  <c r="L21" i="7"/>
  <c r="L129" i="7" s="1"/>
  <c r="M21" i="7"/>
  <c r="M129" i="7" s="1"/>
  <c r="B9" i="7"/>
  <c r="B10" i="7"/>
  <c r="B11" i="7"/>
  <c r="B12" i="7"/>
  <c r="B13" i="7"/>
  <c r="B14" i="7"/>
  <c r="B15" i="7"/>
  <c r="B16" i="7"/>
  <c r="B17" i="7"/>
  <c r="B18" i="7"/>
  <c r="B19" i="7"/>
  <c r="B20" i="7"/>
  <c r="B21" i="7"/>
  <c r="N76" i="7" l="1"/>
  <c r="N14" i="7"/>
  <c r="G99" i="6"/>
  <c r="I11" i="10" s="1"/>
  <c r="N76" i="6"/>
  <c r="L15" i="10"/>
  <c r="K15" i="10"/>
  <c r="J15" i="10"/>
  <c r="I15" i="10"/>
  <c r="O15" i="10"/>
  <c r="M11" i="10"/>
  <c r="N15" i="10"/>
  <c r="M15" i="10"/>
  <c r="N94" i="7"/>
  <c r="N22" i="8"/>
  <c r="H22" i="6"/>
  <c r="H113" i="6" s="1"/>
  <c r="K22" i="6"/>
  <c r="L22" i="6"/>
  <c r="L113" i="6" s="1"/>
  <c r="G22" i="6"/>
  <c r="J22" i="6"/>
  <c r="M22" i="6"/>
  <c r="I22" i="6"/>
  <c r="H112" i="6"/>
  <c r="N58" i="6"/>
  <c r="K112" i="6"/>
  <c r="G112" i="6"/>
  <c r="J112" i="6"/>
  <c r="L112" i="6"/>
  <c r="M112" i="6"/>
  <c r="I112" i="6"/>
  <c r="L11" i="10"/>
  <c r="O11" i="10"/>
  <c r="K11" i="10"/>
  <c r="N11" i="10"/>
  <c r="J11" i="10"/>
  <c r="N11" i="7"/>
  <c r="C22" i="7"/>
  <c r="N58" i="7"/>
  <c r="N40" i="7"/>
  <c r="N112" i="7"/>
  <c r="M130" i="7"/>
  <c r="I130" i="7"/>
  <c r="J130" i="7"/>
  <c r="H22" i="7"/>
  <c r="K22" i="7"/>
  <c r="N20" i="7"/>
  <c r="G22" i="7"/>
  <c r="L22" i="7"/>
  <c r="K130" i="7"/>
  <c r="N17" i="7"/>
  <c r="N13" i="7"/>
  <c r="N9" i="7"/>
  <c r="F22" i="7"/>
  <c r="G119" i="7"/>
  <c r="L116" i="7"/>
  <c r="L130" i="7" s="1"/>
  <c r="H116" i="7"/>
  <c r="H130" i="7" s="1"/>
  <c r="D22" i="7"/>
  <c r="N21" i="7"/>
  <c r="N19" i="7"/>
  <c r="N18" i="7"/>
  <c r="N12" i="7"/>
  <c r="N10" i="7"/>
  <c r="M22" i="7"/>
  <c r="I22" i="7"/>
  <c r="E22" i="7"/>
  <c r="G116" i="7"/>
  <c r="N40" i="6"/>
  <c r="J22" i="7"/>
  <c r="N16" i="7"/>
  <c r="N15" i="7"/>
  <c r="K113" i="6" l="1"/>
  <c r="I113" i="6"/>
  <c r="J113" i="6"/>
  <c r="M113" i="6"/>
  <c r="G113" i="6"/>
  <c r="G130" i="7"/>
  <c r="G131" i="7" s="1"/>
  <c r="K131" i="7"/>
  <c r="M131" i="7"/>
  <c r="L131" i="7"/>
  <c r="J131" i="7"/>
  <c r="I131" i="7"/>
  <c r="H131" i="7"/>
  <c r="N27" i="5"/>
  <c r="N28" i="5"/>
  <c r="N29" i="5"/>
  <c r="N30" i="5"/>
  <c r="N31" i="5"/>
  <c r="N32" i="5"/>
  <c r="N33" i="5"/>
  <c r="N34" i="5"/>
  <c r="N35" i="5"/>
  <c r="N36" i="5"/>
  <c r="N37" i="5"/>
  <c r="N38" i="5"/>
  <c r="N39" i="5"/>
  <c r="N26" i="5"/>
  <c r="C44" i="5"/>
  <c r="D44" i="5"/>
  <c r="E44" i="5"/>
  <c r="F44" i="5"/>
  <c r="G44" i="5"/>
  <c r="H44" i="5"/>
  <c r="I44" i="5"/>
  <c r="J44" i="5"/>
  <c r="K44" i="5"/>
  <c r="L44" i="5"/>
  <c r="M44" i="5"/>
  <c r="C40" i="5"/>
  <c r="D40" i="5"/>
  <c r="E40" i="5"/>
  <c r="F40" i="5"/>
  <c r="G40" i="5"/>
  <c r="H40" i="5"/>
  <c r="I40" i="5"/>
  <c r="J40" i="5"/>
  <c r="K40" i="5"/>
  <c r="L40" i="5"/>
  <c r="M40" i="5"/>
  <c r="B40" i="5"/>
  <c r="C22" i="5"/>
  <c r="D22" i="5"/>
  <c r="E22" i="5"/>
  <c r="F22" i="5"/>
  <c r="G22" i="5"/>
  <c r="H22" i="5"/>
  <c r="I22" i="5"/>
  <c r="J22" i="5"/>
  <c r="K22" i="5"/>
  <c r="L22" i="5"/>
  <c r="M22" i="5"/>
  <c r="B22" i="5"/>
  <c r="N9" i="5"/>
  <c r="N10" i="5"/>
  <c r="N11" i="5"/>
  <c r="N12" i="5"/>
  <c r="N13" i="5"/>
  <c r="N14" i="5"/>
  <c r="N15" i="5"/>
  <c r="N16" i="5"/>
  <c r="N17" i="5"/>
  <c r="N18" i="5"/>
  <c r="N19" i="5"/>
  <c r="N20" i="5"/>
  <c r="N21" i="5"/>
  <c r="N8" i="5"/>
  <c r="N22" i="5" l="1"/>
  <c r="N40" i="5"/>
  <c r="A2" i="9" l="1"/>
  <c r="B8" i="7" l="1"/>
  <c r="B44" i="5"/>
  <c r="N44" i="5" s="1"/>
  <c r="B22" i="7" l="1"/>
  <c r="N8" i="7"/>
  <c r="N22" i="7" s="1"/>
  <c r="G12" i="2"/>
  <c r="A10" i="10" l="1"/>
  <c r="A11" i="10" s="1"/>
  <c r="A12" i="10" s="1"/>
  <c r="A13" i="10" s="1"/>
  <c r="A14" i="10" s="1"/>
  <c r="A15" i="10" s="1"/>
  <c r="A16" i="10" s="1"/>
  <c r="A17" i="10" s="1"/>
  <c r="E7" i="10"/>
  <c r="F7" i="10" s="1"/>
  <c r="G7" i="10" s="1"/>
  <c r="H7" i="10" s="1"/>
  <c r="I7" i="10" s="1"/>
  <c r="J7" i="10" s="1"/>
  <c r="K7" i="10" s="1"/>
  <c r="L7" i="10" s="1"/>
  <c r="M7" i="10" s="1"/>
  <c r="N7" i="10" s="1"/>
  <c r="O7" i="10" s="1"/>
  <c r="A4" i="10" l="1"/>
  <c r="A2" i="10"/>
  <c r="D11" i="9" l="1"/>
  <c r="C7" i="8"/>
  <c r="C25" i="8" s="1"/>
  <c r="A2" i="8"/>
  <c r="D7" i="8" l="1"/>
  <c r="D25" i="8" s="1"/>
  <c r="E7" i="8" l="1"/>
  <c r="E25" i="8" s="1"/>
  <c r="C8" i="6"/>
  <c r="C98" i="6" s="1"/>
  <c r="D8" i="6"/>
  <c r="D98" i="6" s="1"/>
  <c r="E8" i="6"/>
  <c r="E98" i="6" s="1"/>
  <c r="F8" i="6"/>
  <c r="F98" i="6" s="1"/>
  <c r="C9" i="6"/>
  <c r="C99" i="6" s="1"/>
  <c r="D9" i="6"/>
  <c r="D99" i="6" s="1"/>
  <c r="E9" i="6"/>
  <c r="E99" i="6" s="1"/>
  <c r="F9" i="6"/>
  <c r="F99" i="6" s="1"/>
  <c r="C10" i="6"/>
  <c r="C100" i="6" s="1"/>
  <c r="D10" i="6"/>
  <c r="D100" i="6" s="1"/>
  <c r="E10" i="6"/>
  <c r="E100" i="6" s="1"/>
  <c r="F10" i="6"/>
  <c r="F100" i="6" s="1"/>
  <c r="C11" i="6"/>
  <c r="D11" i="6"/>
  <c r="E11" i="6"/>
  <c r="F11" i="6"/>
  <c r="F101" i="6" s="1"/>
  <c r="C12" i="6"/>
  <c r="C102" i="6" s="1"/>
  <c r="D12" i="6"/>
  <c r="D102" i="6" s="1"/>
  <c r="E12" i="6"/>
  <c r="E102" i="6" s="1"/>
  <c r="F12" i="6"/>
  <c r="F102" i="6" s="1"/>
  <c r="C13" i="6"/>
  <c r="C103" i="6" s="1"/>
  <c r="D13" i="6"/>
  <c r="D103" i="6" s="1"/>
  <c r="E13" i="6"/>
  <c r="E103" i="6" s="1"/>
  <c r="F13" i="6"/>
  <c r="F103" i="6" s="1"/>
  <c r="C14" i="6"/>
  <c r="C104" i="6" s="1"/>
  <c r="D14" i="6"/>
  <c r="D104" i="6" s="1"/>
  <c r="E14" i="6"/>
  <c r="E104" i="6" s="1"/>
  <c r="F14" i="6"/>
  <c r="F104" i="6" s="1"/>
  <c r="C15" i="6"/>
  <c r="C105" i="6" s="1"/>
  <c r="D15" i="6"/>
  <c r="D105" i="6" s="1"/>
  <c r="E15" i="6"/>
  <c r="E105" i="6" s="1"/>
  <c r="F15" i="6"/>
  <c r="F105" i="6" s="1"/>
  <c r="C16" i="6"/>
  <c r="C106" i="6" s="1"/>
  <c r="D16" i="6"/>
  <c r="D106" i="6" s="1"/>
  <c r="E16" i="6"/>
  <c r="E106" i="6" s="1"/>
  <c r="F16" i="6"/>
  <c r="F106" i="6" s="1"/>
  <c r="C17" i="6"/>
  <c r="C107" i="6" s="1"/>
  <c r="D17" i="6"/>
  <c r="D107" i="6" s="1"/>
  <c r="E17" i="6"/>
  <c r="E107" i="6" s="1"/>
  <c r="F17" i="6"/>
  <c r="F107" i="6" s="1"/>
  <c r="C18" i="6"/>
  <c r="C108" i="6" s="1"/>
  <c r="D18" i="6"/>
  <c r="D108" i="6" s="1"/>
  <c r="E18" i="6"/>
  <c r="E108" i="6" s="1"/>
  <c r="F18" i="6"/>
  <c r="F108" i="6" s="1"/>
  <c r="C19" i="6"/>
  <c r="C109" i="6" s="1"/>
  <c r="D19" i="6"/>
  <c r="D109" i="6" s="1"/>
  <c r="E19" i="6"/>
  <c r="E109" i="6" s="1"/>
  <c r="F19" i="6"/>
  <c r="F109" i="6" s="1"/>
  <c r="C20" i="6"/>
  <c r="C110" i="6" s="1"/>
  <c r="D20" i="6"/>
  <c r="D110" i="6" s="1"/>
  <c r="E20" i="6"/>
  <c r="E110" i="6" s="1"/>
  <c r="F20" i="6"/>
  <c r="F110" i="6" s="1"/>
  <c r="C21" i="6"/>
  <c r="C111" i="6" s="1"/>
  <c r="D21" i="6"/>
  <c r="D111" i="6" s="1"/>
  <c r="E21" i="6"/>
  <c r="E111" i="6" s="1"/>
  <c r="F21" i="6"/>
  <c r="F111" i="6" s="1"/>
  <c r="B9" i="6"/>
  <c r="B99" i="6" s="1"/>
  <c r="B10" i="6"/>
  <c r="B100" i="6" s="1"/>
  <c r="B11" i="6"/>
  <c r="B101" i="6" s="1"/>
  <c r="B12" i="6"/>
  <c r="B102" i="6" s="1"/>
  <c r="B13" i="6"/>
  <c r="B103" i="6" s="1"/>
  <c r="B14" i="6"/>
  <c r="B104" i="6" s="1"/>
  <c r="B15" i="6"/>
  <c r="B105" i="6" s="1"/>
  <c r="B16" i="6"/>
  <c r="B106" i="6" s="1"/>
  <c r="B17" i="6"/>
  <c r="B107" i="6" s="1"/>
  <c r="B18" i="6"/>
  <c r="B108" i="6" s="1"/>
  <c r="B19" i="6"/>
  <c r="B109" i="6" s="1"/>
  <c r="B20" i="6"/>
  <c r="B110" i="6" s="1"/>
  <c r="B21" i="6"/>
  <c r="B111" i="6" s="1"/>
  <c r="B8" i="6"/>
  <c r="B98" i="6" s="1"/>
  <c r="C116" i="7"/>
  <c r="D116" i="7"/>
  <c r="E116" i="7"/>
  <c r="F116" i="7"/>
  <c r="C117" i="7"/>
  <c r="D117" i="7"/>
  <c r="E117" i="7"/>
  <c r="F117" i="7"/>
  <c r="C118" i="7"/>
  <c r="D118" i="7"/>
  <c r="E118" i="7"/>
  <c r="F118" i="7"/>
  <c r="C119" i="7"/>
  <c r="D119" i="7"/>
  <c r="E119" i="7"/>
  <c r="F119" i="7"/>
  <c r="C120" i="7"/>
  <c r="D120" i="7"/>
  <c r="E120" i="7"/>
  <c r="F120" i="7"/>
  <c r="C121" i="7"/>
  <c r="E121" i="7"/>
  <c r="F121" i="7"/>
  <c r="C122" i="7"/>
  <c r="D122" i="7"/>
  <c r="E122" i="7"/>
  <c r="F122" i="7"/>
  <c r="C123" i="7"/>
  <c r="D123" i="7"/>
  <c r="E123" i="7"/>
  <c r="F123" i="7"/>
  <c r="C124" i="7"/>
  <c r="D124" i="7"/>
  <c r="E124" i="7"/>
  <c r="F124" i="7"/>
  <c r="C125" i="7"/>
  <c r="D125" i="7"/>
  <c r="E125" i="7"/>
  <c r="F125" i="7"/>
  <c r="C126" i="7"/>
  <c r="D126" i="7"/>
  <c r="E126" i="7"/>
  <c r="F126" i="7"/>
  <c r="C127" i="7"/>
  <c r="D127" i="7"/>
  <c r="E127" i="7"/>
  <c r="F127" i="7"/>
  <c r="C128" i="7"/>
  <c r="D128" i="7"/>
  <c r="E128" i="7"/>
  <c r="F128" i="7"/>
  <c r="C129" i="7"/>
  <c r="D129" i="7"/>
  <c r="E129" i="7"/>
  <c r="F129" i="7"/>
  <c r="B117" i="7"/>
  <c r="B118" i="7"/>
  <c r="N118" i="7" s="1"/>
  <c r="B119" i="7"/>
  <c r="B120" i="7"/>
  <c r="B121" i="7"/>
  <c r="B122" i="7"/>
  <c r="B123" i="7"/>
  <c r="B124" i="7"/>
  <c r="B125" i="7"/>
  <c r="B126" i="7"/>
  <c r="N126" i="7" s="1"/>
  <c r="G20" i="48" s="1"/>
  <c r="B127" i="7"/>
  <c r="B128" i="7"/>
  <c r="B129" i="7"/>
  <c r="B116" i="7"/>
  <c r="B115" i="7"/>
  <c r="B61" i="7"/>
  <c r="B43" i="7"/>
  <c r="B97" i="7" s="1"/>
  <c r="B25" i="7"/>
  <c r="B79" i="7" s="1"/>
  <c r="C7" i="7"/>
  <c r="C43" i="7" s="1"/>
  <c r="C97" i="7" s="1"/>
  <c r="A2" i="7"/>
  <c r="B97" i="6"/>
  <c r="B61" i="6"/>
  <c r="B43" i="6"/>
  <c r="B25" i="6"/>
  <c r="B79" i="6" s="1"/>
  <c r="E101" i="6" l="1"/>
  <c r="G15" i="10" s="1"/>
  <c r="D101" i="6"/>
  <c r="F15" i="10" s="1"/>
  <c r="C101" i="6"/>
  <c r="E15" i="10" s="1"/>
  <c r="N99" i="6"/>
  <c r="D11" i="48" s="1"/>
  <c r="H15" i="10"/>
  <c r="H11" i="10"/>
  <c r="N116" i="7"/>
  <c r="N122" i="7"/>
  <c r="G16" i="48" s="1"/>
  <c r="N109" i="6"/>
  <c r="D21" i="48" s="1"/>
  <c r="N19" i="6"/>
  <c r="N11" i="6"/>
  <c r="N8" i="6"/>
  <c r="B22" i="6"/>
  <c r="N18" i="6"/>
  <c r="N104" i="6"/>
  <c r="D16" i="48" s="1"/>
  <c r="N14" i="6"/>
  <c r="N100" i="6"/>
  <c r="N10" i="6"/>
  <c r="D22" i="6"/>
  <c r="N15" i="6"/>
  <c r="N111" i="6"/>
  <c r="D24" i="48" s="1"/>
  <c r="N21" i="6"/>
  <c r="N17" i="6"/>
  <c r="N103" i="6"/>
  <c r="D15" i="48" s="1"/>
  <c r="N13" i="6"/>
  <c r="N9" i="6"/>
  <c r="C22" i="6"/>
  <c r="N98" i="6"/>
  <c r="D12" i="48" s="1"/>
  <c r="E22" i="6"/>
  <c r="N110" i="6"/>
  <c r="N20" i="6"/>
  <c r="N16" i="6"/>
  <c r="N12" i="6"/>
  <c r="F112" i="6"/>
  <c r="F22" i="6"/>
  <c r="F113" i="6" s="1"/>
  <c r="N105" i="6"/>
  <c r="D17" i="48" s="1"/>
  <c r="G11" i="10"/>
  <c r="E112" i="6"/>
  <c r="N108" i="6"/>
  <c r="D20" i="48" s="1"/>
  <c r="F11" i="10"/>
  <c r="N107" i="6"/>
  <c r="D19" i="48" s="1"/>
  <c r="E11" i="10"/>
  <c r="N106" i="6"/>
  <c r="D18" i="48" s="1"/>
  <c r="N129" i="7"/>
  <c r="G24" i="48" s="1"/>
  <c r="N125" i="7"/>
  <c r="G19" i="48" s="1"/>
  <c r="F130" i="7"/>
  <c r="F131" i="7" s="1"/>
  <c r="N128" i="7"/>
  <c r="N124" i="7"/>
  <c r="G18" i="48" s="1"/>
  <c r="N120" i="7"/>
  <c r="G14" i="48" s="1"/>
  <c r="E130" i="7"/>
  <c r="E131" i="7" s="1"/>
  <c r="C130" i="7"/>
  <c r="C131" i="7" s="1"/>
  <c r="N127" i="7"/>
  <c r="G21" i="48" s="1"/>
  <c r="N123" i="7"/>
  <c r="G17" i="48" s="1"/>
  <c r="N119" i="7"/>
  <c r="G13" i="48" s="1"/>
  <c r="N117" i="7"/>
  <c r="G11" i="48" s="1"/>
  <c r="B130" i="7"/>
  <c r="B131" i="7" s="1"/>
  <c r="D121" i="7"/>
  <c r="D130" i="7" s="1"/>
  <c r="D131" i="7" s="1"/>
  <c r="F7" i="8"/>
  <c r="C61" i="7"/>
  <c r="D7" i="7"/>
  <c r="D115" i="7" s="1"/>
  <c r="C115" i="7"/>
  <c r="C25" i="7"/>
  <c r="C79" i="7" s="1"/>
  <c r="C112" i="6" l="1"/>
  <c r="C113" i="6"/>
  <c r="D112" i="6"/>
  <c r="D113" i="6" s="1"/>
  <c r="E113" i="6"/>
  <c r="B113" i="6"/>
  <c r="G7" i="8"/>
  <c r="F25" i="8"/>
  <c r="D15" i="10"/>
  <c r="P15" i="10" s="1"/>
  <c r="B112" i="6"/>
  <c r="N102" i="6"/>
  <c r="D11" i="10"/>
  <c r="P11" i="10" s="1"/>
  <c r="N101" i="6"/>
  <c r="N22" i="6"/>
  <c r="N121" i="7"/>
  <c r="N130" i="7"/>
  <c r="N131" i="7" s="1"/>
  <c r="D43" i="7"/>
  <c r="D97" i="7" s="1"/>
  <c r="G22" i="2"/>
  <c r="G20" i="2"/>
  <c r="G21" i="2"/>
  <c r="G18" i="2"/>
  <c r="G19" i="2"/>
  <c r="G16" i="2"/>
  <c r="G14" i="2"/>
  <c r="G23" i="2"/>
  <c r="G13" i="2"/>
  <c r="G11" i="2"/>
  <c r="G17" i="2"/>
  <c r="D15" i="2"/>
  <c r="D15" i="1"/>
  <c r="D22" i="2"/>
  <c r="D22" i="1"/>
  <c r="D17" i="2"/>
  <c r="D17" i="1"/>
  <c r="D21" i="2"/>
  <c r="D21" i="1"/>
  <c r="D16" i="2"/>
  <c r="D16" i="1"/>
  <c r="D11" i="2"/>
  <c r="D11" i="1"/>
  <c r="D19" i="2"/>
  <c r="D19" i="1"/>
  <c r="D20" i="2"/>
  <c r="D20" i="1"/>
  <c r="D23" i="2"/>
  <c r="D23" i="1"/>
  <c r="D12" i="2"/>
  <c r="D12" i="1"/>
  <c r="D18" i="2"/>
  <c r="D18" i="1"/>
  <c r="D25" i="7"/>
  <c r="D79" i="7" s="1"/>
  <c r="E7" i="7"/>
  <c r="E43" i="7" s="1"/>
  <c r="E97" i="7" s="1"/>
  <c r="D61" i="7"/>
  <c r="G15" i="2" l="1"/>
  <c r="G15" i="48"/>
  <c r="G25" i="48" s="1"/>
  <c r="D13" i="1"/>
  <c r="D13" i="48"/>
  <c r="D14" i="1"/>
  <c r="D14" i="48"/>
  <c r="H7" i="8"/>
  <c r="G25" i="8"/>
  <c r="D14" i="2"/>
  <c r="E115" i="7"/>
  <c r="E61" i="7"/>
  <c r="F16" i="10"/>
  <c r="I16" i="10"/>
  <c r="J16" i="10"/>
  <c r="M16" i="10"/>
  <c r="O16" i="10"/>
  <c r="N16" i="10"/>
  <c r="K16" i="10"/>
  <c r="G16" i="10"/>
  <c r="H16" i="10"/>
  <c r="L16" i="10"/>
  <c r="E16" i="10"/>
  <c r="D16" i="10"/>
  <c r="N112" i="6"/>
  <c r="N113" i="6" s="1"/>
  <c r="N12" i="10"/>
  <c r="J12" i="10"/>
  <c r="M12" i="10"/>
  <c r="K12" i="10"/>
  <c r="E12" i="10"/>
  <c r="O12" i="10"/>
  <c r="H12" i="10"/>
  <c r="I12" i="10"/>
  <c r="L12" i="10"/>
  <c r="D13" i="2"/>
  <c r="G12" i="10"/>
  <c r="D12" i="10"/>
  <c r="F12" i="10"/>
  <c r="F7" i="7"/>
  <c r="E25" i="7"/>
  <c r="E79" i="7" s="1"/>
  <c r="D25" i="48" l="1"/>
  <c r="E14" i="48" s="1"/>
  <c r="I7" i="8"/>
  <c r="H25" i="8"/>
  <c r="F43" i="7"/>
  <c r="F97" i="7" s="1"/>
  <c r="G7" i="7"/>
  <c r="P16" i="10"/>
  <c r="P12" i="10"/>
  <c r="F61" i="7"/>
  <c r="F115" i="7"/>
  <c r="F25" i="7"/>
  <c r="F79" i="7" s="1"/>
  <c r="E17" i="48" l="1"/>
  <c r="E15" i="48"/>
  <c r="E11" i="48"/>
  <c r="E21" i="48"/>
  <c r="E18" i="48"/>
  <c r="E20" i="48"/>
  <c r="E19" i="48"/>
  <c r="E12" i="48"/>
  <c r="E16" i="48"/>
  <c r="E22" i="48"/>
  <c r="E24" i="48"/>
  <c r="E13" i="48"/>
  <c r="J7" i="8"/>
  <c r="I25" i="8"/>
  <c r="H7" i="7"/>
  <c r="G115" i="7"/>
  <c r="G43" i="7"/>
  <c r="G97" i="7" s="1"/>
  <c r="G61" i="7"/>
  <c r="G25" i="7"/>
  <c r="G79" i="7" s="1"/>
  <c r="C7" i="6"/>
  <c r="A2" i="6"/>
  <c r="B25" i="5"/>
  <c r="B43" i="5" s="1"/>
  <c r="E25" i="48" l="1"/>
  <c r="K7" i="8"/>
  <c r="J25" i="8"/>
  <c r="I7" i="7"/>
  <c r="H115" i="7"/>
  <c r="H43" i="7"/>
  <c r="H97" i="7" s="1"/>
  <c r="H61" i="7"/>
  <c r="H25" i="7"/>
  <c r="H79" i="7" s="1"/>
  <c r="C43" i="6"/>
  <c r="C61" i="6"/>
  <c r="C25" i="6"/>
  <c r="C79" i="6" s="1"/>
  <c r="C97" i="6"/>
  <c r="D7" i="6"/>
  <c r="A4" i="2"/>
  <c r="A2" i="2"/>
  <c r="A2" i="5"/>
  <c r="C7" i="5"/>
  <c r="L7" i="8" l="1"/>
  <c r="K25" i="8"/>
  <c r="J7" i="7"/>
  <c r="I115" i="7"/>
  <c r="I43" i="7"/>
  <c r="I97" i="7" s="1"/>
  <c r="I61" i="7"/>
  <c r="I25" i="7"/>
  <c r="I79" i="7" s="1"/>
  <c r="D61" i="6"/>
  <c r="D25" i="6"/>
  <c r="D79" i="6" s="1"/>
  <c r="D97" i="6"/>
  <c r="D43" i="6"/>
  <c r="D7" i="5"/>
  <c r="C25" i="5"/>
  <c r="C43" i="5" s="1"/>
  <c r="E7" i="6"/>
  <c r="M7" i="8" l="1"/>
  <c r="M25" i="8" s="1"/>
  <c r="L25" i="8"/>
  <c r="K7" i="7"/>
  <c r="J43" i="7"/>
  <c r="J97" i="7" s="1"/>
  <c r="J25" i="7"/>
  <c r="J79" i="7" s="1"/>
  <c r="J115" i="7"/>
  <c r="J61" i="7"/>
  <c r="E25" i="6"/>
  <c r="E79" i="6" s="1"/>
  <c r="E61" i="6"/>
  <c r="E97" i="6"/>
  <c r="E43" i="6"/>
  <c r="E7" i="5"/>
  <c r="D25" i="5"/>
  <c r="D43" i="5" s="1"/>
  <c r="F7" i="6"/>
  <c r="L7" i="7" l="1"/>
  <c r="K43" i="7"/>
  <c r="K97" i="7" s="1"/>
  <c r="K61" i="7"/>
  <c r="K115" i="7"/>
  <c r="K25" i="7"/>
  <c r="K79" i="7" s="1"/>
  <c r="G7" i="6"/>
  <c r="F61" i="6"/>
  <c r="F43" i="6"/>
  <c r="F25" i="6"/>
  <c r="F79" i="6" s="1"/>
  <c r="F97" i="6"/>
  <c r="E25" i="5"/>
  <c r="E43" i="5" s="1"/>
  <c r="F7" i="5"/>
  <c r="G7" i="5" s="1"/>
  <c r="H7" i="6" l="1"/>
  <c r="G97" i="6"/>
  <c r="G61" i="6"/>
  <c r="G43" i="6"/>
  <c r="G25" i="6"/>
  <c r="G79" i="6" s="1"/>
  <c r="M7" i="7"/>
  <c r="L61" i="7"/>
  <c r="L25" i="7"/>
  <c r="L79" i="7" s="1"/>
  <c r="L115" i="7"/>
  <c r="L43" i="7"/>
  <c r="L97" i="7" s="1"/>
  <c r="H7" i="5"/>
  <c r="G25" i="5"/>
  <c r="G43" i="5" s="1"/>
  <c r="F25" i="5"/>
  <c r="F43" i="5" s="1"/>
  <c r="G24" i="2"/>
  <c r="D24" i="2"/>
  <c r="E15" i="2" s="1"/>
  <c r="A12" i="2"/>
  <c r="A13" i="2" s="1"/>
  <c r="A14" i="2" s="1"/>
  <c r="A15" i="2" s="1"/>
  <c r="A16" i="2" s="1"/>
  <c r="A17" i="2" s="1"/>
  <c r="A18" i="2" s="1"/>
  <c r="A19" i="2" s="1"/>
  <c r="A20" i="2" s="1"/>
  <c r="A21" i="2" s="1"/>
  <c r="A22" i="2" s="1"/>
  <c r="A23" i="2" s="1"/>
  <c r="A24" i="2" s="1"/>
  <c r="A25" i="2" s="1"/>
  <c r="A26" i="2" s="1"/>
  <c r="A27" i="2" s="1"/>
  <c r="A28" i="2" s="1"/>
  <c r="D24" i="1"/>
  <c r="E11" i="1" s="1"/>
  <c r="A12" i="1"/>
  <c r="A13" i="1" s="1"/>
  <c r="A14" i="1" s="1"/>
  <c r="A15" i="1" s="1"/>
  <c r="A16" i="1" s="1"/>
  <c r="A17" i="1" s="1"/>
  <c r="A18" i="1" s="1"/>
  <c r="A19" i="1" s="1"/>
  <c r="A20" i="1" s="1"/>
  <c r="A21" i="1" s="1"/>
  <c r="A22" i="1" s="1"/>
  <c r="A23" i="1" s="1"/>
  <c r="A24" i="1" s="1"/>
  <c r="A25" i="1" s="1"/>
  <c r="A26" i="1" s="1"/>
  <c r="I7" i="6" l="1"/>
  <c r="H25" i="6"/>
  <c r="H79" i="6" s="1"/>
  <c r="H97" i="6"/>
  <c r="H61" i="6"/>
  <c r="H43" i="6"/>
  <c r="M43" i="7"/>
  <c r="M97" i="7" s="1"/>
  <c r="M61" i="7"/>
  <c r="M25" i="7"/>
  <c r="M79" i="7" s="1"/>
  <c r="M115" i="7"/>
  <c r="I7" i="5"/>
  <c r="H25" i="5"/>
  <c r="H43" i="5" s="1"/>
  <c r="E13" i="1"/>
  <c r="E22" i="2"/>
  <c r="E18" i="2"/>
  <c r="E14" i="2"/>
  <c r="E21" i="2"/>
  <c r="E17" i="2"/>
  <c r="E13" i="2"/>
  <c r="E11" i="2"/>
  <c r="E20" i="2"/>
  <c r="E16" i="2"/>
  <c r="E12" i="2"/>
  <c r="E23" i="2"/>
  <c r="E19" i="2"/>
  <c r="E20" i="1"/>
  <c r="E16" i="1"/>
  <c r="E12" i="1"/>
  <c r="E23" i="1"/>
  <c r="E19" i="1"/>
  <c r="F19" i="1" s="1"/>
  <c r="G19" i="1" s="1"/>
  <c r="E15" i="1"/>
  <c r="E22" i="1"/>
  <c r="E18" i="1"/>
  <c r="E14" i="1"/>
  <c r="F14" i="1" s="1"/>
  <c r="G14" i="1" s="1"/>
  <c r="E21" i="1"/>
  <c r="E17" i="1"/>
  <c r="F18" i="41" l="1"/>
  <c r="F13" i="41"/>
  <c r="H13" i="41" s="1"/>
  <c r="J7" i="6"/>
  <c r="I43" i="6"/>
  <c r="I25" i="6"/>
  <c r="I79" i="6" s="1"/>
  <c r="I97" i="6"/>
  <c r="I61" i="6"/>
  <c r="H18" i="41"/>
  <c r="I25" i="5"/>
  <c r="I43" i="5" s="1"/>
  <c r="J7" i="5"/>
  <c r="F12" i="1"/>
  <c r="G12" i="1" s="1"/>
  <c r="F20" i="1"/>
  <c r="G20" i="1" s="1"/>
  <c r="F16" i="1"/>
  <c r="G16" i="1" s="1"/>
  <c r="F21" i="1"/>
  <c r="G21" i="1" s="1"/>
  <c r="F15" i="1"/>
  <c r="G15" i="1" s="1"/>
  <c r="F17" i="1"/>
  <c r="G17" i="1" s="1"/>
  <c r="F22" i="1"/>
  <c r="G22" i="1" s="1"/>
  <c r="F13" i="1"/>
  <c r="G13" i="1" s="1"/>
  <c r="F23" i="1"/>
  <c r="G23" i="1" s="1"/>
  <c r="F18" i="1"/>
  <c r="G18" i="1" s="1"/>
  <c r="F15" i="41" l="1"/>
  <c r="H15" i="41" s="1"/>
  <c r="F21" i="41"/>
  <c r="F17" i="41"/>
  <c r="H17" i="41" s="1"/>
  <c r="F19" i="41"/>
  <c r="H19" i="41" s="1"/>
  <c r="F22" i="41"/>
  <c r="F12" i="41"/>
  <c r="H12" i="41" s="1"/>
  <c r="F16" i="41"/>
  <c r="H16" i="41" s="1"/>
  <c r="F14" i="41"/>
  <c r="H14" i="41" s="1"/>
  <c r="F20" i="41"/>
  <c r="H20" i="41" s="1"/>
  <c r="K7" i="6"/>
  <c r="J61" i="6"/>
  <c r="J43" i="6"/>
  <c r="J25" i="6"/>
  <c r="J79" i="6" s="1"/>
  <c r="J97" i="6"/>
  <c r="H22" i="41"/>
  <c r="H21" i="41"/>
  <c r="K7" i="5"/>
  <c r="J25" i="5"/>
  <c r="J43" i="5" s="1"/>
  <c r="H12" i="1"/>
  <c r="F11" i="1"/>
  <c r="G11" i="1" s="1"/>
  <c r="E24" i="1"/>
  <c r="E24" i="2"/>
  <c r="F10" i="41" l="1"/>
  <c r="H10" i="41" s="1"/>
  <c r="F11" i="41"/>
  <c r="H11" i="41" s="1"/>
  <c r="L7" i="6"/>
  <c r="K97" i="6"/>
  <c r="K61" i="6"/>
  <c r="K43" i="6"/>
  <c r="K25" i="6"/>
  <c r="K79" i="6" s="1"/>
  <c r="L7" i="5"/>
  <c r="K25" i="5"/>
  <c r="K43" i="5" s="1"/>
  <c r="F11" i="9"/>
  <c r="F24" i="1"/>
  <c r="F46" i="41" l="1"/>
  <c r="M7" i="6"/>
  <c r="L97" i="6"/>
  <c r="L61" i="6"/>
  <c r="L43" i="6"/>
  <c r="L25" i="6"/>
  <c r="L79" i="6" s="1"/>
  <c r="H46" i="41"/>
  <c r="M7" i="5"/>
  <c r="L25" i="5"/>
  <c r="L43" i="5" s="1"/>
  <c r="E11" i="9"/>
  <c r="F27" i="2" l="1"/>
  <c r="F28" i="2" s="1"/>
  <c r="F28" i="48"/>
  <c r="F29" i="48" s="1"/>
  <c r="F23" i="48" s="1"/>
  <c r="H23" i="48" s="1"/>
  <c r="M97" i="6"/>
  <c r="M61" i="6"/>
  <c r="M43" i="6"/>
  <c r="M25" i="6"/>
  <c r="M79" i="6" s="1"/>
  <c r="A4" i="5"/>
  <c r="M25" i="5"/>
  <c r="M43" i="5" s="1"/>
  <c r="F22" i="2"/>
  <c r="H22" i="2" s="1"/>
  <c r="F18" i="2"/>
  <c r="F14" i="2"/>
  <c r="H14" i="2" s="1"/>
  <c r="F20" i="2"/>
  <c r="H20" i="2" s="1"/>
  <c r="F23" i="2"/>
  <c r="H23" i="2" s="1"/>
  <c r="F15" i="2"/>
  <c r="H15" i="2" s="1"/>
  <c r="F11" i="2"/>
  <c r="H11" i="2" s="1"/>
  <c r="F21" i="2"/>
  <c r="H21" i="2" s="1"/>
  <c r="F17" i="2"/>
  <c r="H17" i="2" s="1"/>
  <c r="F13" i="2"/>
  <c r="H13" i="2" s="1"/>
  <c r="F16" i="2"/>
  <c r="H16" i="2" s="1"/>
  <c r="F12" i="2"/>
  <c r="H12" i="2" s="1"/>
  <c r="F19" i="2"/>
  <c r="H19" i="2" s="1"/>
  <c r="F20" i="48" l="1"/>
  <c r="H20" i="48" s="1"/>
  <c r="F16" i="48"/>
  <c r="H16" i="48" s="1"/>
  <c r="F14" i="48"/>
  <c r="H14" i="48" s="1"/>
  <c r="F12" i="48"/>
  <c r="H12" i="48" s="1"/>
  <c r="F22" i="48"/>
  <c r="H22" i="48" s="1"/>
  <c r="F19" i="48"/>
  <c r="H19" i="48" s="1"/>
  <c r="F15" i="48"/>
  <c r="H15" i="48" s="1"/>
  <c r="F13" i="48"/>
  <c r="H13" i="48" s="1"/>
  <c r="F17" i="48"/>
  <c r="H17" i="48" s="1"/>
  <c r="F18" i="48"/>
  <c r="H18" i="48" s="1"/>
  <c r="F21" i="48"/>
  <c r="H21" i="48" s="1"/>
  <c r="F11" i="48"/>
  <c r="F24" i="48"/>
  <c r="H24" i="48" s="1"/>
  <c r="F36" i="41"/>
  <c r="H36" i="41" s="1"/>
  <c r="F40" i="41"/>
  <c r="H40" i="41" s="1"/>
  <c r="F29" i="41"/>
  <c r="H29" i="41" s="1"/>
  <c r="F37" i="41"/>
  <c r="H37" i="41" s="1"/>
  <c r="F33" i="41"/>
  <c r="H33" i="41" s="1"/>
  <c r="F31" i="41"/>
  <c r="H31" i="41" s="1"/>
  <c r="F34" i="41"/>
  <c r="H34" i="41" s="1"/>
  <c r="F39" i="41"/>
  <c r="H39" i="41" s="1"/>
  <c r="F38" i="41"/>
  <c r="H38" i="41" s="1"/>
  <c r="F32" i="41"/>
  <c r="H32" i="41" s="1"/>
  <c r="A4" i="8"/>
  <c r="A4" i="7"/>
  <c r="A4" i="6"/>
  <c r="H18" i="2"/>
  <c r="P24" i="10"/>
  <c r="P20" i="10"/>
  <c r="F24" i="2"/>
  <c r="F25" i="48" l="1"/>
  <c r="H11" i="48"/>
  <c r="O21" i="10"/>
  <c r="F66" i="41" s="1"/>
  <c r="H66" i="41" s="1"/>
  <c r="L21" i="10"/>
  <c r="F63" i="41" s="1"/>
  <c r="H63" i="41" s="1"/>
  <c r="E21" i="10"/>
  <c r="F56" i="41" s="1"/>
  <c r="H56" i="41" s="1"/>
  <c r="M21" i="10"/>
  <c r="F64" i="41" s="1"/>
  <c r="H64" i="41" s="1"/>
  <c r="F21" i="10"/>
  <c r="F57" i="41" s="1"/>
  <c r="H57" i="41" s="1"/>
  <c r="N21" i="10"/>
  <c r="F65" i="41" s="1"/>
  <c r="H65" i="41" s="1"/>
  <c r="G21" i="10"/>
  <c r="F58" i="41" s="1"/>
  <c r="H58" i="41" s="1"/>
  <c r="D21" i="10"/>
  <c r="F55" i="41" s="1"/>
  <c r="H55" i="41" s="1"/>
  <c r="H21" i="10"/>
  <c r="F59" i="41" s="1"/>
  <c r="H59" i="41" s="1"/>
  <c r="I21" i="10"/>
  <c r="F60" i="41" s="1"/>
  <c r="H60" i="41" s="1"/>
  <c r="J21" i="10"/>
  <c r="F61" i="41" s="1"/>
  <c r="H61" i="41" s="1"/>
  <c r="K21" i="10"/>
  <c r="F62" i="41" s="1"/>
  <c r="H62" i="41" s="1"/>
  <c r="H25" i="10"/>
  <c r="F75" i="41" s="1"/>
  <c r="H75" i="41" s="1"/>
  <c r="I25" i="10"/>
  <c r="F76" i="41" s="1"/>
  <c r="H76" i="41" s="1"/>
  <c r="J25" i="10"/>
  <c r="F77" i="41" s="1"/>
  <c r="H77" i="41" s="1"/>
  <c r="K25" i="10"/>
  <c r="F78" i="41" s="1"/>
  <c r="H78" i="41" s="1"/>
  <c r="O25" i="10"/>
  <c r="F82" i="41" s="1"/>
  <c r="H82" i="41" s="1"/>
  <c r="L25" i="10"/>
  <c r="F79" i="41" s="1"/>
  <c r="H79" i="41" s="1"/>
  <c r="E25" i="10"/>
  <c r="F72" i="41" s="1"/>
  <c r="H72" i="41" s="1"/>
  <c r="M25" i="10"/>
  <c r="F80" i="41" s="1"/>
  <c r="H80" i="41" s="1"/>
  <c r="F25" i="10"/>
  <c r="F73" i="41" s="1"/>
  <c r="H73" i="41" s="1"/>
  <c r="N25" i="10"/>
  <c r="F81" i="41" s="1"/>
  <c r="H81" i="41" s="1"/>
  <c r="G25" i="10"/>
  <c r="F74" i="41" s="1"/>
  <c r="H74" i="41" s="1"/>
  <c r="D25" i="10"/>
  <c r="F71" i="41" s="1"/>
  <c r="H71" i="41" s="1"/>
  <c r="P28" i="10"/>
  <c r="O29" i="10" l="1"/>
  <c r="F98" i="41" s="1"/>
  <c r="H98" i="41" s="1"/>
  <c r="L29" i="10"/>
  <c r="F95" i="41" s="1"/>
  <c r="H95" i="41" s="1"/>
  <c r="E29" i="10"/>
  <c r="F88" i="41" s="1"/>
  <c r="H88" i="41" s="1"/>
  <c r="M29" i="10"/>
  <c r="F96" i="41" s="1"/>
  <c r="H96" i="41" s="1"/>
  <c r="F29" i="10"/>
  <c r="F89" i="41" s="1"/>
  <c r="H89" i="41" s="1"/>
  <c r="N29" i="10"/>
  <c r="F97" i="41" s="1"/>
  <c r="H97" i="41" s="1"/>
  <c r="G29" i="10"/>
  <c r="F90" i="41" s="1"/>
  <c r="H90" i="41" s="1"/>
  <c r="D29" i="10"/>
  <c r="F87" i="41" s="1"/>
  <c r="H87" i="41" s="1"/>
  <c r="H29" i="10"/>
  <c r="F91" i="41" s="1"/>
  <c r="H91" i="41" s="1"/>
  <c r="I29" i="10"/>
  <c r="F92" i="41" s="1"/>
  <c r="H92" i="41" s="1"/>
  <c r="J29" i="10"/>
  <c r="F93" i="41" s="1"/>
  <c r="H93" i="41" s="1"/>
  <c r="K29" i="10"/>
  <c r="F94" i="41" s="1"/>
  <c r="H94" i="41" s="1"/>
  <c r="P25" i="10"/>
  <c r="P21" i="10"/>
  <c r="P29" i="10" l="1"/>
</calcChain>
</file>

<file path=xl/sharedStrings.xml><?xml version="1.0" encoding="utf-8"?>
<sst xmlns="http://schemas.openxmlformats.org/spreadsheetml/2006/main" count="1075" uniqueCount="298">
  <si>
    <t>Puget Sound Energy</t>
  </si>
  <si>
    <t>Line</t>
  </si>
  <si>
    <t>Total</t>
  </si>
  <si>
    <t>Allocation</t>
  </si>
  <si>
    <t>Revenue</t>
  </si>
  <si>
    <t>Sch. 111</t>
  </si>
  <si>
    <t>No.</t>
  </si>
  <si>
    <t>Rate Class</t>
  </si>
  <si>
    <t>Schedules</t>
  </si>
  <si>
    <t>Factor</t>
  </si>
  <si>
    <t>Requirement</t>
  </si>
  <si>
    <t>Mantle Rate</t>
  </si>
  <si>
    <t>(a)</t>
  </si>
  <si>
    <t>(b)</t>
  </si>
  <si>
    <t>(c)</t>
  </si>
  <si>
    <t>(d)</t>
  </si>
  <si>
    <t>(e)</t>
  </si>
  <si>
    <t>(f)</t>
  </si>
  <si>
    <t>(g)</t>
  </si>
  <si>
    <t>Residential</t>
  </si>
  <si>
    <t>Residential Gas Lights</t>
  </si>
  <si>
    <t>Commercial &amp; Industrial</t>
  </si>
  <si>
    <t>Large Volume</t>
  </si>
  <si>
    <t>Interruptible</t>
  </si>
  <si>
    <t>Limited Interruptible</t>
  </si>
  <si>
    <t>Non-exclusive Interruptible</t>
  </si>
  <si>
    <t>Commercial &amp; Industrial Transportation</t>
  </si>
  <si>
    <t>31T</t>
  </si>
  <si>
    <t>Large Volume Transportation</t>
  </si>
  <si>
    <t>41T</t>
  </si>
  <si>
    <t>Interruptible Transportation</t>
  </si>
  <si>
    <t>85T</t>
  </si>
  <si>
    <t>Limited Interruptible Transportation</t>
  </si>
  <si>
    <t>86T</t>
  </si>
  <si>
    <t>Non-exclusive Interruptible Transportation</t>
  </si>
  <si>
    <t>87T</t>
  </si>
  <si>
    <t>Contracts</t>
  </si>
  <si>
    <t>Proposed Revenue Requirement</t>
  </si>
  <si>
    <t>No Cost Allowance Revenues</t>
  </si>
  <si>
    <r>
      <t xml:space="preserve">Gas Schedule 111 </t>
    </r>
    <r>
      <rPr>
        <b/>
        <sz val="14"/>
        <color rgb="FFFF0000"/>
        <rFont val="Times New Roman"/>
        <family val="1"/>
      </rPr>
      <t>Charge</t>
    </r>
  </si>
  <si>
    <t>Rate Periods</t>
  </si>
  <si>
    <t>Gas CCA Emissions Expense</t>
  </si>
  <si>
    <t>Increase (Decrease) FIT</t>
  </si>
  <si>
    <t>Increase (Decrease) NOI</t>
  </si>
  <si>
    <t xml:space="preserve">Conversion Factor </t>
  </si>
  <si>
    <t>Revenue Requirement</t>
  </si>
  <si>
    <r>
      <t xml:space="preserve">Gas Schedule 111 </t>
    </r>
    <r>
      <rPr>
        <b/>
        <sz val="14"/>
        <color rgb="FFFF0000"/>
        <rFont val="Times New Roman"/>
        <family val="1"/>
      </rPr>
      <t>Credit</t>
    </r>
  </si>
  <si>
    <t>CCA Allowance Proceeds</t>
  </si>
  <si>
    <r>
      <rPr>
        <b/>
        <sz val="14"/>
        <color rgb="FFFF0000"/>
        <rFont val="Times New Roman"/>
        <family val="1"/>
      </rPr>
      <t>Total</t>
    </r>
    <r>
      <rPr>
        <b/>
        <sz val="14"/>
        <color rgb="FF0000FF"/>
        <rFont val="Times New Roman"/>
        <family val="1"/>
      </rPr>
      <t xml:space="preserve"> Gas Schedule 111 </t>
    </r>
  </si>
  <si>
    <t>Total CCA Costs and Proceeds</t>
  </si>
  <si>
    <t>Forecasted Therms &amp; Customers</t>
  </si>
  <si>
    <t>Rate Schedule</t>
  </si>
  <si>
    <t>Customers:</t>
  </si>
  <si>
    <t>Delivered Therms:</t>
  </si>
  <si>
    <t>Development of Cap &amp; Invest Therm Forecast</t>
  </si>
  <si>
    <t>Cap and Invest Therms:</t>
  </si>
  <si>
    <t>Development of Cap &amp; Invest Customer Count Forecast</t>
  </si>
  <si>
    <t>Cap and Invest Customer Counts:</t>
  </si>
  <si>
    <r>
      <t xml:space="preserve">CCA Therms </t>
    </r>
    <r>
      <rPr>
        <vertAlign val="superscript"/>
        <sz val="11"/>
        <color theme="1"/>
        <rFont val="Calibri"/>
        <family val="2"/>
        <scheme val="minor"/>
      </rPr>
      <t>(1)</t>
    </r>
  </si>
  <si>
    <t>Residential (Low Income)</t>
  </si>
  <si>
    <t>% of Total</t>
  </si>
  <si>
    <t>Sales:</t>
  </si>
  <si>
    <t>Schedule 31</t>
  </si>
  <si>
    <t>Total Non-Vol. Credit Per Customer</t>
  </si>
  <si>
    <t>Mantles:</t>
  </si>
  <si>
    <t>Proposed</t>
  </si>
  <si>
    <t>Schedule 31T</t>
  </si>
  <si>
    <t>Credit Rate</t>
  </si>
  <si>
    <r>
      <t xml:space="preserve">Therms </t>
    </r>
    <r>
      <rPr>
        <vertAlign val="superscript"/>
        <sz val="11"/>
        <color theme="1"/>
        <rFont val="Calibri"/>
        <family val="2"/>
        <scheme val="minor"/>
      </rPr>
      <t>(1)</t>
    </r>
  </si>
  <si>
    <t>Low Income Volumetric Credit</t>
  </si>
  <si>
    <t>Proposed Revenue Requirement for Non-Vol. Credit</t>
  </si>
  <si>
    <r>
      <t xml:space="preserve">Total CCA </t>
    </r>
    <r>
      <rPr>
        <vertAlign val="superscript"/>
        <sz val="11"/>
        <color theme="1"/>
        <rFont val="Calibri"/>
        <family val="2"/>
        <scheme val="minor"/>
      </rPr>
      <t>(2)</t>
    </r>
  </si>
  <si>
    <r>
      <t xml:space="preserve">Sch. 111 </t>
    </r>
    <r>
      <rPr>
        <vertAlign val="superscript"/>
        <sz val="11"/>
        <color theme="1"/>
        <rFont val="Calibri"/>
        <family val="2"/>
        <scheme val="minor"/>
      </rPr>
      <t>(3)</t>
    </r>
  </si>
  <si>
    <r>
      <rPr>
        <vertAlign val="superscript"/>
        <sz val="11"/>
        <color theme="1"/>
        <rFont val="Calibri"/>
        <family val="2"/>
        <scheme val="minor"/>
      </rPr>
      <t>(3)</t>
    </r>
    <r>
      <rPr>
        <sz val="11"/>
        <color theme="1"/>
        <rFont val="Calibri"/>
        <family val="2"/>
        <scheme val="minor"/>
      </rPr>
      <t xml:space="preserve"> Schedule's 23, 53, 31 &amp; 31T rates are informational only, credits will vary monthly to reflect seasonality of usage.</t>
    </r>
  </si>
  <si>
    <r>
      <rPr>
        <vertAlign val="superscript"/>
        <sz val="11"/>
        <color theme="1"/>
        <rFont val="Calibri"/>
        <family val="2"/>
        <scheme val="minor"/>
      </rPr>
      <t>(4)</t>
    </r>
    <r>
      <rPr>
        <sz val="11"/>
        <color theme="1"/>
        <rFont val="Calibri"/>
        <family val="2"/>
        <scheme val="minor"/>
      </rPr>
      <t xml:space="preserve"> Customer Counts for this schedule are mantle counts since gas lighting is billed per mantle.</t>
    </r>
  </si>
  <si>
    <r>
      <t xml:space="preserve">Residential Gas Lights </t>
    </r>
    <r>
      <rPr>
        <vertAlign val="superscript"/>
        <sz val="11"/>
        <color theme="1"/>
        <rFont val="Calibri"/>
        <family val="2"/>
        <scheme val="minor"/>
      </rPr>
      <t>(4)</t>
    </r>
  </si>
  <si>
    <t>Monthly Non-Vol. Credit Per Customer</t>
  </si>
  <si>
    <r>
      <t xml:space="preserve">Forecasted Delivered Therms </t>
    </r>
    <r>
      <rPr>
        <vertAlign val="superscript"/>
        <sz val="11"/>
        <color theme="1"/>
        <rFont val="Calibri"/>
        <family val="2"/>
        <scheme val="minor"/>
      </rPr>
      <t>(1)</t>
    </r>
  </si>
  <si>
    <r>
      <t xml:space="preserve">Low Income Therm Forecast </t>
    </r>
    <r>
      <rPr>
        <b/>
        <u/>
        <vertAlign val="superscript"/>
        <sz val="11"/>
        <color theme="1"/>
        <rFont val="Calibri"/>
        <family val="2"/>
        <scheme val="minor"/>
      </rPr>
      <t xml:space="preserve">(1) </t>
    </r>
    <r>
      <rPr>
        <b/>
        <u/>
        <sz val="11"/>
        <color theme="1"/>
        <rFont val="Calibri"/>
        <family val="2"/>
        <scheme val="minor"/>
      </rPr>
      <t>:</t>
    </r>
  </si>
  <si>
    <r>
      <t xml:space="preserve">National Security Customer Therms </t>
    </r>
    <r>
      <rPr>
        <b/>
        <u/>
        <vertAlign val="superscript"/>
        <sz val="11"/>
        <color theme="1"/>
        <rFont val="Calibri"/>
        <family val="2"/>
        <scheme val="minor"/>
      </rPr>
      <t>(2)</t>
    </r>
    <r>
      <rPr>
        <b/>
        <u/>
        <sz val="11"/>
        <color theme="1"/>
        <rFont val="Calibri"/>
        <family val="2"/>
        <scheme val="minor"/>
      </rPr>
      <t>:</t>
    </r>
  </si>
  <si>
    <r>
      <t xml:space="preserve">Emissions Intensive Trade Exposed Customer Therms </t>
    </r>
    <r>
      <rPr>
        <b/>
        <u/>
        <vertAlign val="superscript"/>
        <sz val="11"/>
        <color theme="1"/>
        <rFont val="Calibri"/>
        <family val="2"/>
        <scheme val="minor"/>
      </rPr>
      <t>(3)</t>
    </r>
    <r>
      <rPr>
        <b/>
        <u/>
        <sz val="11"/>
        <color theme="1"/>
        <rFont val="Calibri"/>
        <family val="2"/>
        <scheme val="minor"/>
      </rPr>
      <t>:</t>
    </r>
  </si>
  <si>
    <r>
      <t xml:space="preserve">National Security Customer Counts </t>
    </r>
    <r>
      <rPr>
        <b/>
        <u/>
        <vertAlign val="superscript"/>
        <sz val="11"/>
        <color theme="1"/>
        <rFont val="Calibri"/>
        <family val="2"/>
        <scheme val="minor"/>
      </rPr>
      <t>(2)</t>
    </r>
    <r>
      <rPr>
        <b/>
        <u/>
        <sz val="11"/>
        <color theme="1"/>
        <rFont val="Calibri"/>
        <family val="2"/>
        <scheme val="minor"/>
      </rPr>
      <t>:</t>
    </r>
  </si>
  <si>
    <r>
      <t xml:space="preserve">Emissions Intensive Trade Exposed Customer Counts </t>
    </r>
    <r>
      <rPr>
        <b/>
        <u/>
        <vertAlign val="superscript"/>
        <sz val="11"/>
        <color theme="1"/>
        <rFont val="Calibri"/>
        <family val="2"/>
        <scheme val="minor"/>
      </rPr>
      <t>(3)</t>
    </r>
    <r>
      <rPr>
        <b/>
        <u/>
        <sz val="11"/>
        <color theme="1"/>
        <rFont val="Calibri"/>
        <family val="2"/>
        <scheme val="minor"/>
      </rPr>
      <t>:</t>
    </r>
  </si>
  <si>
    <r>
      <t xml:space="preserve">Low Income Customer Counts </t>
    </r>
    <r>
      <rPr>
        <b/>
        <u/>
        <vertAlign val="superscript"/>
        <sz val="11"/>
        <color theme="1"/>
        <rFont val="Calibri"/>
        <family val="2"/>
        <scheme val="minor"/>
      </rPr>
      <t>(4)</t>
    </r>
    <r>
      <rPr>
        <b/>
        <u/>
        <sz val="11"/>
        <color theme="1"/>
        <rFont val="Calibri"/>
        <family val="2"/>
        <scheme val="minor"/>
      </rPr>
      <t>:</t>
    </r>
  </si>
  <si>
    <r>
      <t xml:space="preserve">New Gas Connection after July 25, 2021 Customer Counts </t>
    </r>
    <r>
      <rPr>
        <b/>
        <u/>
        <vertAlign val="superscript"/>
        <sz val="11"/>
        <color theme="1"/>
        <rFont val="Calibri"/>
        <family val="2"/>
        <scheme val="minor"/>
      </rPr>
      <t>(5)</t>
    </r>
    <r>
      <rPr>
        <b/>
        <u/>
        <sz val="11"/>
        <color theme="1"/>
        <rFont val="Calibri"/>
        <family val="2"/>
        <scheme val="minor"/>
      </rPr>
      <t>:</t>
    </r>
  </si>
  <si>
    <r>
      <rPr>
        <vertAlign val="superscript"/>
        <sz val="11"/>
        <color theme="1"/>
        <rFont val="Calibri"/>
        <family val="2"/>
        <scheme val="minor"/>
      </rPr>
      <t>(1)</t>
    </r>
    <r>
      <rPr>
        <sz val="11"/>
        <color theme="1"/>
        <rFont val="Calibri"/>
        <family val="2"/>
        <scheme val="minor"/>
      </rPr>
      <t xml:space="preserve"> CY2022 actual customer counts for &gt;25,000 metric ton emission customers.</t>
    </r>
  </si>
  <si>
    <r>
      <rPr>
        <vertAlign val="superscript"/>
        <sz val="11"/>
        <color theme="1"/>
        <rFont val="Calibri"/>
        <family val="2"/>
        <scheme val="minor"/>
      </rPr>
      <t>(2)</t>
    </r>
    <r>
      <rPr>
        <sz val="11"/>
        <color theme="1"/>
        <rFont val="Calibri"/>
        <family val="2"/>
        <scheme val="minor"/>
      </rPr>
      <t xml:space="preserve"> CY2022 actual customer counts for national security customers.</t>
    </r>
  </si>
  <si>
    <r>
      <t xml:space="preserve">Covered Entity &gt;25,000 Metric Ton Emissions Customer Therms </t>
    </r>
    <r>
      <rPr>
        <b/>
        <u/>
        <vertAlign val="superscript"/>
        <sz val="11"/>
        <color theme="1"/>
        <rFont val="Calibri"/>
        <family val="2"/>
        <scheme val="minor"/>
      </rPr>
      <t>(1)</t>
    </r>
    <r>
      <rPr>
        <b/>
        <u/>
        <sz val="11"/>
        <color theme="1"/>
        <rFont val="Calibri"/>
        <family val="2"/>
        <scheme val="minor"/>
      </rPr>
      <t>:</t>
    </r>
  </si>
  <si>
    <r>
      <t xml:space="preserve">Covered Entity &gt;25,000 Metric Ton Customer Counts </t>
    </r>
    <r>
      <rPr>
        <b/>
        <u/>
        <vertAlign val="superscript"/>
        <sz val="11"/>
        <color theme="1"/>
        <rFont val="Calibri"/>
        <family val="2"/>
        <scheme val="minor"/>
      </rPr>
      <t>(1)</t>
    </r>
    <r>
      <rPr>
        <b/>
        <u/>
        <sz val="11"/>
        <color theme="1"/>
        <rFont val="Calibri"/>
        <family val="2"/>
        <scheme val="minor"/>
      </rPr>
      <t>:</t>
    </r>
  </si>
  <si>
    <t>Calculation of Schedule 111 State Carbon Reduction Charge Volumetric Rates</t>
  </si>
  <si>
    <t>Calculation of Schedule 111 Low Income State Carbon Reduction Credit Volumetric Rates</t>
  </si>
  <si>
    <t>Calculation of Schedule 111 State Carbon Reduction Credit Monthly Non-Volumetric Rates</t>
  </si>
  <si>
    <t>Cap &amp; Invest</t>
  </si>
  <si>
    <t>Base</t>
  </si>
  <si>
    <t>Charge Rate</t>
  </si>
  <si>
    <t>Customer</t>
  </si>
  <si>
    <t>Counts</t>
  </si>
  <si>
    <t>Monthly Credit</t>
  </si>
  <si>
    <t>Non-Volumetric Credit Per Customer by Month:</t>
  </si>
  <si>
    <t>Schedule 23</t>
  </si>
  <si>
    <t xml:space="preserve">Source: F2023 Load Forecast Calendar Month Therms &amp; Customer Counts (5-26-2023)  </t>
  </si>
  <si>
    <t>F2023 Forecast:</t>
  </si>
  <si>
    <r>
      <rPr>
        <vertAlign val="superscript"/>
        <sz val="11"/>
        <color theme="1"/>
        <rFont val="Calibri"/>
        <family val="2"/>
        <scheme val="minor"/>
      </rPr>
      <t>(5)</t>
    </r>
    <r>
      <rPr>
        <sz val="11"/>
        <color theme="1"/>
        <rFont val="Calibri"/>
        <family val="2"/>
        <scheme val="minor"/>
      </rPr>
      <t xml:space="preserve"> New gas connections after July 25, 2021 as of September 7, 2023</t>
    </r>
  </si>
  <si>
    <r>
      <rPr>
        <vertAlign val="superscript"/>
        <sz val="11"/>
        <color theme="1"/>
        <rFont val="Calibri"/>
        <family val="2"/>
        <scheme val="minor"/>
      </rPr>
      <t>(1)</t>
    </r>
    <r>
      <rPr>
        <sz val="11"/>
        <color theme="1"/>
        <rFont val="Calibri"/>
        <family val="2"/>
        <scheme val="minor"/>
      </rPr>
      <t xml:space="preserve"> F2023 Load Forecast adjusted to remove therms not subject to the CCA charge.</t>
    </r>
  </si>
  <si>
    <r>
      <rPr>
        <vertAlign val="superscript"/>
        <sz val="11"/>
        <color theme="1"/>
        <rFont val="Calibri"/>
        <family val="2"/>
        <scheme val="minor"/>
      </rPr>
      <t>(2)</t>
    </r>
    <r>
      <rPr>
        <sz val="11"/>
        <color theme="1"/>
        <rFont val="Calibri"/>
        <family val="2"/>
        <scheme val="minor"/>
      </rPr>
      <t xml:space="preserve"> F2023 Load Forecast adjusted to remove customers not eligible for the CCA non-volumetric credit.</t>
    </r>
  </si>
  <si>
    <t>(h)</t>
  </si>
  <si>
    <t>(i)</t>
  </si>
  <si>
    <t>(j)</t>
  </si>
  <si>
    <t>(k)</t>
  </si>
  <si>
    <t>(l)</t>
  </si>
  <si>
    <t>(m)</t>
  </si>
  <si>
    <t>(n)</t>
  </si>
  <si>
    <t>Check</t>
  </si>
  <si>
    <r>
      <rPr>
        <vertAlign val="superscript"/>
        <sz val="11"/>
        <color theme="1"/>
        <rFont val="Calibri"/>
        <family val="2"/>
        <scheme val="minor"/>
      </rPr>
      <t>(3)</t>
    </r>
    <r>
      <rPr>
        <sz val="11"/>
        <color theme="1"/>
        <rFont val="Calibri"/>
        <family val="2"/>
        <scheme val="minor"/>
      </rPr>
      <t xml:space="preserve"> CY2022 actual customer counts for emissions intensive trade exposed customers.</t>
    </r>
  </si>
  <si>
    <t xml:space="preserve">Gas CCA Charge Revenue Requirement </t>
  </si>
  <si>
    <t>Check=&gt;</t>
  </si>
  <si>
    <t xml:space="preserve">Gas CCA Credit Revenue Requirement </t>
  </si>
  <si>
    <t xml:space="preserve">Total Gas CCA Nov 2023 Net Revenue Requirement </t>
  </si>
  <si>
    <t>Rate Change Impacts by Rate Schedule</t>
  </si>
  <si>
    <t>Forecasted</t>
  </si>
  <si>
    <t>UG-220067</t>
  </si>
  <si>
    <t>Base Sch.</t>
  </si>
  <si>
    <t>Therms</t>
  </si>
  <si>
    <t>Rate</t>
  </si>
  <si>
    <t>Volume</t>
  </si>
  <si>
    <t>Base Schedule</t>
  </si>
  <si>
    <t>Sch. 101</t>
  </si>
  <si>
    <t>Sch. 106</t>
  </si>
  <si>
    <t>Sch. 120</t>
  </si>
  <si>
    <t>Sch. 129</t>
  </si>
  <si>
    <t>Sch. 140</t>
  </si>
  <si>
    <t>Sch. 141D</t>
  </si>
  <si>
    <t>Sch. 141N</t>
  </si>
  <si>
    <t>Sch. 141R</t>
  </si>
  <si>
    <t>Sch. 141Z</t>
  </si>
  <si>
    <t>Sch. 142</t>
  </si>
  <si>
    <t>Total Forecasted</t>
  </si>
  <si>
    <t>Chrg. Revenue</t>
  </si>
  <si>
    <t>Percent</t>
  </si>
  <si>
    <t>Cred. Revenue</t>
  </si>
  <si>
    <t>Total Revenue</t>
  </si>
  <si>
    <t>Schedule</t>
  </si>
  <si>
    <r>
      <t>(Therms)</t>
    </r>
    <r>
      <rPr>
        <vertAlign val="superscript"/>
        <sz val="11"/>
        <color theme="1"/>
        <rFont val="Calibri"/>
        <family val="2"/>
      </rPr>
      <t xml:space="preserve"> (1)</t>
    </r>
  </si>
  <si>
    <r>
      <t>Revenue</t>
    </r>
    <r>
      <rPr>
        <vertAlign val="superscript"/>
        <sz val="11"/>
        <color theme="1"/>
        <rFont val="Calibri"/>
        <family val="2"/>
      </rPr>
      <t xml:space="preserve"> (1)</t>
    </r>
  </si>
  <si>
    <t>$/Therm</t>
  </si>
  <si>
    <r>
      <t>Revenue</t>
    </r>
    <r>
      <rPr>
        <vertAlign val="superscript"/>
        <sz val="11"/>
        <color theme="1"/>
        <rFont val="Calibri"/>
        <family val="2"/>
        <scheme val="minor"/>
      </rPr>
      <t xml:space="preserve"> (2)</t>
    </r>
  </si>
  <si>
    <t>Change</t>
  </si>
  <si>
    <t>A</t>
  </si>
  <si>
    <t>B</t>
  </si>
  <si>
    <t>C</t>
  </si>
  <si>
    <t>D</t>
  </si>
  <si>
    <t>E=D/C</t>
  </si>
  <si>
    <t xml:space="preserve">F </t>
  </si>
  <si>
    <t xml:space="preserve">G=E*F </t>
  </si>
  <si>
    <t>H</t>
  </si>
  <si>
    <t>I</t>
  </si>
  <si>
    <t>J</t>
  </si>
  <si>
    <t>K</t>
  </si>
  <si>
    <t>L</t>
  </si>
  <si>
    <t>M</t>
  </si>
  <si>
    <t>N</t>
  </si>
  <si>
    <t>O</t>
  </si>
  <si>
    <t>P</t>
  </si>
  <si>
    <t>Q</t>
  </si>
  <si>
    <t>R</t>
  </si>
  <si>
    <t>S = sum(G:R)</t>
  </si>
  <si>
    <t>T</t>
  </si>
  <si>
    <t>U= T/S</t>
  </si>
  <si>
    <t>V</t>
  </si>
  <si>
    <t>W= V/S</t>
  </si>
  <si>
    <t>X</t>
  </si>
  <si>
    <t>Y= X/S</t>
  </si>
  <si>
    <t>By Customer Class:</t>
  </si>
  <si>
    <t>16,23,53</t>
  </si>
  <si>
    <t>Commercial &amp; industrial</t>
  </si>
  <si>
    <t>31,31T</t>
  </si>
  <si>
    <t>Large volume</t>
  </si>
  <si>
    <t>41,41T</t>
  </si>
  <si>
    <t>85,85T</t>
  </si>
  <si>
    <t>Limited interruptible</t>
  </si>
  <si>
    <t>86,86T</t>
  </si>
  <si>
    <t>Non-exclusive interruptible</t>
  </si>
  <si>
    <t>87,87T</t>
  </si>
  <si>
    <r>
      <rPr>
        <vertAlign val="superscript"/>
        <sz val="11"/>
        <color theme="1"/>
        <rFont val="Calibri"/>
        <family val="2"/>
      </rPr>
      <t xml:space="preserve">(1) </t>
    </r>
    <r>
      <rPr>
        <sz val="11"/>
        <color theme="1"/>
        <rFont val="Calibri"/>
        <family val="2"/>
        <scheme val="minor"/>
      </rPr>
      <t>Weather normalized volume and base schedule margin for 12 months ending June 2021, at approved rates from UG-220067 GRC compliance filing.</t>
    </r>
  </si>
  <si>
    <t>Typical Residential Bill Impacts</t>
  </si>
  <si>
    <t>Schedule 111 Cap &amp; Invest</t>
  </si>
  <si>
    <t>Current Rates</t>
  </si>
  <si>
    <t>Rate Change</t>
  </si>
  <si>
    <r>
      <t>Rates</t>
    </r>
    <r>
      <rPr>
        <vertAlign val="superscript"/>
        <sz val="11"/>
        <rFont val="Calibri"/>
        <family val="2"/>
        <scheme val="minor"/>
      </rPr>
      <t xml:space="preserve"> (1)</t>
    </r>
  </si>
  <si>
    <t>Charges</t>
  </si>
  <si>
    <t>Rates</t>
  </si>
  <si>
    <t>Volume (therms)</t>
  </si>
  <si>
    <t>Customer charge ($/month)</t>
  </si>
  <si>
    <t>Basic charge (Sch. 23)</t>
  </si>
  <si>
    <t>Subtotal</t>
  </si>
  <si>
    <t>Cap &amp; Invest Non-Vol Credit (Sch. 111)</t>
  </si>
  <si>
    <t>Volumetric charges ($/therm)</t>
  </si>
  <si>
    <t>Delivery charge (Sch. 23)</t>
  </si>
  <si>
    <t>Cap &amp; Invest charge (Sch. 111)</t>
  </si>
  <si>
    <t>Low Income charge (Sch. 129)</t>
  </si>
  <si>
    <t>Low Income Discount charge (Sch. 129D)</t>
  </si>
  <si>
    <t>Property Tax charge (Sch. 140)</t>
  </si>
  <si>
    <t>Dist. Pipeline Provisional (Sch. 141D)</t>
  </si>
  <si>
    <t>Rates Not Subject to Refund (Sch. 141N)</t>
  </si>
  <si>
    <t>Rates Subject to Refund (Sch. 141R)</t>
  </si>
  <si>
    <t>UP EDIT adjusting charge (Sch. 141Z)</t>
  </si>
  <si>
    <t>Decoupling charge (Sch. 142)</t>
  </si>
  <si>
    <t>Conservation charge (Sch. 120)</t>
  </si>
  <si>
    <t>Gas cost charge (Sch. 101)</t>
  </si>
  <si>
    <t>Gas cost amort. charge (Sch. 106)</t>
  </si>
  <si>
    <t>Total volumetric charges</t>
  </si>
  <si>
    <t>Total monthly bill</t>
  </si>
  <si>
    <t>Change from bill under current rates</t>
  </si>
  <si>
    <t>Percent change from bill under current rates</t>
  </si>
  <si>
    <t>Total volumetric rates less gas costs</t>
  </si>
  <si>
    <t>Greenhouse Gas Emissions Cap and Invest Adjustment</t>
  </si>
  <si>
    <t>Proposed Rates</t>
  </si>
  <si>
    <t>Sched 111</t>
  </si>
  <si>
    <t>Volume (Therms)</t>
  </si>
  <si>
    <t>Deferral</t>
  </si>
  <si>
    <t>Non-Volumetric Credits:</t>
  </si>
  <si>
    <t>Current</t>
  </si>
  <si>
    <t>Customer Counts</t>
  </si>
  <si>
    <t>Monthly NVC</t>
  </si>
  <si>
    <r>
      <t xml:space="preserve">Residential Gas Lights </t>
    </r>
    <r>
      <rPr>
        <vertAlign val="superscript"/>
        <sz val="11"/>
        <color theme="1"/>
        <rFont val="Calibri"/>
        <family val="2"/>
        <scheme val="minor"/>
      </rPr>
      <t>(1)</t>
    </r>
  </si>
  <si>
    <t>Cred. Rates</t>
  </si>
  <si>
    <t>Total Non-Volumetric &amp; Volumetric Credits</t>
  </si>
  <si>
    <r>
      <rPr>
        <vertAlign val="superscript"/>
        <sz val="11"/>
        <color theme="1"/>
        <rFont val="Calibri"/>
        <family val="2"/>
        <scheme val="minor"/>
      </rPr>
      <t>(1)</t>
    </r>
    <r>
      <rPr>
        <sz val="11"/>
        <color theme="1"/>
        <rFont val="Calibri"/>
        <family val="2"/>
        <scheme val="minor"/>
      </rPr>
      <t xml:space="preserve"> Customer Counts for this schedule are mantle counts since gas lighting is billed per mantle.</t>
    </r>
  </si>
  <si>
    <t>Calculation of Schedule 111 State Carbon Reduction Credit Monthly Non-Volumetric Rates for Schedule's 23, 31 &amp; 31T</t>
  </si>
  <si>
    <t>Schedule 31 &amp; 31T</t>
  </si>
  <si>
    <r>
      <t xml:space="preserve">Low Income Customer Counts </t>
    </r>
    <r>
      <rPr>
        <b/>
        <u/>
        <vertAlign val="superscript"/>
        <sz val="11"/>
        <color theme="1"/>
        <rFont val="Calibri"/>
        <family val="2"/>
        <scheme val="minor"/>
      </rPr>
      <t>(1)</t>
    </r>
    <r>
      <rPr>
        <b/>
        <u/>
        <sz val="11"/>
        <color theme="1"/>
        <rFont val="Calibri"/>
        <family val="2"/>
        <scheme val="minor"/>
      </rPr>
      <t>:</t>
    </r>
  </si>
  <si>
    <t>Low Income Therm &amp; Customer Forecast</t>
  </si>
  <si>
    <r>
      <t xml:space="preserve">31 </t>
    </r>
    <r>
      <rPr>
        <vertAlign val="superscript"/>
        <sz val="11"/>
        <color theme="1"/>
        <rFont val="Calibri"/>
        <family val="2"/>
        <scheme val="minor"/>
      </rPr>
      <t>(1)</t>
    </r>
  </si>
  <si>
    <r>
      <t xml:space="preserve">31T </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</si>
  <si>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Sch. 31 &amp; 31T therms and customer counts adjusted since there are customers actually on Sch. 31T that wasn't reflected in the original forecast.</t>
    </r>
  </si>
  <si>
    <r>
      <rPr>
        <vertAlign val="superscript"/>
        <sz val="11"/>
        <color theme="1"/>
        <rFont val="Calibri"/>
        <family val="2"/>
        <scheme val="minor"/>
      </rPr>
      <t>(1)</t>
    </r>
    <r>
      <rPr>
        <sz val="11"/>
        <color theme="1"/>
        <rFont val="Calibri"/>
        <family val="2"/>
        <scheme val="minor"/>
      </rPr>
      <t xml:space="preserve"> CY2022 actual annual billed therms for &gt;25,000 metric ton emission customers allocated to the months using the F2023 forecast.</t>
    </r>
  </si>
  <si>
    <r>
      <rPr>
        <vertAlign val="superscript"/>
        <sz val="11"/>
        <color theme="1"/>
        <rFont val="Calibri"/>
        <family val="2"/>
        <scheme val="minor"/>
      </rPr>
      <t>(2)</t>
    </r>
    <r>
      <rPr>
        <sz val="11"/>
        <color theme="1"/>
        <rFont val="Calibri"/>
        <family val="2"/>
        <scheme val="minor"/>
      </rPr>
      <t xml:space="preserve"> CY2022 actual annual billed therms for national security customers allocated to the months using the F2023 forecast.</t>
    </r>
  </si>
  <si>
    <r>
      <rPr>
        <vertAlign val="superscript"/>
        <sz val="11"/>
        <color theme="1"/>
        <rFont val="Calibri"/>
        <family val="2"/>
        <scheme val="minor"/>
      </rPr>
      <t>(3)</t>
    </r>
    <r>
      <rPr>
        <sz val="11"/>
        <color theme="1"/>
        <rFont val="Calibri"/>
        <family val="2"/>
        <scheme val="minor"/>
      </rPr>
      <t xml:space="preserve"> CY2022 actual annual billed therms for emissions intensive trade exposed customers allocated to the months using the F2023 forecast.</t>
    </r>
  </si>
  <si>
    <t>Low Income Volumetric Credits:</t>
  </si>
  <si>
    <t>Gas Schedule 111 State Carbon Reduction Credits</t>
  </si>
  <si>
    <t>Current Charge Rates</t>
  </si>
  <si>
    <t>Proposed Charge Rates</t>
  </si>
  <si>
    <t>Gas Schedule 111 State Carbon Reduction Charge</t>
  </si>
  <si>
    <t>Gas Schedule 111 Greenhouse Gas Emissions Cap and Invest Adjustment</t>
  </si>
  <si>
    <t>Summary of Proposed Schedule 111 Rates</t>
  </si>
  <si>
    <t>Current Non-Volumetric Credits</t>
  </si>
  <si>
    <t>Proposed Non-Volumetric Credits</t>
  </si>
  <si>
    <t>Current Low Income Volumetric Credits</t>
  </si>
  <si>
    <t>Proposed Low Income Volumetric Credits</t>
  </si>
  <si>
    <t>Seasonal Non-Volumetric Credits:</t>
  </si>
  <si>
    <t>Current Seasonal Non-Volumetric Credits</t>
  </si>
  <si>
    <t>Month</t>
  </si>
  <si>
    <t>Sch. 23 Residential</t>
  </si>
  <si>
    <t>Sch. 31 Commercial &amp; Industrial</t>
  </si>
  <si>
    <t>Proposed Seasonal Non-Volumetric Credits</t>
  </si>
  <si>
    <t>Sch. 31T Commercial &amp; Industrial Transportation</t>
  </si>
  <si>
    <t>Seasonal Non-Volumetric Credit</t>
  </si>
  <si>
    <t>Volumetric Charges:</t>
  </si>
  <si>
    <t>Residential Gas Lights (Per Mantle)</t>
  </si>
  <si>
    <t>2024 Gas Schedule 111 Greenhouse Gas Emissions Cap and Invest Adjustment Filing</t>
  </si>
  <si>
    <t>Proposed Rates Effective January 1, 2024</t>
  </si>
  <si>
    <t>Gas Schedule 111 CCA Revenue Requirement</t>
  </si>
  <si>
    <t>For Rates effective January 1, 2024 through December 31, 2024</t>
  </si>
  <si>
    <t>Jan-Dec 2024</t>
  </si>
  <si>
    <t>Jan. 2024 -</t>
  </si>
  <si>
    <t>Dec. 2024</t>
  </si>
  <si>
    <t>12ME Dec. 2024</t>
  </si>
  <si>
    <r>
      <rPr>
        <vertAlign val="superscript"/>
        <sz val="11"/>
        <color theme="1"/>
        <rFont val="Calibri"/>
        <family val="2"/>
      </rPr>
      <t xml:space="preserve">(2) </t>
    </r>
    <r>
      <rPr>
        <sz val="11"/>
        <color theme="1"/>
        <rFont val="Calibri"/>
        <family val="2"/>
        <scheme val="minor"/>
      </rPr>
      <t>Forecasted revenues at current rates effective November 1, 2023.</t>
    </r>
  </si>
  <si>
    <r>
      <rPr>
        <vertAlign val="superscript"/>
        <sz val="11"/>
        <rFont val="Calibri"/>
        <family val="2"/>
        <scheme val="minor"/>
      </rPr>
      <t xml:space="preserve">(1) </t>
    </r>
    <r>
      <rPr>
        <sz val="11"/>
        <rFont val="Calibri"/>
        <family val="2"/>
        <scheme val="minor"/>
      </rPr>
      <t>Rates for Schedule 23 customers in effect November 1, 2023</t>
    </r>
  </si>
  <si>
    <t>Average Rate Per Therm Impacts by Rate Schedule</t>
  </si>
  <si>
    <r>
      <t>Current Rates</t>
    </r>
    <r>
      <rPr>
        <vertAlign val="superscript"/>
        <sz val="11"/>
        <color theme="1"/>
        <rFont val="Calibri"/>
        <family val="2"/>
        <scheme val="minor"/>
      </rPr>
      <t xml:space="preserve"> (1)</t>
    </r>
  </si>
  <si>
    <t>Average Rate</t>
  </si>
  <si>
    <t>Jan. 2024 - Dec. 2024</t>
  </si>
  <si>
    <t>Per Therm</t>
  </si>
  <si>
    <t>% Change</t>
  </si>
  <si>
    <t>check</t>
  </si>
  <si>
    <t>E = D/C</t>
  </si>
  <si>
    <t>F</t>
  </si>
  <si>
    <t>G</t>
  </si>
  <si>
    <t>H = G/F</t>
  </si>
  <si>
    <t>I = (G-D)/D</t>
  </si>
  <si>
    <t>23,53</t>
  </si>
  <si>
    <r>
      <rPr>
        <vertAlign val="superscript"/>
        <sz val="11"/>
        <color theme="1"/>
        <rFont val="Calibri"/>
        <family val="2"/>
        <scheme val="minor"/>
      </rPr>
      <t>(1)</t>
    </r>
    <r>
      <rPr>
        <sz val="11"/>
        <color theme="1"/>
        <rFont val="Calibri"/>
        <family val="2"/>
        <scheme val="minor"/>
      </rPr>
      <t xml:space="preserve"> Assume hitting the target of 70,000 Low Income customers by the end of December 2023, i.e., by January 1, 2024 (as required by Order 01 (Aug. 3, 2023) in Docket UG-230470). The 70,000 target includes Known Low Income and Estimated Low Income customers. Assume that enrollment happens with lowest-income bracket tiers first, followed by higher income brackets until the targeted number of customers is reached.  After December 2023, assumed 10% annual, or 0.83% monthly, low income customer growth rate for each income tier until October 2024. </t>
    </r>
  </si>
  <si>
    <r>
      <rPr>
        <vertAlign val="superscript"/>
        <sz val="11"/>
        <color theme="1"/>
        <rFont val="Calibri"/>
        <family val="2"/>
        <scheme val="minor"/>
      </rPr>
      <t>(4)</t>
    </r>
    <r>
      <rPr>
        <sz val="11"/>
        <color theme="1"/>
        <rFont val="Calibri"/>
        <family val="2"/>
        <scheme val="minor"/>
      </rPr>
      <t xml:space="preserve"> Assume hitting the target of 70,000 Low Income customers by the end of December 2023, i.e., by January 1, 2024 (as required by Order 01 (Aug. 3, 2023) in Docket UG-230470). The 70,000 target includes Known Low Income and Estimated Low Income customers. Assume that enrollment happens with lowest-income bracket tiers first, followed by higher income brackets until the targeted number of customers is reached.  After December 2023, assumed 10% annual, or 0.83% monthly, low income customer growth rate for each income tier until October 2024.</t>
    </r>
  </si>
  <si>
    <r>
      <rPr>
        <vertAlign val="superscript"/>
        <sz val="11"/>
        <color theme="1"/>
        <rFont val="Calibri"/>
        <family val="2"/>
        <scheme val="minor"/>
      </rPr>
      <t>(1)</t>
    </r>
    <r>
      <rPr>
        <sz val="11"/>
        <color theme="1"/>
        <rFont val="Calibri"/>
        <family val="2"/>
        <scheme val="minor"/>
      </rPr>
      <t xml:space="preserve"> Assume hitting the target of 70,000 Low Income customers by the end of December 2023, i.e., by January 1, 2024 (as required by Order 01 (Aug. 3, 2023) in Docket UG-230470). The 70,000 target includes Known Low Income and Estimated Low Income customers. Assume that enrollment happens with lowest-income bracket tiers first, followed by higher income brackets until the targeted number of customers is reached.  After December 2023, assumed 10% annual, or 0.83% monthly, low income customer growth rate for each income tier until October 2024.</t>
    </r>
  </si>
  <si>
    <r>
      <rPr>
        <vertAlign val="superscript"/>
        <sz val="11"/>
        <rFont val="Calibri"/>
        <family val="2"/>
      </rPr>
      <t>(1)</t>
    </r>
    <r>
      <rPr>
        <sz val="11"/>
        <rFont val="Calibri"/>
        <family val="2"/>
      </rPr>
      <t xml:space="preserve"> Forecasted revenues at current rates effective November 1, 2023.</t>
    </r>
  </si>
  <si>
    <t>Exclusive Interruptible Transportation</t>
  </si>
  <si>
    <t>88T</t>
  </si>
  <si>
    <t>88T (Total)</t>
  </si>
  <si>
    <t>88T (Exempt)</t>
  </si>
  <si>
    <t>88T (Non-Exempt)</t>
  </si>
  <si>
    <t>Rates for Schedule 87T and 88T if Schedule 88T is approved.</t>
  </si>
  <si>
    <r>
      <t xml:space="preserve">Other Exempt Customer Therms </t>
    </r>
    <r>
      <rPr>
        <b/>
        <u/>
        <vertAlign val="superscript"/>
        <sz val="11"/>
        <color theme="1"/>
        <rFont val="Calibri"/>
        <family val="2"/>
        <scheme val="minor"/>
      </rPr>
      <t>(4)</t>
    </r>
    <r>
      <rPr>
        <b/>
        <u/>
        <sz val="11"/>
        <color theme="1"/>
        <rFont val="Calibri"/>
        <family val="2"/>
        <scheme val="minor"/>
      </rPr>
      <t>:</t>
    </r>
  </si>
  <si>
    <r>
      <rPr>
        <vertAlign val="superscript"/>
        <sz val="11"/>
        <color theme="1"/>
        <rFont val="Calibri"/>
        <family val="2"/>
        <scheme val="minor"/>
      </rPr>
      <t>(4)</t>
    </r>
    <r>
      <rPr>
        <sz val="11"/>
        <color theme="1"/>
        <rFont val="Calibri"/>
        <family val="2"/>
        <scheme val="minor"/>
      </rPr>
      <t xml:space="preserve"> F2023 forecast of other customer therms exempted by Ecology.</t>
    </r>
  </si>
  <si>
    <t>87T*</t>
  </si>
  <si>
    <t>87,87T*</t>
  </si>
  <si>
    <t>Monthly NVC**</t>
  </si>
  <si>
    <t>Cred.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</si>
</sst>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_(&quot;$&quot;* #,##0.00000_);_(&quot;$&quot;* \(#,##0.00000\);_(&quot;$&quot;* &quot;-&quot;??_);_(@_)"/>
    <numFmt numFmtId="167" formatCode="_(&quot;$&quot;* #,##0_);_(&quot;$&quot;* \(#,##0\);_(&quot;$&quot;* &quot;-&quot;??_);_(@_)"/>
    <numFmt numFmtId="168" formatCode="_(&quot;$&quot;* #,##0_);[Red]_(&quot;$&quot;* \(#,##0\);_(&quot;$&quot;* &quot;-&quot;_);_(@_)"/>
    <numFmt numFmtId="169" formatCode="0.000%"/>
    <numFmt numFmtId="170" formatCode="_(&quot;$&quot;* #,##0.00_);_(&quot;$&quot;* \(#,##0.00\);_(&quot;$&quot;* &quot;-&quot;_);_(@_)"/>
    <numFmt numFmtId="171" formatCode="_(&quot;$&quot;* #,##0.00000_);_(&quot;$&quot;* \(#,##0.00000\);_(&quot;$&quot;* &quot;-&quot;?????_);_(@_)"/>
  </numFmts>
  <fonts count="30" x14ac:knownFonts="1">
    <font>
      <sz val="11"/>
      <color theme="1"/>
      <name val="Calibri"/>
      <family val="2"/>
      <scheme val="minor"/>
    </font>
    <font>
      <sz val="11"/>
      <color theme="1"/>
      <name val="Calibri"/>
      <family val="2"/>
      <scheme val="minor"/>
    </font>
    <font>
      <sz val="11"/>
      <color rgb="FFFF0000"/>
      <name val="Calibri"/>
      <family val="2"/>
      <scheme val="minor"/>
    </font>
    <font>
      <vertAlign val="superscript"/>
      <sz val="11"/>
      <color theme="1"/>
      <name val="Calibri"/>
      <family val="2"/>
      <scheme val="minor"/>
    </font>
    <font>
      <sz val="11"/>
      <color rgb="FF008080"/>
      <name val="Calibri"/>
      <family val="2"/>
      <scheme val="minor"/>
    </font>
    <font>
      <sz val="11"/>
      <name val="Calibri"/>
      <family val="2"/>
      <scheme val="minor"/>
    </font>
    <font>
      <sz val="11"/>
      <color theme="1"/>
      <name val="Times New Roman"/>
      <family val="1"/>
    </font>
    <font>
      <sz val="14"/>
      <color rgb="FFFF0000"/>
      <name val="Times New Roman"/>
      <family val="1"/>
    </font>
    <font>
      <b/>
      <sz val="14"/>
      <color rgb="FF0000FF"/>
      <name val="Times New Roman"/>
      <family val="1"/>
    </font>
    <font>
      <b/>
      <sz val="14"/>
      <color rgb="FFFF0000"/>
      <name val="Times New Roman"/>
      <family val="1"/>
    </font>
    <font>
      <sz val="14"/>
      <color theme="1"/>
      <name val="Times New Roman"/>
      <family val="1"/>
    </font>
    <font>
      <b/>
      <sz val="12"/>
      <color theme="1"/>
      <name val="Times New Roman"/>
      <family val="1"/>
    </font>
    <font>
      <sz val="10"/>
      <color theme="1"/>
      <name val="Times New Roman"/>
      <family val="1"/>
    </font>
    <font>
      <sz val="11"/>
      <color rgb="FF0000FF"/>
      <name val="Calibri"/>
      <family val="2"/>
      <scheme val="minor"/>
    </font>
    <font>
      <b/>
      <u/>
      <sz val="11"/>
      <color theme="1"/>
      <name val="Calibri"/>
      <family val="2"/>
      <scheme val="minor"/>
    </font>
    <font>
      <b/>
      <sz val="11"/>
      <color theme="1"/>
      <name val="Calibri"/>
      <family val="2"/>
      <scheme val="minor"/>
    </font>
    <font>
      <b/>
      <u/>
      <vertAlign val="superscript"/>
      <sz val="11"/>
      <color theme="1"/>
      <name val="Calibri"/>
      <family val="2"/>
      <scheme val="minor"/>
    </font>
    <font>
      <b/>
      <u/>
      <sz val="11"/>
      <color rgb="FF0000FF"/>
      <name val="Calibri"/>
      <family val="2"/>
      <scheme val="minor"/>
    </font>
    <font>
      <b/>
      <sz val="14"/>
      <color theme="1"/>
      <name val="Times New Roman"/>
      <family val="1"/>
    </font>
    <font>
      <sz val="8"/>
      <color rgb="FFFF0066"/>
      <name val="Times New Roman"/>
      <family val="1"/>
    </font>
    <font>
      <vertAlign val="superscript"/>
      <sz val="11"/>
      <color theme="1"/>
      <name val="Calibri"/>
      <family val="2"/>
    </font>
    <font>
      <u/>
      <sz val="11"/>
      <name val="Calibri"/>
      <family val="2"/>
    </font>
    <font>
      <b/>
      <sz val="11"/>
      <name val="Calibri"/>
      <family val="2"/>
    </font>
    <font>
      <sz val="11"/>
      <name val="Calibri"/>
      <family val="2"/>
    </font>
    <font>
      <vertAlign val="superscript"/>
      <sz val="11"/>
      <name val="Calibri"/>
      <family val="2"/>
      <scheme val="minor"/>
    </font>
    <font>
      <sz val="11"/>
      <color indexed="12"/>
      <name val="Calibri"/>
      <family val="2"/>
      <scheme val="minor"/>
    </font>
    <font>
      <b/>
      <sz val="11"/>
      <name val="Calibri"/>
      <family val="2"/>
      <scheme val="minor"/>
    </font>
    <font>
      <sz val="11"/>
      <color theme="1"/>
      <name val="Calibri"/>
      <family val="2"/>
    </font>
    <font>
      <vertAlign val="superscript"/>
      <sz val="11"/>
      <name val="Calibri"/>
      <family val="2"/>
    </font>
    <font>
      <sz val="11"/>
      <color rgb="FFFF0000"/>
      <name val="Calibri"/>
      <family val="2"/>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55">
    <xf numFmtId="0" fontId="0" fillId="0" borderId="0" xfId="0"/>
    <xf numFmtId="0" fontId="1" fillId="0" borderId="0" xfId="0" applyFont="1"/>
    <xf numFmtId="0" fontId="1" fillId="0" borderId="0" xfId="0" applyFont="1" applyAlignment="1">
      <alignment horizontal="centerContinuous"/>
    </xf>
    <xf numFmtId="0" fontId="1" fillId="0" borderId="0" xfId="0" applyFont="1" applyFill="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1" fillId="0" borderId="0" xfId="0" applyFont="1" applyFill="1" applyAlignment="1">
      <alignment horizontal="center"/>
    </xf>
    <xf numFmtId="164" fontId="4" fillId="0" borderId="0" xfId="0" applyNumberFormat="1" applyFont="1" applyFill="1"/>
    <xf numFmtId="165" fontId="5" fillId="0" borderId="0" xfId="0" applyNumberFormat="1" applyFont="1"/>
    <xf numFmtId="42" fontId="1" fillId="0" borderId="0" xfId="0" applyNumberFormat="1" applyFont="1"/>
    <xf numFmtId="166" fontId="1" fillId="0" borderId="0" xfId="0" applyNumberFormat="1" applyFont="1" applyFill="1"/>
    <xf numFmtId="44" fontId="1" fillId="0" borderId="0" xfId="0" applyNumberFormat="1" applyFont="1" applyFill="1"/>
    <xf numFmtId="42" fontId="1" fillId="0" borderId="2" xfId="0" applyNumberFormat="1" applyFont="1" applyBorder="1"/>
    <xf numFmtId="42" fontId="1" fillId="0" borderId="0" xfId="0" applyNumberFormat="1" applyFont="1" applyBorder="1"/>
    <xf numFmtId="165" fontId="1" fillId="0" borderId="0" xfId="0" applyNumberFormat="1" applyFont="1"/>
    <xf numFmtId="42" fontId="4" fillId="0" borderId="0" xfId="0" applyNumberFormat="1" applyFont="1" applyFill="1"/>
    <xf numFmtId="42" fontId="2" fillId="0" borderId="0" xfId="0" applyNumberFormat="1" applyFont="1"/>
    <xf numFmtId="0" fontId="1" fillId="0" borderId="0" xfId="0" applyFont="1" applyFill="1"/>
    <xf numFmtId="3" fontId="1" fillId="0" borderId="0" xfId="0" applyNumberFormat="1" applyFont="1" applyFill="1"/>
    <xf numFmtId="164" fontId="1" fillId="0" borderId="2" xfId="0" applyNumberFormat="1" applyFont="1" applyFill="1" applyBorder="1"/>
    <xf numFmtId="165" fontId="1" fillId="0" borderId="2" xfId="0" applyNumberFormat="1" applyFont="1" applyBorder="1"/>
    <xf numFmtId="164" fontId="1" fillId="0" borderId="0" xfId="0" applyNumberFormat="1" applyFont="1" applyFill="1"/>
    <xf numFmtId="0" fontId="0" fillId="0" borderId="0" xfId="0" applyFont="1" applyFill="1" applyBorder="1" applyAlignment="1">
      <alignment horizontal="center"/>
    </xf>
    <xf numFmtId="0" fontId="0" fillId="0" borderId="0" xfId="0" applyFont="1" applyFill="1" applyAlignment="1">
      <alignment horizontal="center"/>
    </xf>
    <xf numFmtId="0" fontId="6" fillId="0" borderId="0" xfId="0" applyFont="1"/>
    <xf numFmtId="0" fontId="7" fillId="0" borderId="0" xfId="0" applyFont="1"/>
    <xf numFmtId="0" fontId="8" fillId="2" borderId="0" xfId="0" applyFont="1" applyFill="1" applyAlignment="1">
      <alignment horizontal="centerContinuous"/>
    </xf>
    <xf numFmtId="0" fontId="10" fillId="2" borderId="0" xfId="0" applyFont="1" applyFill="1" applyAlignment="1">
      <alignment horizontal="centerContinuous"/>
    </xf>
    <xf numFmtId="0" fontId="6" fillId="2" borderId="0" xfId="0" applyFont="1" applyFill="1" applyAlignment="1">
      <alignment horizontal="centerContinuous"/>
    </xf>
    <xf numFmtId="0" fontId="8" fillId="0" borderId="0" xfId="0" applyFont="1" applyFill="1"/>
    <xf numFmtId="0" fontId="10" fillId="0" borderId="0" xfId="0" applyFont="1" applyFill="1"/>
    <xf numFmtId="0" fontId="6" fillId="0" borderId="0" xfId="0" applyFont="1" applyFill="1"/>
    <xf numFmtId="0" fontId="11" fillId="0" borderId="0" xfId="0" applyFont="1" applyAlignment="1">
      <alignment horizontal="centerContinuous"/>
    </xf>
    <xf numFmtId="0" fontId="6" fillId="0" borderId="0" xfId="0" applyFont="1" applyAlignment="1">
      <alignment horizontal="centerContinuous"/>
    </xf>
    <xf numFmtId="0" fontId="6" fillId="0" borderId="0" xfId="0" applyFont="1" applyAlignment="1">
      <alignment horizontal="center"/>
    </xf>
    <xf numFmtId="168" fontId="6" fillId="0" borderId="0" xfId="0" applyNumberFormat="1" applyFont="1" applyFill="1" applyAlignment="1" applyProtection="1">
      <alignment horizontal="left"/>
    </xf>
    <xf numFmtId="9" fontId="12" fillId="0" borderId="0" xfId="0" applyNumberFormat="1" applyFont="1" applyFill="1" applyAlignment="1"/>
    <xf numFmtId="168" fontId="12" fillId="0" borderId="0" xfId="0" applyNumberFormat="1" applyFont="1" applyFill="1" applyAlignment="1" applyProtection="1">
      <alignment horizontal="left"/>
    </xf>
    <xf numFmtId="0" fontId="0" fillId="0" borderId="0" xfId="0" applyFont="1"/>
    <xf numFmtId="0" fontId="0" fillId="0" borderId="0" xfId="0" applyFont="1" applyFill="1" applyAlignment="1">
      <alignment horizontal="centerContinuous"/>
    </xf>
    <xf numFmtId="0" fontId="0" fillId="0" borderId="0" xfId="0" applyFont="1" applyFill="1"/>
    <xf numFmtId="0" fontId="0" fillId="0" borderId="0" xfId="0" applyFont="1" applyFill="1" applyAlignment="1">
      <alignment horizontal="left"/>
    </xf>
    <xf numFmtId="0" fontId="0" fillId="0" borderId="1" xfId="0" applyFont="1" applyFill="1" applyBorder="1"/>
    <xf numFmtId="17" fontId="13" fillId="0" borderId="1" xfId="0" applyNumberFormat="1" applyFont="1" applyFill="1" applyBorder="1" applyAlignment="1">
      <alignment horizontal="center"/>
    </xf>
    <xf numFmtId="17" fontId="0" fillId="0" borderId="1" xfId="0" applyNumberFormat="1" applyFont="1" applyFill="1" applyBorder="1" applyAlignment="1">
      <alignment horizontal="center"/>
    </xf>
    <xf numFmtId="0" fontId="0" fillId="0" borderId="1" xfId="0" applyFont="1" applyFill="1" applyBorder="1" applyAlignment="1">
      <alignment horizontal="center"/>
    </xf>
    <xf numFmtId="3" fontId="13" fillId="0" borderId="0" xfId="0" applyNumberFormat="1" applyFont="1" applyFill="1"/>
    <xf numFmtId="3" fontId="0" fillId="0" borderId="0" xfId="0" applyNumberFormat="1" applyFont="1" applyFill="1"/>
    <xf numFmtId="0" fontId="0" fillId="0" borderId="1" xfId="0" applyFont="1" applyFill="1" applyBorder="1" applyAlignment="1">
      <alignment horizontal="left"/>
    </xf>
    <xf numFmtId="0" fontId="0" fillId="0" borderId="0" xfId="0" applyFont="1" applyAlignment="1">
      <alignment horizontal="left"/>
    </xf>
    <xf numFmtId="3" fontId="0" fillId="0" borderId="2" xfId="0" applyNumberFormat="1" applyFont="1" applyBorder="1"/>
    <xf numFmtId="3" fontId="0" fillId="0" borderId="0" xfId="0" applyNumberFormat="1" applyFont="1"/>
    <xf numFmtId="0" fontId="14" fillId="0" borderId="0" xfId="0" applyFont="1" applyFill="1" applyAlignment="1">
      <alignment horizontal="left"/>
    </xf>
    <xf numFmtId="3" fontId="4" fillId="0" borderId="0" xfId="0" applyNumberFormat="1" applyFont="1" applyFill="1"/>
    <xf numFmtId="0" fontId="1" fillId="0" borderId="0" xfId="0" applyFont="1" applyAlignment="1">
      <alignment horizontal="center"/>
    </xf>
    <xf numFmtId="0" fontId="0" fillId="0" borderId="0" xfId="0" applyFont="1" applyAlignment="1">
      <alignment horizontal="center"/>
    </xf>
    <xf numFmtId="169" fontId="5" fillId="0" borderId="0" xfId="0" applyNumberFormat="1" applyFont="1"/>
    <xf numFmtId="0" fontId="0" fillId="0" borderId="0" xfId="0" applyFont="1" applyAlignment="1">
      <alignment horizontal="centerContinuous"/>
    </xf>
    <xf numFmtId="0" fontId="0" fillId="0" borderId="0" xfId="0" applyFont="1" applyBorder="1" applyAlignment="1">
      <alignment horizontal="center"/>
    </xf>
    <xf numFmtId="0" fontId="0" fillId="0" borderId="1" xfId="0" applyFont="1" applyBorder="1" applyAlignment="1">
      <alignment horizontal="center"/>
    </xf>
    <xf numFmtId="42" fontId="0" fillId="0" borderId="0" xfId="0" applyNumberFormat="1" applyFont="1"/>
    <xf numFmtId="44" fontId="0" fillId="0" borderId="0" xfId="0" applyNumberFormat="1" applyFont="1" applyFill="1"/>
    <xf numFmtId="44" fontId="0" fillId="0" borderId="0" xfId="0" applyNumberFormat="1" applyFont="1"/>
    <xf numFmtId="164" fontId="0" fillId="0" borderId="2" xfId="0" applyNumberFormat="1" applyFont="1" applyFill="1" applyBorder="1"/>
    <xf numFmtId="165" fontId="0" fillId="0" borderId="2" xfId="0" applyNumberFormat="1" applyFont="1" applyBorder="1"/>
    <xf numFmtId="42" fontId="0" fillId="0" borderId="2" xfId="0" applyNumberFormat="1" applyFont="1" applyBorder="1"/>
    <xf numFmtId="164" fontId="0" fillId="0" borderId="2" xfId="0" applyNumberFormat="1" applyFont="1" applyBorder="1"/>
    <xf numFmtId="165" fontId="0" fillId="0" borderId="0" xfId="0" applyNumberFormat="1" applyFont="1"/>
    <xf numFmtId="44" fontId="0" fillId="0" borderId="2" xfId="0" applyNumberFormat="1" applyFont="1" applyFill="1" applyBorder="1"/>
    <xf numFmtId="166" fontId="4" fillId="0" borderId="0" xfId="0" applyNumberFormat="1" applyFont="1" applyFill="1"/>
    <xf numFmtId="0" fontId="1" fillId="0" borderId="0" xfId="0" applyFont="1" applyAlignment="1">
      <alignment horizontal="center"/>
    </xf>
    <xf numFmtId="0" fontId="0" fillId="0" borderId="0" xfId="0" applyFont="1" applyAlignment="1">
      <alignment horizontal="center"/>
    </xf>
    <xf numFmtId="0" fontId="0" fillId="0" borderId="0" xfId="0" applyFont="1" applyFill="1" applyAlignment="1">
      <alignment horizontal="center"/>
    </xf>
    <xf numFmtId="3" fontId="0" fillId="0" borderId="0" xfId="0" applyNumberFormat="1" applyFont="1" applyFill="1" applyBorder="1" applyAlignment="1">
      <alignment horizontal="center"/>
    </xf>
    <xf numFmtId="3" fontId="4" fillId="0" borderId="0" xfId="0" applyNumberFormat="1" applyFont="1" applyFill="1" applyAlignment="1">
      <alignment horizontal="center"/>
    </xf>
    <xf numFmtId="10" fontId="0" fillId="0" borderId="0" xfId="0" applyNumberFormat="1" applyFont="1" applyFill="1" applyAlignment="1">
      <alignment horizontal="center"/>
    </xf>
    <xf numFmtId="10" fontId="0" fillId="0" borderId="0" xfId="0" applyNumberFormat="1" applyFont="1" applyFill="1" applyBorder="1" applyAlignment="1">
      <alignment horizontal="center"/>
    </xf>
    <xf numFmtId="0" fontId="15" fillId="0" borderId="0" xfId="0" applyFont="1"/>
    <xf numFmtId="44" fontId="0" fillId="0" borderId="0" xfId="0" applyNumberFormat="1" applyFont="1" applyFill="1" applyAlignment="1">
      <alignment horizontal="center"/>
    </xf>
    <xf numFmtId="44" fontId="0" fillId="0" borderId="0" xfId="0" applyNumberFormat="1" applyFont="1" applyFill="1" applyBorder="1" applyAlignment="1">
      <alignment horizontal="center"/>
    </xf>
    <xf numFmtId="44" fontId="0" fillId="0" borderId="0" xfId="0" applyNumberFormat="1" applyFont="1"/>
    <xf numFmtId="167" fontId="4" fillId="0" borderId="0" xfId="0" applyNumberFormat="1" applyFont="1"/>
    <xf numFmtId="42" fontId="0" fillId="0" borderId="2" xfId="0" applyNumberFormat="1" applyFont="1" applyFill="1" applyBorder="1"/>
    <xf numFmtId="44" fontId="4" fillId="0" borderId="0" xfId="0" applyNumberFormat="1" applyFont="1" applyFill="1" applyBorder="1" applyAlignment="1">
      <alignment horizontal="center"/>
    </xf>
    <xf numFmtId="167" fontId="4" fillId="0" borderId="0" xfId="0" applyNumberFormat="1" applyFont="1"/>
    <xf numFmtId="0" fontId="13" fillId="0" borderId="1" xfId="0" applyFont="1" applyFill="1" applyBorder="1" applyAlignment="1">
      <alignment horizontal="center"/>
    </xf>
    <xf numFmtId="0" fontId="0" fillId="0" borderId="0" xfId="0" applyFont="1" applyFill="1" applyBorder="1" applyAlignment="1">
      <alignment horizontal="left"/>
    </xf>
    <xf numFmtId="0" fontId="14" fillId="0" borderId="0" xfId="0" applyFont="1" applyFill="1" applyBorder="1" applyAlignment="1">
      <alignment horizontal="left"/>
    </xf>
    <xf numFmtId="0" fontId="0" fillId="0" borderId="0" xfId="0" applyFont="1" applyAlignment="1">
      <alignment horizontal="center"/>
    </xf>
    <xf numFmtId="0" fontId="0" fillId="0" borderId="0" xfId="0" applyFont="1" applyAlignment="1">
      <alignment horizontal="center"/>
    </xf>
    <xf numFmtId="0" fontId="2" fillId="0" borderId="0" xfId="0" applyFont="1"/>
    <xf numFmtId="0" fontId="17" fillId="0" borderId="0" xfId="0" applyFont="1" applyFill="1" applyAlignment="1">
      <alignment horizontal="left"/>
    </xf>
    <xf numFmtId="0" fontId="13" fillId="0" borderId="0" xfId="0" applyFont="1" applyAlignment="1">
      <alignment horizontal="center"/>
    </xf>
    <xf numFmtId="0" fontId="0" fillId="0" borderId="0" xfId="0" applyFont="1" applyAlignment="1">
      <alignment vertical="top" wrapText="1"/>
    </xf>
    <xf numFmtId="0" fontId="2" fillId="0" borderId="0" xfId="0" applyFont="1" applyAlignment="1">
      <alignment horizontal="left"/>
    </xf>
    <xf numFmtId="43" fontId="2" fillId="0" borderId="0" xfId="0" applyNumberFormat="1" applyFont="1" applyBorder="1"/>
    <xf numFmtId="0" fontId="18" fillId="0" borderId="0" xfId="0" applyFont="1"/>
    <xf numFmtId="0" fontId="11" fillId="0" borderId="0" xfId="0" applyFont="1"/>
    <xf numFmtId="0" fontId="19" fillId="0" borderId="0" xfId="0" applyFont="1" applyAlignment="1">
      <alignment horizontal="right"/>
    </xf>
    <xf numFmtId="5" fontId="19" fillId="0" borderId="0" xfId="0" applyNumberFormat="1" applyFont="1"/>
    <xf numFmtId="0" fontId="6" fillId="0" borderId="0" xfId="0" applyFont="1" applyFill="1" applyAlignment="1">
      <alignment horizontal="center"/>
    </xf>
    <xf numFmtId="37" fontId="6" fillId="0" borderId="2" xfId="0" applyNumberFormat="1" applyFont="1" applyFill="1" applyBorder="1"/>
    <xf numFmtId="37" fontId="6" fillId="0" borderId="0" xfId="0" applyNumberFormat="1" applyFont="1" applyFill="1"/>
    <xf numFmtId="5" fontId="6" fillId="0" borderId="3" xfId="0" applyNumberFormat="1" applyFont="1" applyFill="1" applyBorder="1"/>
    <xf numFmtId="0" fontId="0" fillId="0" borderId="0" xfId="0" applyFont="1" applyAlignment="1">
      <alignment horizontal="center"/>
    </xf>
    <xf numFmtId="0" fontId="0" fillId="0" borderId="0" xfId="0" applyBorder="1" applyAlignment="1">
      <alignment horizontal="center"/>
    </xf>
    <xf numFmtId="0" fontId="13" fillId="0" borderId="0" xfId="0" applyFont="1" applyBorder="1" applyAlignment="1">
      <alignment horizontal="center"/>
    </xf>
    <xf numFmtId="0" fontId="13" fillId="0" borderId="1" xfId="0" quotePrefix="1" applyFont="1" applyFill="1" applyBorder="1" applyAlignment="1">
      <alignment horizontal="center"/>
    </xf>
    <xf numFmtId="3" fontId="0" fillId="0" borderId="0" xfId="0" applyNumberFormat="1" applyBorder="1" applyAlignment="1">
      <alignment horizontal="center"/>
    </xf>
    <xf numFmtId="42" fontId="0" fillId="0" borderId="0" xfId="0" applyNumberFormat="1" applyBorder="1" applyAlignment="1">
      <alignment horizontal="center"/>
    </xf>
    <xf numFmtId="42" fontId="0" fillId="0" borderId="0" xfId="0" applyNumberFormat="1" applyFont="1" applyBorder="1" applyAlignment="1">
      <alignment horizontal="center"/>
    </xf>
    <xf numFmtId="42" fontId="4" fillId="0" borderId="0" xfId="0" applyNumberFormat="1" applyFont="1"/>
    <xf numFmtId="166" fontId="0" fillId="0" borderId="0" xfId="0" applyNumberFormat="1"/>
    <xf numFmtId="42" fontId="0" fillId="0" borderId="0" xfId="0" applyNumberFormat="1"/>
    <xf numFmtId="42" fontId="5" fillId="0" borderId="0" xfId="0" applyNumberFormat="1" applyFont="1"/>
    <xf numFmtId="10" fontId="0" fillId="0" borderId="0" xfId="0" applyNumberFormat="1" applyFont="1"/>
    <xf numFmtId="42" fontId="13" fillId="0" borderId="0" xfId="0" applyNumberFormat="1" applyFont="1"/>
    <xf numFmtId="166" fontId="0" fillId="0" borderId="1" xfId="0" applyNumberFormat="1" applyBorder="1"/>
    <xf numFmtId="3" fontId="0" fillId="0" borderId="2" xfId="0" applyNumberFormat="1" applyBorder="1"/>
    <xf numFmtId="42" fontId="0" fillId="0" borderId="2" xfId="0" applyNumberFormat="1" applyBorder="1"/>
    <xf numFmtId="42" fontId="5" fillId="0" borderId="2" xfId="0" applyNumberFormat="1" applyFont="1" applyBorder="1"/>
    <xf numFmtId="10" fontId="0" fillId="0" borderId="2" xfId="0" applyNumberFormat="1" applyFont="1" applyBorder="1"/>
    <xf numFmtId="3" fontId="0" fillId="0" borderId="0" xfId="0" applyNumberFormat="1"/>
    <xf numFmtId="10" fontId="0" fillId="0" borderId="0" xfId="0" applyNumberFormat="1"/>
    <xf numFmtId="0" fontId="21" fillId="0" borderId="0" xfId="0" applyFont="1" applyBorder="1" applyAlignment="1">
      <alignment horizontal="left"/>
    </xf>
    <xf numFmtId="0" fontId="22" fillId="0" borderId="0" xfId="0" applyFont="1" applyAlignment="1">
      <alignment horizontal="left"/>
    </xf>
    <xf numFmtId="3" fontId="23" fillId="0" borderId="0" xfId="0" applyNumberFormat="1" applyFont="1" applyBorder="1"/>
    <xf numFmtId="42" fontId="23" fillId="0" borderId="0" xfId="0" applyNumberFormat="1" applyFont="1" applyBorder="1"/>
    <xf numFmtId="0" fontId="23" fillId="0" borderId="0" xfId="0" applyFont="1"/>
    <xf numFmtId="42" fontId="23" fillId="0" borderId="0" xfId="0" applyNumberFormat="1" applyFont="1"/>
    <xf numFmtId="10" fontId="23" fillId="0" borderId="0" xfId="0" applyNumberFormat="1" applyFont="1"/>
    <xf numFmtId="0" fontId="23" fillId="0" borderId="0" xfId="0" applyFont="1" applyAlignment="1">
      <alignment horizontal="left"/>
    </xf>
    <xf numFmtId="0" fontId="23" fillId="0" borderId="0" xfId="0" applyFont="1" applyAlignment="1">
      <alignment horizontal="center"/>
    </xf>
    <xf numFmtId="164" fontId="23" fillId="0" borderId="0" xfId="0" applyNumberFormat="1" applyFont="1" applyFill="1"/>
    <xf numFmtId="167" fontId="23" fillId="0" borderId="0" xfId="0" applyNumberFormat="1" applyFont="1" applyFill="1"/>
    <xf numFmtId="0" fontId="23" fillId="0" borderId="0" xfId="0" applyFont="1" applyFill="1" applyBorder="1" applyAlignment="1">
      <alignment horizontal="left"/>
    </xf>
    <xf numFmtId="0" fontId="23" fillId="0" borderId="0" xfId="0" applyFont="1" applyBorder="1" applyAlignment="1">
      <alignment horizontal="left"/>
    </xf>
    <xf numFmtId="164" fontId="23" fillId="0" borderId="2" xfId="0" applyNumberFormat="1" applyFont="1" applyFill="1" applyBorder="1"/>
    <xf numFmtId="167" fontId="23" fillId="0" borderId="2" xfId="0" applyNumberFormat="1" applyFont="1" applyFill="1" applyBorder="1"/>
    <xf numFmtId="166" fontId="0" fillId="0" borderId="2" xfId="0" applyNumberFormat="1" applyBorder="1"/>
    <xf numFmtId="0" fontId="23" fillId="0" borderId="0" xfId="0" applyFont="1" applyFill="1"/>
    <xf numFmtId="0" fontId="23" fillId="0" borderId="0" xfId="0" applyFont="1" applyBorder="1"/>
    <xf numFmtId="44" fontId="23" fillId="0" borderId="0" xfId="0" applyNumberFormat="1" applyFont="1"/>
    <xf numFmtId="0" fontId="5" fillId="0" borderId="0" xfId="0" applyFont="1" applyFill="1" applyAlignment="1">
      <alignment horizontal="centerContinuous"/>
    </xf>
    <xf numFmtId="0" fontId="5" fillId="0" borderId="0" xfId="0" applyFont="1"/>
    <xf numFmtId="0" fontId="5" fillId="0" borderId="0" xfId="0" applyFont="1" applyAlignment="1">
      <alignment horizontal="centerContinuous"/>
    </xf>
    <xf numFmtId="0" fontId="5" fillId="0" borderId="0" xfId="0" applyFont="1" applyBorder="1"/>
    <xf numFmtId="0" fontId="5" fillId="0" borderId="0" xfId="0" applyFont="1" applyBorder="1" applyAlignment="1">
      <alignment horizontal="centerContinuous"/>
    </xf>
    <xf numFmtId="0" fontId="5" fillId="0" borderId="1" xfId="0" applyFont="1" applyBorder="1" applyAlignment="1">
      <alignment horizontal="centerContinuous"/>
    </xf>
    <xf numFmtId="0" fontId="5" fillId="0" borderId="0" xfId="0" applyFont="1" applyBorder="1" applyAlignment="1">
      <alignment horizontal="left"/>
    </xf>
    <xf numFmtId="0" fontId="5" fillId="0" borderId="1" xfId="0" applyFont="1" applyBorder="1" applyAlignment="1">
      <alignment horizontal="center"/>
    </xf>
    <xf numFmtId="0" fontId="5" fillId="0" borderId="0" xfId="0" applyFont="1" applyBorder="1" applyAlignment="1">
      <alignment horizontal="center"/>
    </xf>
    <xf numFmtId="0" fontId="25" fillId="0" borderId="0" xfId="0" applyFont="1"/>
    <xf numFmtId="170" fontId="5" fillId="0" borderId="0" xfId="0" applyNumberFormat="1" applyFont="1"/>
    <xf numFmtId="0" fontId="25" fillId="0" borderId="0" xfId="0" applyFont="1" applyBorder="1"/>
    <xf numFmtId="44" fontId="4" fillId="0" borderId="0" xfId="0" applyNumberFormat="1" applyFont="1"/>
    <xf numFmtId="44" fontId="25" fillId="0" borderId="0" xfId="0" applyNumberFormat="1" applyFont="1" applyBorder="1"/>
    <xf numFmtId="44" fontId="5" fillId="0" borderId="0" xfId="0" applyNumberFormat="1" applyFont="1"/>
    <xf numFmtId="44" fontId="5" fillId="0" borderId="2" xfId="0" applyNumberFormat="1" applyFont="1" applyBorder="1"/>
    <xf numFmtId="44" fontId="5" fillId="0" borderId="0" xfId="0" applyNumberFormat="1" applyFont="1" applyBorder="1"/>
    <xf numFmtId="44" fontId="25" fillId="0" borderId="0" xfId="0" applyNumberFormat="1" applyFont="1"/>
    <xf numFmtId="171" fontId="4" fillId="0" borderId="0" xfId="0" applyNumberFormat="1" applyFont="1"/>
    <xf numFmtId="171" fontId="25" fillId="0" borderId="0" xfId="0" applyNumberFormat="1" applyFont="1" applyBorder="1"/>
    <xf numFmtId="171" fontId="5" fillId="0" borderId="0" xfId="0" applyNumberFormat="1" applyFont="1"/>
    <xf numFmtId="171" fontId="0" fillId="0" borderId="0" xfId="0" applyNumberFormat="1" applyFont="1"/>
    <xf numFmtId="171" fontId="5" fillId="0" borderId="2" xfId="0" applyNumberFormat="1" applyFont="1" applyBorder="1"/>
    <xf numFmtId="170" fontId="5" fillId="0" borderId="2" xfId="0" applyNumberFormat="1" applyFont="1" applyBorder="1"/>
    <xf numFmtId="171" fontId="5" fillId="0" borderId="0" xfId="0" applyNumberFormat="1" applyFont="1" applyBorder="1"/>
    <xf numFmtId="165" fontId="5" fillId="0" borderId="0" xfId="0" applyNumberFormat="1" applyFont="1" applyBorder="1"/>
    <xf numFmtId="10" fontId="5" fillId="0" borderId="0" xfId="0" applyNumberFormat="1" applyFont="1"/>
    <xf numFmtId="0" fontId="5" fillId="0" borderId="0" xfId="0" applyFont="1" applyFill="1" applyAlignment="1"/>
    <xf numFmtId="0" fontId="5" fillId="0" borderId="0" xfId="0" applyFont="1" applyAlignment="1"/>
    <xf numFmtId="0" fontId="26" fillId="0" borderId="0" xfId="0" applyFont="1" applyAlignment="1">
      <alignment horizontal="centerContinuous"/>
    </xf>
    <xf numFmtId="0" fontId="26" fillId="0" borderId="0" xfId="0" applyFont="1"/>
    <xf numFmtId="0" fontId="0" fillId="0" borderId="0" xfId="0" applyFont="1" applyBorder="1"/>
    <xf numFmtId="0" fontId="15" fillId="0" borderId="0" xfId="0" applyFont="1" applyBorder="1" applyAlignment="1">
      <alignment horizontal="center"/>
    </xf>
    <xf numFmtId="166" fontId="13" fillId="0" borderId="0" xfId="0" applyNumberFormat="1" applyFont="1"/>
    <xf numFmtId="166" fontId="0" fillId="0" borderId="0" xfId="0" applyNumberFormat="1" applyFont="1"/>
    <xf numFmtId="166" fontId="4" fillId="0" borderId="0" xfId="0" applyNumberFormat="1" applyFont="1"/>
    <xf numFmtId="42" fontId="15" fillId="0" borderId="0" xfId="0" applyNumberFormat="1" applyFont="1" applyBorder="1" applyAlignment="1">
      <alignment horizontal="center"/>
    </xf>
    <xf numFmtId="3" fontId="0" fillId="0" borderId="0" xfId="0" applyNumberFormat="1" applyFont="1" applyBorder="1"/>
    <xf numFmtId="0" fontId="0" fillId="0" borderId="0" xfId="0" quotePrefix="1" applyFont="1"/>
    <xf numFmtId="0" fontId="3" fillId="0" borderId="0" xfId="0" applyFont="1"/>
    <xf numFmtId="0" fontId="14" fillId="0" borderId="0" xfId="0" applyFont="1"/>
    <xf numFmtId="44" fontId="13" fillId="0" borderId="0" xfId="0" applyNumberFormat="1" applyFont="1"/>
    <xf numFmtId="0" fontId="15" fillId="0" borderId="5" xfId="0" applyFont="1" applyBorder="1"/>
    <xf numFmtId="42" fontId="15" fillId="0" borderId="5" xfId="0" applyNumberFormat="1" applyFont="1" applyBorder="1"/>
    <xf numFmtId="165" fontId="15" fillId="0" borderId="5" xfId="0" applyNumberFormat="1" applyFont="1" applyBorder="1"/>
    <xf numFmtId="3" fontId="13" fillId="0" borderId="0" xfId="0" applyNumberFormat="1" applyFont="1"/>
    <xf numFmtId="171" fontId="13" fillId="0" borderId="0" xfId="0" applyNumberFormat="1" applyFont="1"/>
    <xf numFmtId="171" fontId="13" fillId="0" borderId="0" xfId="0" applyNumberFormat="1" applyFont="1" applyFill="1"/>
    <xf numFmtId="0" fontId="0" fillId="0" borderId="0" xfId="0" applyFont="1" applyAlignment="1">
      <alignment horizontal="center"/>
    </xf>
    <xf numFmtId="17" fontId="13" fillId="0" borderId="0" xfId="0" applyNumberFormat="1" applyFont="1" applyFill="1" applyBorder="1" applyAlignment="1">
      <alignment horizontal="center"/>
    </xf>
    <xf numFmtId="17" fontId="0" fillId="0" borderId="0" xfId="0" applyNumberFormat="1" applyFont="1" applyFill="1" applyBorder="1" applyAlignment="1">
      <alignment horizontal="center"/>
    </xf>
    <xf numFmtId="5" fontId="0" fillId="0" borderId="0" xfId="0" applyNumberFormat="1"/>
    <xf numFmtId="37" fontId="0" fillId="0" borderId="0" xfId="0" applyNumberFormat="1"/>
    <xf numFmtId="0" fontId="0" fillId="0" borderId="1" xfId="0" applyFill="1" applyBorder="1" applyAlignment="1">
      <alignment horizontal="center"/>
    </xf>
    <xf numFmtId="164" fontId="4" fillId="0" borderId="0" xfId="0" applyNumberFormat="1" applyFont="1" applyAlignment="1">
      <alignment horizontal="left"/>
    </xf>
    <xf numFmtId="42" fontId="4" fillId="0" borderId="0" xfId="0" applyNumberFormat="1" applyFont="1" applyAlignment="1">
      <alignment horizontal="left"/>
    </xf>
    <xf numFmtId="166" fontId="1" fillId="0" borderId="0" xfId="0" applyNumberFormat="1" applyFont="1"/>
    <xf numFmtId="167" fontId="4" fillId="0" borderId="0" xfId="0" applyNumberFormat="1" applyFont="1" applyBorder="1"/>
    <xf numFmtId="10" fontId="2" fillId="0" borderId="0" xfId="0" applyNumberFormat="1" applyFont="1"/>
    <xf numFmtId="166" fontId="0" fillId="0" borderId="0" xfId="0" applyNumberFormat="1" applyBorder="1"/>
    <xf numFmtId="0" fontId="0" fillId="0" borderId="0" xfId="0" applyBorder="1"/>
    <xf numFmtId="164" fontId="0" fillId="0" borderId="2" xfId="0" applyNumberFormat="1" applyBorder="1"/>
    <xf numFmtId="166" fontId="0" fillId="0" borderId="2" xfId="0" applyNumberFormat="1" applyFont="1" applyBorder="1"/>
    <xf numFmtId="167" fontId="0" fillId="0" borderId="0" xfId="0" applyNumberFormat="1" applyFont="1" applyBorder="1"/>
    <xf numFmtId="42" fontId="0" fillId="0" borderId="0" xfId="0" applyNumberFormat="1" applyBorder="1"/>
    <xf numFmtId="3" fontId="23" fillId="0" borderId="0" xfId="0" applyNumberFormat="1" applyFont="1" applyFill="1" applyBorder="1"/>
    <xf numFmtId="167" fontId="23" fillId="0" borderId="0" xfId="0" applyNumberFormat="1" applyFont="1" applyFill="1" applyBorder="1"/>
    <xf numFmtId="171" fontId="23" fillId="0" borderId="0" xfId="0" applyNumberFormat="1" applyFont="1" applyFill="1" applyBorder="1"/>
    <xf numFmtId="171" fontId="27" fillId="0" borderId="0" xfId="0" applyNumberFormat="1" applyFont="1" applyFill="1" applyBorder="1"/>
    <xf numFmtId="43" fontId="2" fillId="0" borderId="0" xfId="0" applyNumberFormat="1" applyFont="1"/>
    <xf numFmtId="167" fontId="0" fillId="0" borderId="0" xfId="0" applyNumberFormat="1" applyFont="1"/>
    <xf numFmtId="167" fontId="23" fillId="0" borderId="0" xfId="0" applyNumberFormat="1" applyFont="1" applyBorder="1"/>
    <xf numFmtId="42" fontId="27" fillId="0" borderId="0" xfId="0" applyNumberFormat="1" applyFont="1" applyBorder="1"/>
    <xf numFmtId="166" fontId="23" fillId="0" borderId="0" xfId="0" applyNumberFormat="1" applyFont="1" applyFill="1"/>
    <xf numFmtId="0" fontId="23" fillId="0" borderId="0" xfId="0" applyFont="1" applyFill="1" applyBorder="1"/>
    <xf numFmtId="0" fontId="23" fillId="0" borderId="0" xfId="0" applyFont="1" applyFill="1" applyBorder="1" applyAlignment="1">
      <alignment horizontal="left" vertical="center" textRotation="180"/>
    </xf>
    <xf numFmtId="164" fontId="23" fillId="0" borderId="2" xfId="0" applyNumberFormat="1" applyFont="1" applyBorder="1" applyAlignment="1">
      <alignment horizontal="left"/>
    </xf>
    <xf numFmtId="167" fontId="23" fillId="0" borderId="2" xfId="0" applyNumberFormat="1" applyFont="1" applyBorder="1" applyAlignment="1">
      <alignment horizontal="left"/>
    </xf>
    <xf numFmtId="166" fontId="23" fillId="0" borderId="2" xfId="0" applyNumberFormat="1" applyFont="1" applyFill="1" applyBorder="1"/>
    <xf numFmtId="167" fontId="27" fillId="0" borderId="0" xfId="0" applyNumberFormat="1" applyFont="1" applyFill="1"/>
    <xf numFmtId="0" fontId="0" fillId="0" borderId="0" xfId="0" quotePrefix="1"/>
    <xf numFmtId="164" fontId="4" fillId="0" borderId="0" xfId="0" applyNumberFormat="1" applyFont="1"/>
    <xf numFmtId="0" fontId="0" fillId="0" borderId="0" xfId="0" applyFont="1" applyAlignment="1">
      <alignment horizontal="center"/>
    </xf>
    <xf numFmtId="0" fontId="1" fillId="0" borderId="0" xfId="0" applyFont="1" applyAlignment="1">
      <alignment horizontal="center"/>
    </xf>
    <xf numFmtId="0" fontId="0" fillId="0" borderId="0" xfId="0" applyFont="1" applyFill="1" applyAlignment="1">
      <alignment horizontal="center"/>
    </xf>
    <xf numFmtId="0" fontId="0" fillId="0" borderId="0" xfId="0" applyFont="1" applyAlignment="1">
      <alignment horizontal="center"/>
    </xf>
    <xf numFmtId="0" fontId="1" fillId="0" borderId="0" xfId="0" applyFont="1" applyAlignment="1">
      <alignment horizontal="center"/>
    </xf>
    <xf numFmtId="0" fontId="0" fillId="0" borderId="0" xfId="0" applyFont="1" applyFill="1" applyAlignment="1">
      <alignment horizontal="center"/>
    </xf>
    <xf numFmtId="43" fontId="4" fillId="0" borderId="0" xfId="0" applyNumberFormat="1" applyFont="1" applyFill="1"/>
    <xf numFmtId="164" fontId="6" fillId="0" borderId="0" xfId="0" applyNumberFormat="1" applyFont="1" applyAlignment="1">
      <alignment horizontal="center"/>
    </xf>
    <xf numFmtId="0" fontId="5"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3" fontId="4" fillId="0" borderId="0" xfId="0" applyNumberFormat="1" applyFont="1"/>
    <xf numFmtId="171" fontId="4" fillId="0" borderId="0" xfId="0" applyNumberFormat="1" applyFont="1" applyFill="1"/>
    <xf numFmtId="0" fontId="4" fillId="0" borderId="1" xfId="0" applyFont="1" applyFill="1" applyBorder="1" applyAlignment="1">
      <alignment horizontal="center"/>
    </xf>
    <xf numFmtId="167" fontId="15" fillId="0" borderId="5" xfId="1" applyNumberFormat="1" applyFont="1" applyBorder="1"/>
    <xf numFmtId="0" fontId="2" fillId="0" borderId="0" xfId="0" applyFont="1" applyAlignment="1">
      <alignment horizontal="center"/>
    </xf>
    <xf numFmtId="0" fontId="29" fillId="0" borderId="0" xfId="0" applyFont="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0" fontId="0" fillId="0" borderId="0" xfId="0" applyFont="1" applyAlignment="1">
      <alignment horizontal="center"/>
    </xf>
    <xf numFmtId="0" fontId="15" fillId="0" borderId="0" xfId="0" applyFont="1" applyAlignment="1">
      <alignment horizontal="center"/>
    </xf>
    <xf numFmtId="0" fontId="1" fillId="0" borderId="0" xfId="0" applyFont="1" applyAlignment="1">
      <alignment horizontal="center"/>
    </xf>
    <xf numFmtId="0" fontId="0" fillId="0" borderId="0" xfId="0" applyFont="1" applyAlignment="1">
      <alignment horizontal="left" vertical="top" wrapText="1"/>
    </xf>
    <xf numFmtId="0" fontId="5"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0" xfId="0" applyFont="1" applyFill="1" applyAlignment="1">
      <alignment horizontal="center"/>
    </xf>
    <xf numFmtId="17" fontId="0" fillId="0" borderId="0" xfId="0" applyNumberFormat="1"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0000FF"/>
      <color rgb="FF00808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tabSelected="1" topLeftCell="A64" zoomScale="90" zoomScaleNormal="90" workbookViewId="0">
      <selection activeCell="A103" sqref="A103"/>
    </sheetView>
  </sheetViews>
  <sheetFormatPr defaultColWidth="8.7109375" defaultRowHeight="15" x14ac:dyDescent="0.25"/>
  <cols>
    <col min="1" max="1" width="45" style="39" bestFit="1" customWidth="1"/>
    <col min="2" max="2" width="9.140625" style="39" bestFit="1" customWidth="1"/>
    <col min="3" max="8" width="13.7109375" style="39" customWidth="1"/>
    <col min="9" max="16384" width="8.7109375" style="39"/>
  </cols>
  <sheetData>
    <row r="1" spans="1:16" s="145" customFormat="1" x14ac:dyDescent="0.25">
      <c r="A1" s="246" t="s">
        <v>0</v>
      </c>
      <c r="B1" s="246"/>
      <c r="C1" s="246"/>
      <c r="D1" s="246"/>
      <c r="E1" s="246"/>
      <c r="F1" s="246"/>
      <c r="G1" s="246"/>
      <c r="H1" s="246"/>
    </row>
    <row r="2" spans="1:16" s="145" customFormat="1" x14ac:dyDescent="0.25">
      <c r="A2" s="246" t="s">
        <v>243</v>
      </c>
      <c r="B2" s="247"/>
      <c r="C2" s="247"/>
      <c r="D2" s="247"/>
      <c r="E2" s="247"/>
      <c r="F2" s="247"/>
      <c r="G2" s="247"/>
      <c r="H2" s="247"/>
      <c r="I2" s="174"/>
      <c r="J2" s="174"/>
      <c r="K2" s="174"/>
      <c r="L2" s="174"/>
      <c r="M2" s="174"/>
      <c r="N2" s="174"/>
      <c r="O2" s="174"/>
      <c r="P2" s="174"/>
    </row>
    <row r="3" spans="1:16" s="145" customFormat="1" x14ac:dyDescent="0.25">
      <c r="A3" s="246" t="s">
        <v>244</v>
      </c>
      <c r="B3" s="246"/>
      <c r="C3" s="246"/>
      <c r="D3" s="246"/>
      <c r="E3" s="246"/>
      <c r="F3" s="246"/>
      <c r="G3" s="246"/>
      <c r="H3" s="246"/>
    </row>
    <row r="4" spans="1:16" s="145" customFormat="1" x14ac:dyDescent="0.25">
      <c r="A4" s="246" t="s">
        <v>260</v>
      </c>
      <c r="B4" s="246"/>
      <c r="C4" s="246"/>
      <c r="D4" s="246"/>
      <c r="E4" s="246"/>
      <c r="F4" s="246"/>
      <c r="G4" s="246"/>
      <c r="H4" s="246"/>
    </row>
    <row r="5" spans="1:16" x14ac:dyDescent="0.25">
      <c r="E5" s="192"/>
      <c r="F5" s="192"/>
      <c r="G5" s="192"/>
      <c r="H5" s="192"/>
    </row>
    <row r="6" spans="1:16" x14ac:dyDescent="0.25">
      <c r="A6" s="184" t="s">
        <v>257</v>
      </c>
      <c r="C6" s="243" t="s">
        <v>240</v>
      </c>
      <c r="D6" s="244"/>
      <c r="E6" s="245"/>
      <c r="F6" s="243" t="s">
        <v>241</v>
      </c>
      <c r="G6" s="244"/>
      <c r="H6" s="245"/>
    </row>
    <row r="7" spans="1:16" x14ac:dyDescent="0.25">
      <c r="A7" s="59"/>
      <c r="B7" s="59"/>
      <c r="C7" s="59" t="s">
        <v>5</v>
      </c>
      <c r="D7" s="59" t="s">
        <v>5</v>
      </c>
      <c r="E7" s="59" t="s">
        <v>2</v>
      </c>
      <c r="F7" s="59" t="s">
        <v>5</v>
      </c>
      <c r="G7" s="59" t="s">
        <v>5</v>
      </c>
      <c r="H7" s="59" t="s">
        <v>2</v>
      </c>
      <c r="M7" s="175"/>
      <c r="N7" s="175"/>
      <c r="O7" s="175"/>
    </row>
    <row r="8" spans="1:16" x14ac:dyDescent="0.25">
      <c r="A8" s="59"/>
      <c r="B8" s="59" t="s">
        <v>123</v>
      </c>
      <c r="C8" s="59" t="s">
        <v>93</v>
      </c>
      <c r="D8" s="59" t="s">
        <v>219</v>
      </c>
      <c r="E8" s="59" t="s">
        <v>217</v>
      </c>
      <c r="F8" s="59" t="s">
        <v>93</v>
      </c>
      <c r="G8" s="59" t="s">
        <v>219</v>
      </c>
      <c r="H8" s="59" t="s">
        <v>217</v>
      </c>
      <c r="M8" s="175"/>
      <c r="N8" s="175"/>
      <c r="O8" s="175"/>
    </row>
    <row r="9" spans="1:16" x14ac:dyDescent="0.25">
      <c r="A9" s="60" t="s">
        <v>7</v>
      </c>
      <c r="B9" s="60" t="s">
        <v>141</v>
      </c>
      <c r="C9" s="46" t="s">
        <v>190</v>
      </c>
      <c r="D9" s="46" t="s">
        <v>190</v>
      </c>
      <c r="E9" s="60" t="s">
        <v>190</v>
      </c>
      <c r="F9" s="46" t="s">
        <v>190</v>
      </c>
      <c r="G9" s="46" t="s">
        <v>190</v>
      </c>
      <c r="H9" s="60" t="s">
        <v>190</v>
      </c>
      <c r="M9" s="175"/>
      <c r="N9" s="176"/>
      <c r="O9" s="175"/>
    </row>
    <row r="10" spans="1:16" x14ac:dyDescent="0.25">
      <c r="A10" s="39" t="s">
        <v>19</v>
      </c>
      <c r="B10" s="192">
        <v>23</v>
      </c>
      <c r="C10" s="177">
        <v>0.24697</v>
      </c>
      <c r="D10" s="177">
        <v>0.16566</v>
      </c>
      <c r="E10" s="178">
        <f>SUM(C10:D10)</f>
        <v>0.41263</v>
      </c>
      <c r="F10" s="179">
        <f>'Sch. 111 Charge Rates'!G11</f>
        <v>0.23183000000000001</v>
      </c>
      <c r="G10" s="177">
        <v>0.16491</v>
      </c>
      <c r="H10" s="178">
        <f>SUM(F10:G10)</f>
        <v>0.39673999999999998</v>
      </c>
      <c r="M10" s="175"/>
      <c r="N10" s="180"/>
      <c r="O10" s="175"/>
    </row>
    <row r="11" spans="1:16" x14ac:dyDescent="0.25">
      <c r="A11" s="39" t="s">
        <v>258</v>
      </c>
      <c r="B11" s="192">
        <v>16</v>
      </c>
      <c r="C11" s="185">
        <v>4.6900000000000004</v>
      </c>
      <c r="D11" s="185">
        <v>3.15</v>
      </c>
      <c r="E11" s="81">
        <f t="shared" ref="E11:E22" si="0">SUM(C11:D11)</f>
        <v>7.84</v>
      </c>
      <c r="F11" s="156">
        <f>'Sch. 111 Charge Rates'!H12</f>
        <v>4.4000000000000004</v>
      </c>
      <c r="G11" s="177">
        <v>3.13</v>
      </c>
      <c r="H11" s="81">
        <f t="shared" ref="H11:H22" si="1">SUM(F11:G11)</f>
        <v>7.53</v>
      </c>
      <c r="M11" s="175"/>
      <c r="N11" s="175"/>
      <c r="O11" s="175"/>
    </row>
    <row r="12" spans="1:16" x14ac:dyDescent="0.25">
      <c r="A12" s="39" t="s">
        <v>21</v>
      </c>
      <c r="B12" s="192">
        <v>31</v>
      </c>
      <c r="C12" s="177">
        <v>0.24697</v>
      </c>
      <c r="D12" s="177">
        <v>0.16566</v>
      </c>
      <c r="E12" s="178">
        <f t="shared" si="0"/>
        <v>0.41263</v>
      </c>
      <c r="F12" s="179">
        <f>'Sch. 111 Charge Rates'!G13</f>
        <v>0.23183000000000001</v>
      </c>
      <c r="G12" s="177">
        <v>0.16491</v>
      </c>
      <c r="H12" s="178">
        <f t="shared" si="1"/>
        <v>0.39673999999999998</v>
      </c>
      <c r="M12" s="175"/>
      <c r="N12" s="175"/>
      <c r="O12" s="175"/>
    </row>
    <row r="13" spans="1:16" x14ac:dyDescent="0.25">
      <c r="A13" s="39" t="s">
        <v>22</v>
      </c>
      <c r="B13" s="192">
        <v>41</v>
      </c>
      <c r="C13" s="177">
        <v>0.24697</v>
      </c>
      <c r="D13" s="177">
        <v>0.16566</v>
      </c>
      <c r="E13" s="178">
        <f t="shared" si="0"/>
        <v>0.41263</v>
      </c>
      <c r="F13" s="179">
        <f>'Sch. 111 Charge Rates'!G14</f>
        <v>0.23183000000000001</v>
      </c>
      <c r="G13" s="177">
        <v>0.16491</v>
      </c>
      <c r="H13" s="178">
        <f t="shared" si="1"/>
        <v>0.39673999999999998</v>
      </c>
    </row>
    <row r="14" spans="1:16" x14ac:dyDescent="0.25">
      <c r="A14" s="39" t="s">
        <v>23</v>
      </c>
      <c r="B14" s="192">
        <v>85</v>
      </c>
      <c r="C14" s="177">
        <v>0.24697</v>
      </c>
      <c r="D14" s="177">
        <v>0.16566</v>
      </c>
      <c r="E14" s="178">
        <f t="shared" si="0"/>
        <v>0.41263</v>
      </c>
      <c r="F14" s="179">
        <f>'Sch. 111 Charge Rates'!G15</f>
        <v>0.23183000000000001</v>
      </c>
      <c r="G14" s="177">
        <v>0.16491</v>
      </c>
      <c r="H14" s="178">
        <f t="shared" si="1"/>
        <v>0.39673999999999998</v>
      </c>
    </row>
    <row r="15" spans="1:16" x14ac:dyDescent="0.25">
      <c r="A15" s="39" t="s">
        <v>24</v>
      </c>
      <c r="B15" s="192">
        <v>86</v>
      </c>
      <c r="C15" s="177">
        <v>0.24697</v>
      </c>
      <c r="D15" s="177">
        <v>0.16566</v>
      </c>
      <c r="E15" s="178">
        <f t="shared" si="0"/>
        <v>0.41263</v>
      </c>
      <c r="F15" s="179">
        <f>'Sch. 111 Charge Rates'!G16</f>
        <v>0.23183000000000001</v>
      </c>
      <c r="G15" s="177">
        <v>0.16491</v>
      </c>
      <c r="H15" s="178">
        <f t="shared" si="1"/>
        <v>0.39673999999999998</v>
      </c>
    </row>
    <row r="16" spans="1:16" x14ac:dyDescent="0.25">
      <c r="A16" s="39" t="s">
        <v>25</v>
      </c>
      <c r="B16" s="192">
        <v>87</v>
      </c>
      <c r="C16" s="177">
        <v>0.24697</v>
      </c>
      <c r="D16" s="177">
        <v>0.16566</v>
      </c>
      <c r="E16" s="178">
        <f t="shared" si="0"/>
        <v>0.41263</v>
      </c>
      <c r="F16" s="179">
        <f>'Sch. 111 Charge Rates'!G17</f>
        <v>0.23183000000000001</v>
      </c>
      <c r="G16" s="177">
        <v>0.16491</v>
      </c>
      <c r="H16" s="178">
        <f t="shared" si="1"/>
        <v>0.39673999999999998</v>
      </c>
    </row>
    <row r="17" spans="1:8" x14ac:dyDescent="0.25">
      <c r="A17" s="39" t="s">
        <v>26</v>
      </c>
      <c r="B17" s="192" t="s">
        <v>27</v>
      </c>
      <c r="C17" s="177">
        <v>0.24697</v>
      </c>
      <c r="D17" s="177">
        <v>0.16566</v>
      </c>
      <c r="E17" s="178">
        <f t="shared" si="0"/>
        <v>0.41263</v>
      </c>
      <c r="F17" s="179">
        <f>'Sch. 111 Charge Rates'!G18</f>
        <v>0.23183000000000001</v>
      </c>
      <c r="G17" s="177">
        <v>0.16491</v>
      </c>
      <c r="H17" s="178">
        <f t="shared" si="1"/>
        <v>0.39673999999999998</v>
      </c>
    </row>
    <row r="18" spans="1:8" x14ac:dyDescent="0.25">
      <c r="A18" s="39" t="s">
        <v>28</v>
      </c>
      <c r="B18" s="192" t="s">
        <v>29</v>
      </c>
      <c r="C18" s="177">
        <v>0.24697</v>
      </c>
      <c r="D18" s="177">
        <v>0.16566</v>
      </c>
      <c r="E18" s="178">
        <f t="shared" si="0"/>
        <v>0.41263</v>
      </c>
      <c r="F18" s="179">
        <f>'Sch. 111 Charge Rates'!G19</f>
        <v>0.23183000000000001</v>
      </c>
      <c r="G18" s="177">
        <v>0.16491</v>
      </c>
      <c r="H18" s="178">
        <f t="shared" si="1"/>
        <v>0.39673999999999998</v>
      </c>
    </row>
    <row r="19" spans="1:8" x14ac:dyDescent="0.25">
      <c r="A19" s="39" t="s">
        <v>30</v>
      </c>
      <c r="B19" s="192" t="s">
        <v>31</v>
      </c>
      <c r="C19" s="177">
        <v>0.24697</v>
      </c>
      <c r="D19" s="177">
        <v>0.16566</v>
      </c>
      <c r="E19" s="178">
        <f t="shared" si="0"/>
        <v>0.41263</v>
      </c>
      <c r="F19" s="179">
        <f>'Sch. 111 Charge Rates'!G20</f>
        <v>0.23183000000000001</v>
      </c>
      <c r="G19" s="177">
        <v>0.16491</v>
      </c>
      <c r="H19" s="178">
        <f t="shared" si="1"/>
        <v>0.39673999999999998</v>
      </c>
    </row>
    <row r="20" spans="1:8" x14ac:dyDescent="0.25">
      <c r="A20" s="39" t="s">
        <v>32</v>
      </c>
      <c r="B20" s="192" t="s">
        <v>33</v>
      </c>
      <c r="C20" s="177">
        <v>0.24697</v>
      </c>
      <c r="D20" s="177">
        <v>0.16566</v>
      </c>
      <c r="E20" s="178">
        <f t="shared" si="0"/>
        <v>0.41263</v>
      </c>
      <c r="F20" s="179">
        <f>'Sch. 111 Charge Rates'!G21</f>
        <v>0.23183000000000001</v>
      </c>
      <c r="G20" s="177">
        <v>0.16491</v>
      </c>
      <c r="H20" s="178">
        <f t="shared" si="1"/>
        <v>0.39673999999999998</v>
      </c>
    </row>
    <row r="21" spans="1:8" x14ac:dyDescent="0.25">
      <c r="A21" s="39" t="s">
        <v>34</v>
      </c>
      <c r="B21" s="241" t="s">
        <v>294</v>
      </c>
      <c r="C21" s="177">
        <v>0.24697</v>
      </c>
      <c r="D21" s="177">
        <v>0.16566</v>
      </c>
      <c r="E21" s="178">
        <f t="shared" si="0"/>
        <v>0.41263</v>
      </c>
      <c r="F21" s="179">
        <f>'Sch. 111 Charge Rates'!G22</f>
        <v>0.23183000000000001</v>
      </c>
      <c r="G21" s="177">
        <v>0.16491</v>
      </c>
      <c r="H21" s="178">
        <f t="shared" si="1"/>
        <v>0.39673999999999998</v>
      </c>
    </row>
    <row r="22" spans="1:8" x14ac:dyDescent="0.25">
      <c r="A22" s="39" t="s">
        <v>36</v>
      </c>
      <c r="B22" s="192"/>
      <c r="C22" s="177">
        <v>0.24697</v>
      </c>
      <c r="D22" s="177">
        <v>0.16566</v>
      </c>
      <c r="E22" s="178">
        <f t="shared" si="0"/>
        <v>0.41263</v>
      </c>
      <c r="F22" s="179">
        <f>'Sch. 111 Charge Rates'!G23</f>
        <v>0.23183000000000001</v>
      </c>
      <c r="G22" s="177">
        <v>0.16491</v>
      </c>
      <c r="H22" s="178">
        <f t="shared" si="1"/>
        <v>0.39673999999999998</v>
      </c>
    </row>
    <row r="23" spans="1:8" x14ac:dyDescent="0.25">
      <c r="C23" s="181"/>
      <c r="D23" s="181"/>
      <c r="E23" s="178"/>
      <c r="F23" s="178"/>
      <c r="G23" s="178"/>
      <c r="H23" s="178"/>
    </row>
    <row r="24" spans="1:8" x14ac:dyDescent="0.25">
      <c r="A24" s="184" t="s">
        <v>220</v>
      </c>
      <c r="C24" s="243" t="s">
        <v>245</v>
      </c>
      <c r="D24" s="244"/>
      <c r="E24" s="245"/>
      <c r="F24" s="243" t="s">
        <v>246</v>
      </c>
      <c r="G24" s="244"/>
      <c r="H24" s="245"/>
    </row>
    <row r="25" spans="1:8" x14ac:dyDescent="0.25">
      <c r="A25" s="59"/>
      <c r="B25" s="59"/>
      <c r="C25" s="59" t="s">
        <v>217</v>
      </c>
      <c r="D25" s="59" t="s">
        <v>217</v>
      </c>
      <c r="E25" s="59" t="s">
        <v>2</v>
      </c>
      <c r="F25" s="59" t="s">
        <v>217</v>
      </c>
      <c r="G25" s="59" t="s">
        <v>217</v>
      </c>
      <c r="H25" s="59" t="s">
        <v>2</v>
      </c>
    </row>
    <row r="26" spans="1:8" x14ac:dyDescent="0.25">
      <c r="A26" s="59"/>
      <c r="B26" s="59" t="s">
        <v>123</v>
      </c>
      <c r="C26" s="59" t="s">
        <v>93</v>
      </c>
      <c r="D26" s="59" t="s">
        <v>219</v>
      </c>
      <c r="E26" s="59" t="s">
        <v>217</v>
      </c>
      <c r="F26" s="59" t="s">
        <v>93</v>
      </c>
      <c r="G26" s="59" t="s">
        <v>219</v>
      </c>
      <c r="H26" s="59" t="s">
        <v>217</v>
      </c>
    </row>
    <row r="27" spans="1:8" x14ac:dyDescent="0.25">
      <c r="A27" s="60" t="s">
        <v>7</v>
      </c>
      <c r="B27" s="60" t="s">
        <v>141</v>
      </c>
      <c r="C27" s="60" t="s">
        <v>296</v>
      </c>
      <c r="D27" s="60" t="s">
        <v>223</v>
      </c>
      <c r="E27" s="60" t="s">
        <v>223</v>
      </c>
      <c r="F27" s="60" t="s">
        <v>223</v>
      </c>
      <c r="G27" s="60" t="s">
        <v>223</v>
      </c>
      <c r="H27" s="60" t="s">
        <v>223</v>
      </c>
    </row>
    <row r="28" spans="1:8" x14ac:dyDescent="0.25">
      <c r="A28" s="39" t="s">
        <v>19</v>
      </c>
      <c r="B28" s="192">
        <v>23</v>
      </c>
      <c r="C28" s="81" t="s">
        <v>256</v>
      </c>
      <c r="D28" s="177"/>
      <c r="E28" s="81"/>
      <c r="F28" s="185"/>
      <c r="G28" s="156"/>
      <c r="H28" s="81"/>
    </row>
    <row r="29" spans="1:8" x14ac:dyDescent="0.25">
      <c r="A29" s="39" t="s">
        <v>258</v>
      </c>
      <c r="B29" s="192">
        <v>16</v>
      </c>
      <c r="C29" s="185">
        <v>-3.88</v>
      </c>
      <c r="D29" s="185">
        <v>-2.4700000000000002</v>
      </c>
      <c r="E29" s="81">
        <f t="shared" ref="E29:E40" si="2">SUM(C29:D29)</f>
        <v>-6.35</v>
      </c>
      <c r="F29" s="156">
        <f>'Sch. 111 Non-Vol Credit Rates'!H12</f>
        <v>-2.67</v>
      </c>
      <c r="G29" s="185">
        <v>-2.54</v>
      </c>
      <c r="H29" s="81">
        <f t="shared" ref="H29:H40" si="3">SUM(F29:G29)</f>
        <v>-5.21</v>
      </c>
    </row>
    <row r="30" spans="1:8" x14ac:dyDescent="0.25">
      <c r="A30" s="39" t="s">
        <v>21</v>
      </c>
      <c r="B30" s="192">
        <v>31</v>
      </c>
      <c r="C30" s="81" t="s">
        <v>256</v>
      </c>
      <c r="D30" s="185"/>
      <c r="E30" s="81"/>
      <c r="F30" s="156"/>
      <c r="G30" s="185"/>
      <c r="H30" s="81"/>
    </row>
    <row r="31" spans="1:8" x14ac:dyDescent="0.25">
      <c r="A31" s="39" t="s">
        <v>22</v>
      </c>
      <c r="B31" s="192">
        <v>41</v>
      </c>
      <c r="C31" s="185">
        <v>-920.44</v>
      </c>
      <c r="D31" s="185">
        <v>-543.32000000000005</v>
      </c>
      <c r="E31" s="81">
        <f t="shared" si="2"/>
        <v>-1463.7600000000002</v>
      </c>
      <c r="F31" s="156">
        <f>'Sch. 111 Non-Vol Credit Rates'!H14</f>
        <v>-585.08000000000004</v>
      </c>
      <c r="G31" s="185">
        <v>-560.54</v>
      </c>
      <c r="H31" s="81">
        <f t="shared" si="3"/>
        <v>-1145.6199999999999</v>
      </c>
    </row>
    <row r="32" spans="1:8" x14ac:dyDescent="0.25">
      <c r="A32" s="39" t="s">
        <v>23</v>
      </c>
      <c r="B32" s="192">
        <v>85</v>
      </c>
      <c r="C32" s="185">
        <v>-5623.33</v>
      </c>
      <c r="D32" s="185">
        <v>-4583.75</v>
      </c>
      <c r="E32" s="81">
        <f t="shared" si="2"/>
        <v>-10207.08</v>
      </c>
      <c r="F32" s="156">
        <f>'Sch. 111 Non-Vol Credit Rates'!H15</f>
        <v>-4925.37</v>
      </c>
      <c r="G32" s="185">
        <v>-4729.0200000000004</v>
      </c>
      <c r="H32" s="81">
        <f t="shared" si="3"/>
        <v>-9654.39</v>
      </c>
    </row>
    <row r="33" spans="1:8" x14ac:dyDescent="0.25">
      <c r="A33" s="39" t="s">
        <v>24</v>
      </c>
      <c r="B33" s="192">
        <v>86</v>
      </c>
      <c r="C33" s="185">
        <v>-863.99</v>
      </c>
      <c r="D33" s="185">
        <v>-529.04</v>
      </c>
      <c r="E33" s="81">
        <f t="shared" si="2"/>
        <v>-1393.03</v>
      </c>
      <c r="F33" s="156">
        <f>'Sch. 111 Non-Vol Credit Rates'!H16</f>
        <v>-571.33000000000004</v>
      </c>
      <c r="G33" s="185">
        <v>-545.80999999999995</v>
      </c>
      <c r="H33" s="81">
        <f t="shared" si="3"/>
        <v>-1117.1399999999999</v>
      </c>
    </row>
    <row r="34" spans="1:8" x14ac:dyDescent="0.25">
      <c r="A34" s="39" t="s">
        <v>25</v>
      </c>
      <c r="B34" s="192">
        <v>87</v>
      </c>
      <c r="C34" s="185">
        <v>-10800.13</v>
      </c>
      <c r="D34" s="185">
        <v>-16883.84</v>
      </c>
      <c r="E34" s="81">
        <f t="shared" si="2"/>
        <v>-27683.97</v>
      </c>
      <c r="F34" s="156">
        <f>'Sch. 111 Non-Vol Credit Rates'!H17</f>
        <v>-18147.18</v>
      </c>
      <c r="G34" s="185">
        <v>-17418.96</v>
      </c>
      <c r="H34" s="81">
        <f t="shared" si="3"/>
        <v>-35566.14</v>
      </c>
    </row>
    <row r="35" spans="1:8" x14ac:dyDescent="0.25">
      <c r="A35" s="39" t="s">
        <v>26</v>
      </c>
      <c r="B35" s="192" t="s">
        <v>27</v>
      </c>
      <c r="C35" s="81" t="s">
        <v>256</v>
      </c>
      <c r="D35" s="185"/>
      <c r="E35" s="81"/>
      <c r="F35" s="156"/>
      <c r="G35" s="185"/>
      <c r="H35" s="81"/>
    </row>
    <row r="36" spans="1:8" x14ac:dyDescent="0.25">
      <c r="A36" s="39" t="s">
        <v>28</v>
      </c>
      <c r="B36" s="192" t="s">
        <v>29</v>
      </c>
      <c r="C36" s="185">
        <v>-3840.3</v>
      </c>
      <c r="D36" s="185">
        <v>-2460.5300000000002</v>
      </c>
      <c r="E36" s="81">
        <f t="shared" si="2"/>
        <v>-6300.83</v>
      </c>
      <c r="F36" s="156">
        <f>'Sch. 111 Non-Vol Credit Rates'!H19</f>
        <v>-2674.57</v>
      </c>
      <c r="G36" s="185">
        <v>-2538.52</v>
      </c>
      <c r="H36" s="81">
        <f t="shared" si="3"/>
        <v>-5213.09</v>
      </c>
    </row>
    <row r="37" spans="1:8" x14ac:dyDescent="0.25">
      <c r="A37" s="39" t="s">
        <v>30</v>
      </c>
      <c r="B37" s="192" t="s">
        <v>31</v>
      </c>
      <c r="C37" s="185">
        <v>-13038.68</v>
      </c>
      <c r="D37" s="185">
        <v>-7722.73</v>
      </c>
      <c r="E37" s="81">
        <f t="shared" si="2"/>
        <v>-20761.41</v>
      </c>
      <c r="F37" s="156">
        <f>'Sch. 111 Non-Vol Credit Rates'!H20</f>
        <v>-8389.6</v>
      </c>
      <c r="G37" s="185">
        <v>-7967.5</v>
      </c>
      <c r="H37" s="81">
        <f t="shared" si="3"/>
        <v>-16357.1</v>
      </c>
    </row>
    <row r="38" spans="1:8" x14ac:dyDescent="0.25">
      <c r="A38" s="39" t="s">
        <v>32</v>
      </c>
      <c r="B38" s="192" t="s">
        <v>33</v>
      </c>
      <c r="C38" s="185">
        <v>-3753.55</v>
      </c>
      <c r="D38" s="185">
        <v>-1849.68</v>
      </c>
      <c r="E38" s="81">
        <f t="shared" si="2"/>
        <v>-5603.2300000000005</v>
      </c>
      <c r="F38" s="156">
        <f>'Sch. 111 Non-Vol Credit Rates'!H21</f>
        <v>-2004.47</v>
      </c>
      <c r="G38" s="185">
        <v>-1908.31</v>
      </c>
      <c r="H38" s="81">
        <f t="shared" si="3"/>
        <v>-3912.7799999999997</v>
      </c>
    </row>
    <row r="39" spans="1:8" x14ac:dyDescent="0.25">
      <c r="A39" s="39" t="s">
        <v>34</v>
      </c>
      <c r="B39" s="241" t="s">
        <v>294</v>
      </c>
      <c r="C39" s="185">
        <v>-78306.03</v>
      </c>
      <c r="D39" s="185">
        <v>-136871.71</v>
      </c>
      <c r="E39" s="81">
        <f t="shared" si="2"/>
        <v>-215177.74</v>
      </c>
      <c r="F39" s="156">
        <f>'Sch. 111 Non-Vol Credit Rates'!H22</f>
        <v>-29549.4</v>
      </c>
      <c r="G39" s="185">
        <v>-27964.73</v>
      </c>
      <c r="H39" s="81">
        <f t="shared" si="3"/>
        <v>-57514.130000000005</v>
      </c>
    </row>
    <row r="40" spans="1:8" x14ac:dyDescent="0.25">
      <c r="A40" s="39" t="s">
        <v>36</v>
      </c>
      <c r="B40" s="192"/>
      <c r="C40" s="185">
        <v>-34268.230000000003</v>
      </c>
      <c r="D40" s="185">
        <v>-19537.599999999999</v>
      </c>
      <c r="E40" s="81">
        <f t="shared" si="2"/>
        <v>-53805.83</v>
      </c>
      <c r="F40" s="156">
        <f>'Sch. 111 Non-Vol Credit Rates'!H23</f>
        <v>-21594.53</v>
      </c>
      <c r="G40" s="185">
        <v>-20156.830000000002</v>
      </c>
      <c r="H40" s="81">
        <f t="shared" si="3"/>
        <v>-41751.360000000001</v>
      </c>
    </row>
    <row r="42" spans="1:8" x14ac:dyDescent="0.25">
      <c r="A42" s="184" t="s">
        <v>238</v>
      </c>
      <c r="C42" s="243" t="s">
        <v>247</v>
      </c>
      <c r="D42" s="244"/>
      <c r="E42" s="245"/>
      <c r="F42" s="243" t="s">
        <v>248</v>
      </c>
      <c r="G42" s="244"/>
      <c r="H42" s="245"/>
    </row>
    <row r="43" spans="1:8" x14ac:dyDescent="0.25">
      <c r="A43" s="59"/>
      <c r="B43" s="59"/>
      <c r="C43" s="59" t="s">
        <v>217</v>
      </c>
      <c r="D43" s="59" t="s">
        <v>217</v>
      </c>
      <c r="E43" s="59" t="s">
        <v>2</v>
      </c>
      <c r="F43" s="59" t="s">
        <v>217</v>
      </c>
      <c r="G43" s="59" t="s">
        <v>217</v>
      </c>
      <c r="H43" s="59" t="s">
        <v>2</v>
      </c>
    </row>
    <row r="44" spans="1:8" x14ac:dyDescent="0.25">
      <c r="A44" s="59"/>
      <c r="B44" s="59" t="s">
        <v>123</v>
      </c>
      <c r="C44" s="59" t="s">
        <v>93</v>
      </c>
      <c r="D44" s="59" t="s">
        <v>219</v>
      </c>
      <c r="E44" s="59" t="s">
        <v>217</v>
      </c>
      <c r="F44" s="59" t="s">
        <v>93</v>
      </c>
      <c r="G44" s="59" t="s">
        <v>219</v>
      </c>
      <c r="H44" s="59" t="s">
        <v>217</v>
      </c>
    </row>
    <row r="45" spans="1:8" x14ac:dyDescent="0.25">
      <c r="A45" s="60" t="s">
        <v>7</v>
      </c>
      <c r="B45" s="60" t="s">
        <v>141</v>
      </c>
      <c r="C45" s="60" t="s">
        <v>297</v>
      </c>
      <c r="D45" s="60" t="s">
        <v>225</v>
      </c>
      <c r="E45" s="60" t="s">
        <v>225</v>
      </c>
      <c r="F45" s="60" t="s">
        <v>225</v>
      </c>
      <c r="G45" s="60" t="s">
        <v>225</v>
      </c>
      <c r="H45" s="60" t="s">
        <v>225</v>
      </c>
    </row>
    <row r="46" spans="1:8" x14ac:dyDescent="0.25">
      <c r="A46" s="39" t="s">
        <v>59</v>
      </c>
      <c r="B46" s="192">
        <v>23</v>
      </c>
      <c r="C46" s="177">
        <v>-0.24697</v>
      </c>
      <c r="D46" s="177">
        <v>-0.16566</v>
      </c>
      <c r="E46" s="178">
        <f t="shared" ref="E46" si="4">SUM(C46:D46)</f>
        <v>-0.41263</v>
      </c>
      <c r="F46" s="179">
        <f>'Sch. 111 Low Inc. Credit Rates'!F11</f>
        <v>-0.23183000000000001</v>
      </c>
      <c r="G46" s="177">
        <v>-0.16491</v>
      </c>
      <c r="H46" s="178">
        <f t="shared" ref="H46" si="5">SUM(F46:G46)</f>
        <v>-0.39673999999999998</v>
      </c>
    </row>
    <row r="48" spans="1:8" x14ac:dyDescent="0.25">
      <c r="A48" s="184" t="s">
        <v>249</v>
      </c>
      <c r="C48" s="243" t="s">
        <v>250</v>
      </c>
      <c r="D48" s="244"/>
      <c r="E48" s="245"/>
      <c r="F48" s="243" t="s">
        <v>254</v>
      </c>
      <c r="G48" s="244"/>
      <c r="H48" s="245"/>
    </row>
    <row r="49" spans="1:8" x14ac:dyDescent="0.25">
      <c r="A49" s="59"/>
      <c r="B49" s="59"/>
      <c r="C49" s="59" t="s">
        <v>217</v>
      </c>
      <c r="D49" s="59" t="s">
        <v>217</v>
      </c>
      <c r="E49" s="59" t="s">
        <v>2</v>
      </c>
      <c r="F49" s="59" t="s">
        <v>217</v>
      </c>
      <c r="G49" s="59" t="s">
        <v>217</v>
      </c>
      <c r="H49" s="59" t="s">
        <v>2</v>
      </c>
    </row>
    <row r="50" spans="1:8" x14ac:dyDescent="0.25">
      <c r="A50" s="59"/>
      <c r="B50" s="59"/>
      <c r="C50" s="59" t="s">
        <v>93</v>
      </c>
      <c r="D50" s="59" t="s">
        <v>219</v>
      </c>
      <c r="E50" s="59" t="s">
        <v>217</v>
      </c>
      <c r="F50" s="59" t="s">
        <v>93</v>
      </c>
      <c r="G50" s="59" t="s">
        <v>219</v>
      </c>
      <c r="H50" s="59" t="s">
        <v>217</v>
      </c>
    </row>
    <row r="51" spans="1:8" x14ac:dyDescent="0.25">
      <c r="A51" s="60" t="s">
        <v>51</v>
      </c>
      <c r="B51" s="60" t="s">
        <v>251</v>
      </c>
      <c r="C51" s="60" t="s">
        <v>225</v>
      </c>
      <c r="D51" s="60" t="s">
        <v>225</v>
      </c>
      <c r="E51" s="60" t="s">
        <v>225</v>
      </c>
      <c r="F51" s="60" t="s">
        <v>225</v>
      </c>
      <c r="G51" s="60" t="s">
        <v>225</v>
      </c>
      <c r="H51" s="60" t="s">
        <v>225</v>
      </c>
    </row>
    <row r="52" spans="1:8" x14ac:dyDescent="0.25">
      <c r="A52" s="39" t="s">
        <v>252</v>
      </c>
      <c r="B52" s="193">
        <v>45200</v>
      </c>
      <c r="C52" s="185">
        <v>-10.876337638246588</v>
      </c>
      <c r="D52" s="185">
        <v>0</v>
      </c>
      <c r="E52" s="81">
        <f t="shared" ref="E52:E54" si="6">SUM(C52:D52)</f>
        <v>-10.876337638246588</v>
      </c>
      <c r="F52" s="81">
        <f>C52</f>
        <v>-10.876337638246588</v>
      </c>
      <c r="G52" s="81">
        <f>D52</f>
        <v>0</v>
      </c>
      <c r="H52" s="81">
        <f t="shared" ref="H52:H54" si="7">SUM(F52:G52)</f>
        <v>-10.876337638246588</v>
      </c>
    </row>
    <row r="53" spans="1:8" x14ac:dyDescent="0.25">
      <c r="A53" s="39" t="s">
        <v>252</v>
      </c>
      <c r="B53" s="194">
        <f t="shared" ref="B53:B55" si="8">EDATE(B52,1)</f>
        <v>45231</v>
      </c>
      <c r="C53" s="185">
        <v>-18.061427048783361</v>
      </c>
      <c r="D53" s="185">
        <v>-11.604041087742509</v>
      </c>
      <c r="E53" s="81">
        <f t="shared" si="6"/>
        <v>-29.66546813652587</v>
      </c>
      <c r="F53" s="81">
        <f t="shared" ref="F53:F54" si="9">C53</f>
        <v>-18.061427048783361</v>
      </c>
      <c r="G53" s="81">
        <f t="shared" ref="G53:G54" si="10">D53</f>
        <v>-11.604041087742509</v>
      </c>
      <c r="H53" s="81">
        <f t="shared" si="7"/>
        <v>-29.66546813652587</v>
      </c>
    </row>
    <row r="54" spans="1:8" x14ac:dyDescent="0.25">
      <c r="A54" s="39" t="s">
        <v>252</v>
      </c>
      <c r="B54" s="194">
        <f t="shared" si="8"/>
        <v>45261</v>
      </c>
      <c r="C54" s="185">
        <v>-23.576989510529529</v>
      </c>
      <c r="D54" s="185">
        <v>-15.510158009666538</v>
      </c>
      <c r="E54" s="81">
        <f t="shared" si="6"/>
        <v>-39.087147520196069</v>
      </c>
      <c r="F54" s="81">
        <f t="shared" si="9"/>
        <v>-23.576989510529529</v>
      </c>
      <c r="G54" s="81">
        <f t="shared" si="10"/>
        <v>-15.510158009666538</v>
      </c>
      <c r="H54" s="81">
        <f t="shared" si="7"/>
        <v>-39.087147520196069</v>
      </c>
    </row>
    <row r="55" spans="1:8" x14ac:dyDescent="0.25">
      <c r="A55" s="39" t="s">
        <v>252</v>
      </c>
      <c r="B55" s="194">
        <f t="shared" si="8"/>
        <v>45292</v>
      </c>
      <c r="C55" s="185">
        <v>0</v>
      </c>
      <c r="D55" s="185">
        <v>-15.061856148803606</v>
      </c>
      <c r="E55" s="81">
        <f>SUM(C55:D55)</f>
        <v>-15.061856148803606</v>
      </c>
      <c r="F55" s="156">
        <f>'Sch.111 Non-Vol Credit Seasonal'!$D$21</f>
        <v>-16.37</v>
      </c>
      <c r="G55" s="185">
        <v>-15.54</v>
      </c>
      <c r="H55" s="81">
        <f>SUM(F55:G55)</f>
        <v>-31.91</v>
      </c>
    </row>
    <row r="56" spans="1:8" x14ac:dyDescent="0.25">
      <c r="A56" s="39" t="s">
        <v>252</v>
      </c>
      <c r="B56" s="194">
        <f>EDATE(B55,1)</f>
        <v>45323</v>
      </c>
      <c r="C56" s="185">
        <v>0</v>
      </c>
      <c r="D56" s="185">
        <v>-13.271810488387681</v>
      </c>
      <c r="E56" s="81">
        <f t="shared" ref="E56:E66" si="11">SUM(C56:D56)</f>
        <v>-13.271810488387681</v>
      </c>
      <c r="F56" s="156">
        <f>'Sch.111 Non-Vol Credit Seasonal'!$E$21</f>
        <v>-14.43</v>
      </c>
      <c r="G56" s="185">
        <v>-13.69</v>
      </c>
      <c r="H56" s="81">
        <f t="shared" ref="H56:H66" si="12">SUM(F56:G56)</f>
        <v>-28.119999999999997</v>
      </c>
    </row>
    <row r="57" spans="1:8" x14ac:dyDescent="0.25">
      <c r="A57" s="39" t="s">
        <v>252</v>
      </c>
      <c r="B57" s="194">
        <f t="shared" ref="B57:B66" si="13">EDATE(B56,1)</f>
        <v>45352</v>
      </c>
      <c r="C57" s="185">
        <v>0</v>
      </c>
      <c r="D57" s="185">
        <v>-12.151108845299946</v>
      </c>
      <c r="E57" s="81">
        <f t="shared" si="11"/>
        <v>-12.151108845299946</v>
      </c>
      <c r="F57" s="156">
        <f>'Sch.111 Non-Vol Credit Seasonal'!$F$21</f>
        <v>-13.21</v>
      </c>
      <c r="G57" s="185">
        <v>-12.53</v>
      </c>
      <c r="H57" s="81">
        <f t="shared" si="12"/>
        <v>-25.740000000000002</v>
      </c>
    </row>
    <row r="58" spans="1:8" x14ac:dyDescent="0.25">
      <c r="A58" s="39" t="s">
        <v>252</v>
      </c>
      <c r="B58" s="194">
        <f t="shared" si="13"/>
        <v>45383</v>
      </c>
      <c r="C58" s="185">
        <v>0</v>
      </c>
      <c r="D58" s="185">
        <v>-8.3096415722620893</v>
      </c>
      <c r="E58" s="81">
        <f t="shared" si="11"/>
        <v>-8.3096415722620893</v>
      </c>
      <c r="F58" s="156">
        <f>'Sch.111 Non-Vol Credit Seasonal'!$G$21</f>
        <v>-9.0299999999999994</v>
      </c>
      <c r="G58" s="185">
        <v>-8.57</v>
      </c>
      <c r="H58" s="81">
        <f t="shared" si="12"/>
        <v>-17.600000000000001</v>
      </c>
    </row>
    <row r="59" spans="1:8" x14ac:dyDescent="0.25">
      <c r="A59" s="39" t="s">
        <v>252</v>
      </c>
      <c r="B59" s="194">
        <f t="shared" si="13"/>
        <v>45413</v>
      </c>
      <c r="C59" s="185">
        <v>0</v>
      </c>
      <c r="D59" s="185">
        <v>-4.8320301458421184</v>
      </c>
      <c r="E59" s="81">
        <f t="shared" si="11"/>
        <v>-4.8320301458421184</v>
      </c>
      <c r="F59" s="156">
        <f>'Sch.111 Non-Vol Credit Seasonal'!$H$21</f>
        <v>-5.25</v>
      </c>
      <c r="G59" s="185">
        <v>-4.9800000000000004</v>
      </c>
      <c r="H59" s="81">
        <f t="shared" si="12"/>
        <v>-10.23</v>
      </c>
    </row>
    <row r="60" spans="1:8" x14ac:dyDescent="0.25">
      <c r="A60" s="39" t="s">
        <v>252</v>
      </c>
      <c r="B60" s="194">
        <f t="shared" si="13"/>
        <v>45444</v>
      </c>
      <c r="C60" s="185">
        <v>0</v>
      </c>
      <c r="D60" s="185">
        <v>-3.3029843298763151</v>
      </c>
      <c r="E60" s="81">
        <f t="shared" si="11"/>
        <v>-3.3029843298763151</v>
      </c>
      <c r="F60" s="156">
        <f>'Sch.111 Non-Vol Credit Seasonal'!$I$21</f>
        <v>-3.59</v>
      </c>
      <c r="G60" s="185">
        <v>-3.41</v>
      </c>
      <c r="H60" s="81">
        <f t="shared" si="12"/>
        <v>-7</v>
      </c>
    </row>
    <row r="61" spans="1:8" x14ac:dyDescent="0.25">
      <c r="A61" s="39" t="s">
        <v>252</v>
      </c>
      <c r="B61" s="194">
        <f t="shared" si="13"/>
        <v>45474</v>
      </c>
      <c r="C61" s="185">
        <v>0</v>
      </c>
      <c r="D61" s="185">
        <v>-2.5029107433521167</v>
      </c>
      <c r="E61" s="81">
        <f t="shared" si="11"/>
        <v>-2.5029107433521167</v>
      </c>
      <c r="F61" s="156">
        <f>'Sch.111 Non-Vol Credit Seasonal'!$J$21</f>
        <v>-2.72</v>
      </c>
      <c r="G61" s="185">
        <v>-2.58</v>
      </c>
      <c r="H61" s="81">
        <f t="shared" si="12"/>
        <v>-5.3000000000000007</v>
      </c>
    </row>
    <row r="62" spans="1:8" x14ac:dyDescent="0.25">
      <c r="A62" s="39" t="s">
        <v>252</v>
      </c>
      <c r="B62" s="194">
        <f t="shared" si="13"/>
        <v>45505</v>
      </c>
      <c r="C62" s="185">
        <v>0</v>
      </c>
      <c r="D62" s="185">
        <v>-2.399385534866711</v>
      </c>
      <c r="E62" s="81">
        <f t="shared" si="11"/>
        <v>-2.399385534866711</v>
      </c>
      <c r="F62" s="156">
        <f>'Sch.111 Non-Vol Credit Seasonal'!$K$21</f>
        <v>-2.61</v>
      </c>
      <c r="G62" s="185">
        <v>-2.48</v>
      </c>
      <c r="H62" s="81">
        <f t="shared" si="12"/>
        <v>-5.09</v>
      </c>
    </row>
    <row r="63" spans="1:8" x14ac:dyDescent="0.25">
      <c r="A63" s="39" t="s">
        <v>252</v>
      </c>
      <c r="B63" s="194">
        <f t="shared" si="13"/>
        <v>45536</v>
      </c>
      <c r="C63" s="185">
        <v>0</v>
      </c>
      <c r="D63" s="185">
        <v>-3.1604947118653461</v>
      </c>
      <c r="E63" s="81">
        <f t="shared" si="11"/>
        <v>-3.1604947118653461</v>
      </c>
      <c r="F63" s="156">
        <f>'Sch.111 Non-Vol Credit Seasonal'!$L$21</f>
        <v>-3.44</v>
      </c>
      <c r="G63" s="185">
        <v>-3.26</v>
      </c>
      <c r="H63" s="81">
        <f t="shared" si="12"/>
        <v>-6.6999999999999993</v>
      </c>
    </row>
    <row r="64" spans="1:8" x14ac:dyDescent="0.25">
      <c r="A64" s="39" t="s">
        <v>252</v>
      </c>
      <c r="B64" s="194">
        <f t="shared" si="13"/>
        <v>45566</v>
      </c>
      <c r="C64" s="185">
        <v>0</v>
      </c>
      <c r="D64" s="185">
        <v>-6.7735783820350184</v>
      </c>
      <c r="E64" s="81">
        <f t="shared" si="11"/>
        <v>-6.7735783820350184</v>
      </c>
      <c r="F64" s="156">
        <f>'Sch.111 Non-Vol Credit Seasonal'!$M$21</f>
        <v>-7.36</v>
      </c>
      <c r="G64" s="185">
        <v>-6.99</v>
      </c>
      <c r="H64" s="81">
        <f t="shared" si="12"/>
        <v>-14.350000000000001</v>
      </c>
    </row>
    <row r="65" spans="1:8" x14ac:dyDescent="0.25">
      <c r="A65" s="39" t="s">
        <v>252</v>
      </c>
      <c r="B65" s="194">
        <f t="shared" si="13"/>
        <v>45597</v>
      </c>
      <c r="C65" s="185">
        <v>0</v>
      </c>
      <c r="D65" s="185">
        <v>0</v>
      </c>
      <c r="E65" s="81">
        <f t="shared" si="11"/>
        <v>0</v>
      </c>
      <c r="F65" s="156">
        <f>'Sch.111 Non-Vol Credit Seasonal'!$N$21</f>
        <v>-12.39</v>
      </c>
      <c r="G65" s="185">
        <v>0</v>
      </c>
      <c r="H65" s="81">
        <f t="shared" si="12"/>
        <v>-12.39</v>
      </c>
    </row>
    <row r="66" spans="1:8" x14ac:dyDescent="0.25">
      <c r="A66" s="39" t="s">
        <v>252</v>
      </c>
      <c r="B66" s="194">
        <f t="shared" si="13"/>
        <v>45627</v>
      </c>
      <c r="C66" s="185">
        <v>0</v>
      </c>
      <c r="D66" s="185">
        <v>0</v>
      </c>
      <c r="E66" s="81">
        <f t="shared" si="11"/>
        <v>0</v>
      </c>
      <c r="F66" s="156">
        <f>'Sch.111 Non-Vol Credit Seasonal'!$O$21</f>
        <v>-16.52</v>
      </c>
      <c r="G66" s="185">
        <v>0</v>
      </c>
      <c r="H66" s="81">
        <f t="shared" si="12"/>
        <v>-16.52</v>
      </c>
    </row>
    <row r="67" spans="1:8" x14ac:dyDescent="0.25">
      <c r="B67" s="194"/>
    </row>
    <row r="68" spans="1:8" x14ac:dyDescent="0.25">
      <c r="A68" s="39" t="s">
        <v>253</v>
      </c>
      <c r="B68" s="193">
        <v>45200</v>
      </c>
      <c r="C68" s="185">
        <v>-67.513765594690284</v>
      </c>
      <c r="D68" s="185">
        <v>0</v>
      </c>
      <c r="E68" s="81">
        <f t="shared" ref="E68:E70" si="14">SUM(C68:D68)</f>
        <v>-67.513765594690284</v>
      </c>
      <c r="F68" s="81">
        <f>C68</f>
        <v>-67.513765594690284</v>
      </c>
      <c r="G68" s="81">
        <f>D68</f>
        <v>0</v>
      </c>
      <c r="H68" s="81">
        <f t="shared" ref="H68:H70" si="15">SUM(F68:G68)</f>
        <v>-67.513765594690284</v>
      </c>
    </row>
    <row r="69" spans="1:8" x14ac:dyDescent="0.25">
      <c r="A69" s="39" t="s">
        <v>253</v>
      </c>
      <c r="B69" s="194">
        <f t="shared" ref="B69:B71" si="16">EDATE(B68,1)</f>
        <v>45231</v>
      </c>
      <c r="C69" s="185">
        <v>-97.291003720895944</v>
      </c>
      <c r="D69" s="185">
        <v>-63.014518024685039</v>
      </c>
      <c r="E69" s="81">
        <f t="shared" si="14"/>
        <v>-160.30552174558099</v>
      </c>
      <c r="F69" s="81">
        <f t="shared" ref="F69:G70" si="17">C69</f>
        <v>-97.291003720895944</v>
      </c>
      <c r="G69" s="81">
        <f t="shared" si="17"/>
        <v>-63.014518024685039</v>
      </c>
      <c r="H69" s="81">
        <f t="shared" si="15"/>
        <v>-160.30552174558099</v>
      </c>
    </row>
    <row r="70" spans="1:8" x14ac:dyDescent="0.25">
      <c r="A70" s="39" t="s">
        <v>253</v>
      </c>
      <c r="B70" s="194">
        <f t="shared" si="16"/>
        <v>45261</v>
      </c>
      <c r="C70" s="185">
        <v>-121.18420901771232</v>
      </c>
      <c r="D70" s="185">
        <v>-76.909858276250034</v>
      </c>
      <c r="E70" s="81">
        <f t="shared" si="14"/>
        <v>-198.09406729396235</v>
      </c>
      <c r="F70" s="81">
        <f t="shared" si="17"/>
        <v>-121.18420901771232</v>
      </c>
      <c r="G70" s="81">
        <f t="shared" si="17"/>
        <v>-76.909858276250034</v>
      </c>
      <c r="H70" s="81">
        <f t="shared" si="15"/>
        <v>-198.09406729396235</v>
      </c>
    </row>
    <row r="71" spans="1:8" x14ac:dyDescent="0.25">
      <c r="A71" s="39" t="s">
        <v>253</v>
      </c>
      <c r="B71" s="194">
        <f t="shared" si="16"/>
        <v>45292</v>
      </c>
      <c r="C71" s="185">
        <v>0</v>
      </c>
      <c r="D71" s="185">
        <v>-66.978661047805502</v>
      </c>
      <c r="E71" s="81">
        <f>SUM(C71:D71)</f>
        <v>-66.978661047805502</v>
      </c>
      <c r="F71" s="156">
        <f>'Sch.111 Non-Vol Credit Seasonal'!$D$25</f>
        <v>-72.430000000000007</v>
      </c>
      <c r="G71" s="185">
        <v>-69.11</v>
      </c>
      <c r="H71" s="81">
        <f>SUM(F71:G71)</f>
        <v>-141.54000000000002</v>
      </c>
    </row>
    <row r="72" spans="1:8" x14ac:dyDescent="0.25">
      <c r="A72" s="39" t="s">
        <v>253</v>
      </c>
      <c r="B72" s="194">
        <f>EDATE(B71,1)</f>
        <v>45323</v>
      </c>
      <c r="C72" s="185">
        <v>0</v>
      </c>
      <c r="D72" s="185">
        <v>-60.509499835556227</v>
      </c>
      <c r="E72" s="81">
        <f t="shared" ref="E72:E82" si="18">SUM(C72:D72)</f>
        <v>-60.509499835556227</v>
      </c>
      <c r="F72" s="156">
        <f>'Sch.111 Non-Vol Credit Seasonal'!$E$25</f>
        <v>-65.430000000000007</v>
      </c>
      <c r="G72" s="185">
        <v>-62.44</v>
      </c>
      <c r="H72" s="81">
        <f t="shared" ref="H72:H82" si="19">SUM(F72:G72)</f>
        <v>-127.87</v>
      </c>
    </row>
    <row r="73" spans="1:8" x14ac:dyDescent="0.25">
      <c r="A73" s="39" t="s">
        <v>253</v>
      </c>
      <c r="B73" s="194">
        <f t="shared" ref="B73:B82" si="20">EDATE(B72,1)</f>
        <v>45352</v>
      </c>
      <c r="C73" s="185">
        <v>0</v>
      </c>
      <c r="D73" s="185">
        <v>-53.758205169469115</v>
      </c>
      <c r="E73" s="81">
        <f t="shared" si="18"/>
        <v>-53.758205169469115</v>
      </c>
      <c r="F73" s="156">
        <f>'Sch.111 Non-Vol Credit Seasonal'!$F$25</f>
        <v>-58.13</v>
      </c>
      <c r="G73" s="185">
        <v>-55.47</v>
      </c>
      <c r="H73" s="81">
        <f t="shared" si="19"/>
        <v>-113.6</v>
      </c>
    </row>
    <row r="74" spans="1:8" x14ac:dyDescent="0.25">
      <c r="A74" s="39" t="s">
        <v>253</v>
      </c>
      <c r="B74" s="194">
        <f t="shared" si="20"/>
        <v>45383</v>
      </c>
      <c r="C74" s="185">
        <v>0</v>
      </c>
      <c r="D74" s="185">
        <v>-38.466968340422383</v>
      </c>
      <c r="E74" s="81">
        <f t="shared" si="18"/>
        <v>-38.466968340422383</v>
      </c>
      <c r="F74" s="156">
        <f>'Sch.111 Non-Vol Credit Seasonal'!$G$25</f>
        <v>-41.6</v>
      </c>
      <c r="G74" s="185">
        <v>-39.69</v>
      </c>
      <c r="H74" s="81">
        <f t="shared" si="19"/>
        <v>-81.289999999999992</v>
      </c>
    </row>
    <row r="75" spans="1:8" x14ac:dyDescent="0.25">
      <c r="A75" s="39" t="s">
        <v>253</v>
      </c>
      <c r="B75" s="194">
        <f t="shared" si="20"/>
        <v>45413</v>
      </c>
      <c r="C75" s="185">
        <v>0</v>
      </c>
      <c r="D75" s="185">
        <v>-28.008815855866569</v>
      </c>
      <c r="E75" s="81">
        <f t="shared" si="18"/>
        <v>-28.008815855866569</v>
      </c>
      <c r="F75" s="156">
        <f>'Sch.111 Non-Vol Credit Seasonal'!$H$25</f>
        <v>-30.29</v>
      </c>
      <c r="G75" s="185">
        <v>-28.9</v>
      </c>
      <c r="H75" s="81">
        <f t="shared" si="19"/>
        <v>-59.19</v>
      </c>
    </row>
    <row r="76" spans="1:8" x14ac:dyDescent="0.25">
      <c r="A76" s="39" t="s">
        <v>253</v>
      </c>
      <c r="B76" s="194">
        <f t="shared" si="20"/>
        <v>45444</v>
      </c>
      <c r="C76" s="185">
        <v>0</v>
      </c>
      <c r="D76" s="185">
        <v>-22.46090499719179</v>
      </c>
      <c r="E76" s="81">
        <f t="shared" si="18"/>
        <v>-22.46090499719179</v>
      </c>
      <c r="F76" s="156">
        <f>'Sch.111 Non-Vol Credit Seasonal'!$I$25</f>
        <v>-24.29</v>
      </c>
      <c r="G76" s="185">
        <v>-23.18</v>
      </c>
      <c r="H76" s="81">
        <f t="shared" si="19"/>
        <v>-47.47</v>
      </c>
    </row>
    <row r="77" spans="1:8" x14ac:dyDescent="0.25">
      <c r="A77" s="39" t="s">
        <v>253</v>
      </c>
      <c r="B77" s="194">
        <f t="shared" si="20"/>
        <v>45474</v>
      </c>
      <c r="C77" s="185">
        <v>0</v>
      </c>
      <c r="D77" s="185">
        <v>-19.171868547342338</v>
      </c>
      <c r="E77" s="81">
        <f t="shared" si="18"/>
        <v>-19.171868547342338</v>
      </c>
      <c r="F77" s="156">
        <f>'Sch.111 Non-Vol Credit Seasonal'!$J$25</f>
        <v>-20.73</v>
      </c>
      <c r="G77" s="185">
        <v>-19.78</v>
      </c>
      <c r="H77" s="81">
        <f t="shared" si="19"/>
        <v>-40.510000000000005</v>
      </c>
    </row>
    <row r="78" spans="1:8" x14ac:dyDescent="0.25">
      <c r="A78" s="39" t="s">
        <v>253</v>
      </c>
      <c r="B78" s="194">
        <f t="shared" si="20"/>
        <v>45505</v>
      </c>
      <c r="C78" s="185">
        <v>0</v>
      </c>
      <c r="D78" s="185">
        <v>-21.066043108796386</v>
      </c>
      <c r="E78" s="81">
        <f t="shared" si="18"/>
        <v>-21.066043108796386</v>
      </c>
      <c r="F78" s="156">
        <f>'Sch.111 Non-Vol Credit Seasonal'!$K$25</f>
        <v>-22.78</v>
      </c>
      <c r="G78" s="185">
        <v>-21.74</v>
      </c>
      <c r="H78" s="81">
        <f t="shared" si="19"/>
        <v>-44.519999999999996</v>
      </c>
    </row>
    <row r="79" spans="1:8" x14ac:dyDescent="0.25">
      <c r="A79" s="39" t="s">
        <v>253</v>
      </c>
      <c r="B79" s="194">
        <f t="shared" si="20"/>
        <v>45536</v>
      </c>
      <c r="C79" s="185">
        <v>0</v>
      </c>
      <c r="D79" s="185">
        <v>-25.933207104234953</v>
      </c>
      <c r="E79" s="81">
        <f t="shared" si="18"/>
        <v>-25.933207104234953</v>
      </c>
      <c r="F79" s="156">
        <f>'Sch.111 Non-Vol Credit Seasonal'!$L$25</f>
        <v>-28.04</v>
      </c>
      <c r="G79" s="185">
        <v>-26.76</v>
      </c>
      <c r="H79" s="81">
        <f t="shared" si="19"/>
        <v>-54.8</v>
      </c>
    </row>
    <row r="80" spans="1:8" x14ac:dyDescent="0.25">
      <c r="A80" s="39" t="s">
        <v>253</v>
      </c>
      <c r="B80" s="194">
        <f t="shared" si="20"/>
        <v>45566</v>
      </c>
      <c r="C80" s="185">
        <v>0</v>
      </c>
      <c r="D80" s="185">
        <v>-43.921449692379682</v>
      </c>
      <c r="E80" s="81">
        <f t="shared" si="18"/>
        <v>-43.921449692379682</v>
      </c>
      <c r="F80" s="156">
        <f>'Sch.111 Non-Vol Credit Seasonal'!$M$25</f>
        <v>-47.49</v>
      </c>
      <c r="G80" s="185">
        <v>-45.32</v>
      </c>
      <c r="H80" s="81">
        <f t="shared" si="19"/>
        <v>-92.81</v>
      </c>
    </row>
    <row r="81" spans="1:8" x14ac:dyDescent="0.25">
      <c r="A81" s="39" t="s">
        <v>253</v>
      </c>
      <c r="B81" s="194">
        <f t="shared" si="20"/>
        <v>45597</v>
      </c>
      <c r="C81" s="185">
        <v>0</v>
      </c>
      <c r="D81" s="185">
        <v>0</v>
      </c>
      <c r="E81" s="81">
        <f t="shared" si="18"/>
        <v>0</v>
      </c>
      <c r="F81" s="156">
        <f>'Sch.111 Non-Vol Credit Seasonal'!$N$25</f>
        <v>-67.75</v>
      </c>
      <c r="G81" s="185">
        <v>0</v>
      </c>
      <c r="H81" s="81">
        <f t="shared" si="19"/>
        <v>-67.75</v>
      </c>
    </row>
    <row r="82" spans="1:8" x14ac:dyDescent="0.25">
      <c r="A82" s="39" t="s">
        <v>253</v>
      </c>
      <c r="B82" s="194">
        <f t="shared" si="20"/>
        <v>45627</v>
      </c>
      <c r="C82" s="185">
        <v>0</v>
      </c>
      <c r="D82" s="185">
        <v>0</v>
      </c>
      <c r="E82" s="81">
        <f t="shared" si="18"/>
        <v>0</v>
      </c>
      <c r="F82" s="156">
        <f>'Sch.111 Non-Vol Credit Seasonal'!$O$25</f>
        <v>-81.8</v>
      </c>
      <c r="G82" s="185">
        <v>0</v>
      </c>
      <c r="H82" s="81">
        <f t="shared" si="19"/>
        <v>-81.8</v>
      </c>
    </row>
    <row r="84" spans="1:8" x14ac:dyDescent="0.25">
      <c r="A84" s="39" t="s">
        <v>255</v>
      </c>
      <c r="B84" s="193">
        <v>45200</v>
      </c>
      <c r="C84" s="185">
        <v>-280.73245492371706</v>
      </c>
      <c r="D84" s="185">
        <v>0</v>
      </c>
      <c r="E84" s="81">
        <f t="shared" ref="E84:E86" si="21">SUM(C84:D84)</f>
        <v>-280.73245492371706</v>
      </c>
      <c r="F84" s="81">
        <f>C84</f>
        <v>-280.73245492371706</v>
      </c>
      <c r="G84" s="81">
        <f>D84</f>
        <v>0</v>
      </c>
      <c r="H84" s="81">
        <f t="shared" ref="H84:H86" si="22">SUM(F84:G84)</f>
        <v>-280.73245492371706</v>
      </c>
    </row>
    <row r="85" spans="1:8" x14ac:dyDescent="0.25">
      <c r="A85" s="39" t="s">
        <v>255</v>
      </c>
      <c r="B85" s="194">
        <f t="shared" ref="B85:B87" si="23">EDATE(B84,1)</f>
        <v>45231</v>
      </c>
      <c r="C85" s="185">
        <v>-400.02588996763745</v>
      </c>
      <c r="D85" s="185">
        <v>-14.972307627549155</v>
      </c>
      <c r="E85" s="81">
        <f t="shared" si="21"/>
        <v>-414.99819759518658</v>
      </c>
      <c r="F85" s="81">
        <f t="shared" ref="F85:G86" si="24">C85</f>
        <v>-400.02588996763745</v>
      </c>
      <c r="G85" s="81">
        <f t="shared" si="24"/>
        <v>-14.972307627549155</v>
      </c>
      <c r="H85" s="81">
        <f t="shared" si="22"/>
        <v>-414.99819759518658</v>
      </c>
    </row>
    <row r="86" spans="1:8" x14ac:dyDescent="0.25">
      <c r="A86" s="39" t="s">
        <v>255</v>
      </c>
      <c r="B86" s="194">
        <f t="shared" si="23"/>
        <v>45261</v>
      </c>
      <c r="C86" s="185">
        <v>-437.98753054619903</v>
      </c>
      <c r="D86" s="185">
        <v>-18.273853292857559</v>
      </c>
      <c r="E86" s="81">
        <f t="shared" si="21"/>
        <v>-456.26138383905658</v>
      </c>
      <c r="F86" s="81">
        <f t="shared" si="24"/>
        <v>-437.98753054619903</v>
      </c>
      <c r="G86" s="81">
        <f t="shared" si="24"/>
        <v>-18.273853292857559</v>
      </c>
      <c r="H86" s="81">
        <f t="shared" si="22"/>
        <v>-456.26138383905658</v>
      </c>
    </row>
    <row r="87" spans="1:8" x14ac:dyDescent="0.25">
      <c r="A87" s="39" t="s">
        <v>255</v>
      </c>
      <c r="B87" s="194">
        <f t="shared" si="23"/>
        <v>45292</v>
      </c>
      <c r="C87" s="185">
        <v>0</v>
      </c>
      <c r="D87" s="185">
        <v>-15.914191667644673</v>
      </c>
      <c r="E87" s="81">
        <f>SUM(C87:D87)</f>
        <v>-15.914191667644673</v>
      </c>
      <c r="F87" s="156">
        <f>'Sch.111 Non-Vol Credit Seasonal'!$D$29</f>
        <v>-17.27</v>
      </c>
      <c r="G87" s="185">
        <v>-16.41</v>
      </c>
      <c r="H87" s="81">
        <f>SUM(F87:G87)</f>
        <v>-33.68</v>
      </c>
    </row>
    <row r="88" spans="1:8" x14ac:dyDescent="0.25">
      <c r="A88" s="39" t="s">
        <v>255</v>
      </c>
      <c r="B88" s="194">
        <f>EDATE(B87,1)</f>
        <v>45323</v>
      </c>
      <c r="C88" s="185">
        <v>0</v>
      </c>
      <c r="D88" s="185">
        <v>-14.377112994376681</v>
      </c>
      <c r="E88" s="81">
        <f t="shared" ref="E88:E98" si="25">SUM(C88:D88)</f>
        <v>-14.377112994376681</v>
      </c>
      <c r="F88" s="156">
        <f>'Sch.111 Non-Vol Credit Seasonal'!$E$29</f>
        <v>-15.6</v>
      </c>
      <c r="G88" s="185">
        <v>-14.82</v>
      </c>
      <c r="H88" s="81">
        <f t="shared" ref="H88:H98" si="26">SUM(F88:G88)</f>
        <v>-30.42</v>
      </c>
    </row>
    <row r="89" spans="1:8" x14ac:dyDescent="0.25">
      <c r="A89" s="39" t="s">
        <v>255</v>
      </c>
      <c r="B89" s="194">
        <f t="shared" ref="B89:B98" si="27">EDATE(B88,1)</f>
        <v>45352</v>
      </c>
      <c r="C89" s="185">
        <v>0</v>
      </c>
      <c r="D89" s="185">
        <v>-12.772999152146065</v>
      </c>
      <c r="E89" s="81">
        <f t="shared" si="25"/>
        <v>-12.772999152146065</v>
      </c>
      <c r="F89" s="156">
        <f>'Sch.111 Non-Vol Credit Seasonal'!$F$29</f>
        <v>-13.86</v>
      </c>
      <c r="G89" s="185">
        <v>-13.17</v>
      </c>
      <c r="H89" s="81">
        <f t="shared" si="26"/>
        <v>-27.03</v>
      </c>
    </row>
    <row r="90" spans="1:8" x14ac:dyDescent="0.25">
      <c r="A90" s="39" t="s">
        <v>255</v>
      </c>
      <c r="B90" s="194">
        <f t="shared" si="27"/>
        <v>45383</v>
      </c>
      <c r="C90" s="185">
        <v>0</v>
      </c>
      <c r="D90" s="185">
        <v>-9.1397871720034729</v>
      </c>
      <c r="E90" s="81">
        <f t="shared" si="25"/>
        <v>-9.1397871720034729</v>
      </c>
      <c r="F90" s="156">
        <f>'Sch.111 Non-Vol Credit Seasonal'!$G$29</f>
        <v>-9.92</v>
      </c>
      <c r="G90" s="185">
        <v>-9.42</v>
      </c>
      <c r="H90" s="81">
        <f t="shared" si="26"/>
        <v>-19.34</v>
      </c>
    </row>
    <row r="91" spans="1:8" x14ac:dyDescent="0.25">
      <c r="A91" s="39" t="s">
        <v>255</v>
      </c>
      <c r="B91" s="194">
        <f t="shared" si="27"/>
        <v>45413</v>
      </c>
      <c r="C91" s="185">
        <v>0</v>
      </c>
      <c r="D91" s="185">
        <v>-6.6549204917053206</v>
      </c>
      <c r="E91" s="81">
        <f t="shared" si="25"/>
        <v>-6.6549204917053206</v>
      </c>
      <c r="F91" s="156">
        <f>'Sch.111 Non-Vol Credit Seasonal'!$H$29</f>
        <v>-7.22</v>
      </c>
      <c r="G91" s="185">
        <v>-6.86</v>
      </c>
      <c r="H91" s="81">
        <f t="shared" si="26"/>
        <v>-14.08</v>
      </c>
    </row>
    <row r="92" spans="1:8" x14ac:dyDescent="0.25">
      <c r="A92" s="39" t="s">
        <v>255</v>
      </c>
      <c r="B92" s="194">
        <f t="shared" si="27"/>
        <v>45444</v>
      </c>
      <c r="C92" s="185">
        <v>0</v>
      </c>
      <c r="D92" s="185">
        <v>-5.3367317525046234</v>
      </c>
      <c r="E92" s="81">
        <f t="shared" si="25"/>
        <v>-5.3367317525046234</v>
      </c>
      <c r="F92" s="156">
        <f>'Sch.111 Non-Vol Credit Seasonal'!$I$29</f>
        <v>-5.79</v>
      </c>
      <c r="G92" s="185">
        <v>-5.5</v>
      </c>
      <c r="H92" s="81">
        <f t="shared" si="26"/>
        <v>-11.29</v>
      </c>
    </row>
    <row r="93" spans="1:8" x14ac:dyDescent="0.25">
      <c r="A93" s="39" t="s">
        <v>255</v>
      </c>
      <c r="B93" s="194">
        <f t="shared" si="27"/>
        <v>45474</v>
      </c>
      <c r="C93" s="185">
        <v>0</v>
      </c>
      <c r="D93" s="185">
        <v>-4.5552536571540045</v>
      </c>
      <c r="E93" s="81">
        <f t="shared" si="25"/>
        <v>-4.5552536571540045</v>
      </c>
      <c r="F93" s="156">
        <f>'Sch.111 Non-Vol Credit Seasonal'!$J$29</f>
        <v>-4.9400000000000004</v>
      </c>
      <c r="G93" s="185">
        <v>-4.7</v>
      </c>
      <c r="H93" s="81">
        <f t="shared" si="26"/>
        <v>-9.64</v>
      </c>
    </row>
    <row r="94" spans="1:8" x14ac:dyDescent="0.25">
      <c r="A94" s="39" t="s">
        <v>255</v>
      </c>
      <c r="B94" s="194">
        <f t="shared" si="27"/>
        <v>45505</v>
      </c>
      <c r="C94" s="185">
        <v>0</v>
      </c>
      <c r="D94" s="185">
        <v>-5.0053112807520819</v>
      </c>
      <c r="E94" s="81">
        <f t="shared" si="25"/>
        <v>-5.0053112807520819</v>
      </c>
      <c r="F94" s="156">
        <f>'Sch.111 Non-Vol Credit Seasonal'!$K$29</f>
        <v>-5.43</v>
      </c>
      <c r="G94" s="185">
        <v>-5.16</v>
      </c>
      <c r="H94" s="81">
        <f t="shared" si="26"/>
        <v>-10.59</v>
      </c>
    </row>
    <row r="95" spans="1:8" x14ac:dyDescent="0.25">
      <c r="A95" s="39" t="s">
        <v>255</v>
      </c>
      <c r="B95" s="194">
        <f t="shared" si="27"/>
        <v>45536</v>
      </c>
      <c r="C95" s="185">
        <v>0</v>
      </c>
      <c r="D95" s="185">
        <v>-6.1617539371077283</v>
      </c>
      <c r="E95" s="81">
        <f t="shared" si="25"/>
        <v>-6.1617539371077283</v>
      </c>
      <c r="F95" s="156">
        <f>'Sch.111 Non-Vol Credit Seasonal'!$L$29</f>
        <v>-6.69</v>
      </c>
      <c r="G95" s="185">
        <v>-6.35</v>
      </c>
      <c r="H95" s="81">
        <f t="shared" si="26"/>
        <v>-13.04</v>
      </c>
    </row>
    <row r="96" spans="1:8" x14ac:dyDescent="0.25">
      <c r="A96" s="39" t="s">
        <v>255</v>
      </c>
      <c r="B96" s="194">
        <f t="shared" si="27"/>
        <v>45566</v>
      </c>
      <c r="C96" s="185">
        <v>0</v>
      </c>
      <c r="D96" s="185">
        <v>-10.435776974198632</v>
      </c>
      <c r="E96" s="81">
        <f t="shared" si="25"/>
        <v>-10.435776974198632</v>
      </c>
      <c r="F96" s="156">
        <f>'Sch.111 Non-Vol Credit Seasonal'!$M$29</f>
        <v>-11.32</v>
      </c>
      <c r="G96" s="185">
        <v>-10.76</v>
      </c>
      <c r="H96" s="81">
        <f t="shared" si="26"/>
        <v>-22.08</v>
      </c>
    </row>
    <row r="97" spans="1:8" x14ac:dyDescent="0.25">
      <c r="A97" s="39" t="s">
        <v>255</v>
      </c>
      <c r="B97" s="194">
        <f t="shared" si="27"/>
        <v>45597</v>
      </c>
      <c r="C97" s="185">
        <v>0</v>
      </c>
      <c r="D97" s="185">
        <v>0</v>
      </c>
      <c r="E97" s="81">
        <f t="shared" si="25"/>
        <v>0</v>
      </c>
      <c r="F97" s="156">
        <f>'Sch.111 Non-Vol Credit Seasonal'!$N$29</f>
        <v>-16.149999999999999</v>
      </c>
      <c r="G97" s="185">
        <v>0</v>
      </c>
      <c r="H97" s="81">
        <f t="shared" si="26"/>
        <v>-16.149999999999999</v>
      </c>
    </row>
    <row r="98" spans="1:8" x14ac:dyDescent="0.25">
      <c r="A98" s="39" t="s">
        <v>255</v>
      </c>
      <c r="B98" s="194">
        <f t="shared" si="27"/>
        <v>45627</v>
      </c>
      <c r="C98" s="185">
        <v>0</v>
      </c>
      <c r="D98" s="185">
        <v>0</v>
      </c>
      <c r="E98" s="81">
        <f t="shared" si="25"/>
        <v>0</v>
      </c>
      <c r="F98" s="156">
        <f>'Sch.111 Non-Vol Credit Seasonal'!$O$29</f>
        <v>-19.5</v>
      </c>
      <c r="G98" s="185">
        <v>0</v>
      </c>
      <c r="H98" s="81">
        <f t="shared" si="26"/>
        <v>-19.5</v>
      </c>
    </row>
    <row r="101" spans="1:8" x14ac:dyDescent="0.25">
      <c r="A101" s="39" t="str">
        <f>"* - When, or if, Schedule 88T becomes effective, then the charge of $"&amp;'Sch. 111 Chrg Rates (88T)'!G23&amp;" will apply to 88T and credit will be $"&amp;'Sch. 111 NVC Rates (88T)'!H23&amp;" for 88T and $"&amp;'Sch. 111 NVC Rates (88T)'!H22&amp;" for 87T."</f>
        <v>* - When, or if, Schedule 88T becomes effective, then the charge of $0.23183 will apply to 88T and credit will be $-56567.83 for 88T and $-16040.18 for 87T.</v>
      </c>
    </row>
    <row r="102" spans="1:8" x14ac:dyDescent="0.25">
      <c r="A102" s="39" t="str">
        <f>"** - Base Credits are effective through December 2023, after which become zero."</f>
        <v>** - Base Credits are effective through December 2023, after which become zero.</v>
      </c>
    </row>
  </sheetData>
  <mergeCells count="12">
    <mergeCell ref="A1:H1"/>
    <mergeCell ref="A2:H2"/>
    <mergeCell ref="A3:H3"/>
    <mergeCell ref="A4:H4"/>
    <mergeCell ref="C6:E6"/>
    <mergeCell ref="F6:H6"/>
    <mergeCell ref="C24:E24"/>
    <mergeCell ref="F24:H24"/>
    <mergeCell ref="C42:E42"/>
    <mergeCell ref="F42:H42"/>
    <mergeCell ref="C48:E48"/>
    <mergeCell ref="F48:H48"/>
  </mergeCells>
  <printOptions horizontalCentered="1"/>
  <pageMargins left="0.7" right="0.7" top="0.75" bottom="0.75" header="0.3" footer="0.3"/>
  <pageSetup scale="70" fitToHeight="2" orientation="landscape" blackAndWhite="1" r:id="rId1"/>
  <headerFooter>
    <oddFooter>&amp;L&amp;F 
&amp;A&amp;C&amp;P&amp;R&amp;D</oddFooter>
  </headerFooter>
  <rowBreaks count="2" manualBreakCount="2">
    <brk id="46" max="7" man="1"/>
    <brk id="82"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7"/>
  <sheetViews>
    <sheetView zoomScale="85" zoomScaleNormal="85" workbookViewId="0">
      <pane xSplit="3" ySplit="9" topLeftCell="K10" activePane="bottomRight" state="frozenSplit"/>
      <selection activeCell="M39" sqref="M39"/>
      <selection pane="topRight" activeCell="M39" sqref="M39"/>
      <selection pane="bottomLeft" activeCell="M39" sqref="M39"/>
      <selection pane="bottomRight" activeCell="W37" sqref="W37"/>
    </sheetView>
  </sheetViews>
  <sheetFormatPr defaultRowHeight="15" x14ac:dyDescent="0.25"/>
  <cols>
    <col min="1" max="1" width="2.85546875" customWidth="1"/>
    <col min="2" max="2" width="37.5703125" customWidth="1"/>
    <col min="3" max="3" width="8.42578125" bestFit="1" customWidth="1"/>
    <col min="4" max="4" width="15" bestFit="1" customWidth="1"/>
    <col min="5" max="5" width="14.5703125" bestFit="1" customWidth="1"/>
    <col min="6" max="6" width="10.5703125" bestFit="1" customWidth="1"/>
    <col min="7" max="7" width="15" customWidth="1"/>
    <col min="8" max="9" width="14.5703125" bestFit="1" customWidth="1"/>
    <col min="10" max="10" width="14.42578125" bestFit="1" customWidth="1"/>
    <col min="11" max="11" width="13.28515625" customWidth="1"/>
    <col min="12" max="12" width="13.28515625" bestFit="1" customWidth="1"/>
    <col min="13" max="13" width="12.140625" bestFit="1" customWidth="1"/>
    <col min="14" max="14" width="13.28515625" bestFit="1" customWidth="1"/>
    <col min="15" max="15" width="14" bestFit="1" customWidth="1"/>
    <col min="16" max="17" width="14" customWidth="1"/>
    <col min="18" max="18" width="12.85546875" bestFit="1" customWidth="1"/>
    <col min="19" max="19" width="13.28515625" bestFit="1" customWidth="1"/>
    <col min="20" max="20" width="16.140625" bestFit="1" customWidth="1"/>
    <col min="21" max="21" width="13.28515625" customWidth="1"/>
    <col min="22" max="22" width="7.85546875" bestFit="1" customWidth="1"/>
    <col min="23" max="23" width="14.42578125" bestFit="1" customWidth="1"/>
    <col min="24" max="24" width="8.85546875" bestFit="1" customWidth="1"/>
    <col min="25" max="25" width="13.28515625" customWidth="1"/>
    <col min="26" max="26" width="8.85546875" bestFit="1" customWidth="1"/>
  </cols>
  <sheetData>
    <row r="1" spans="2:26" x14ac:dyDescent="0.25">
      <c r="B1" s="250" t="s">
        <v>0</v>
      </c>
      <c r="C1" s="250"/>
      <c r="D1" s="250"/>
      <c r="E1" s="250"/>
      <c r="F1" s="250"/>
      <c r="G1" s="250"/>
      <c r="H1" s="250"/>
      <c r="I1" s="250"/>
      <c r="J1" s="250"/>
      <c r="K1" s="250"/>
      <c r="L1" s="250"/>
      <c r="M1" s="250"/>
      <c r="N1" s="250"/>
      <c r="O1" s="250"/>
      <c r="P1" s="250"/>
      <c r="Q1" s="250"/>
      <c r="R1" s="250"/>
      <c r="S1" s="250"/>
      <c r="T1" s="250"/>
      <c r="U1" s="250"/>
      <c r="V1" s="250"/>
      <c r="W1" s="250"/>
      <c r="X1" s="250"/>
      <c r="Y1" s="250"/>
      <c r="Z1" s="250"/>
    </row>
    <row r="2" spans="2:26" x14ac:dyDescent="0.25">
      <c r="B2" s="250" t="s">
        <v>259</v>
      </c>
      <c r="C2" s="250"/>
      <c r="D2" s="250"/>
      <c r="E2" s="250"/>
      <c r="F2" s="250"/>
      <c r="G2" s="250"/>
      <c r="H2" s="250"/>
      <c r="I2" s="250"/>
      <c r="J2" s="250"/>
      <c r="K2" s="250"/>
      <c r="L2" s="250"/>
      <c r="M2" s="250"/>
      <c r="N2" s="250"/>
      <c r="O2" s="250"/>
      <c r="P2" s="250"/>
      <c r="Q2" s="250"/>
      <c r="R2" s="250"/>
      <c r="S2" s="250"/>
      <c r="T2" s="250"/>
      <c r="U2" s="250"/>
      <c r="V2" s="250"/>
      <c r="W2" s="250"/>
      <c r="X2" s="250"/>
      <c r="Y2" s="250"/>
      <c r="Z2" s="250"/>
    </row>
    <row r="3" spans="2:26" x14ac:dyDescent="0.25">
      <c r="B3" s="251" t="s">
        <v>118</v>
      </c>
      <c r="C3" s="251"/>
      <c r="D3" s="251"/>
      <c r="E3" s="251"/>
      <c r="F3" s="251"/>
      <c r="G3" s="251"/>
      <c r="H3" s="251"/>
      <c r="I3" s="251"/>
      <c r="J3" s="251"/>
      <c r="K3" s="251"/>
      <c r="L3" s="251"/>
      <c r="M3" s="251"/>
      <c r="N3" s="251"/>
      <c r="O3" s="251"/>
      <c r="P3" s="251"/>
      <c r="Q3" s="251"/>
      <c r="R3" s="251"/>
      <c r="S3" s="251"/>
      <c r="T3" s="251"/>
      <c r="U3" s="251"/>
      <c r="V3" s="251"/>
      <c r="W3" s="251"/>
      <c r="X3" s="251"/>
      <c r="Y3" s="251"/>
      <c r="Z3" s="251"/>
    </row>
    <row r="4" spans="2:26" x14ac:dyDescent="0.25">
      <c r="B4" s="251" t="s">
        <v>260</v>
      </c>
      <c r="C4" s="251"/>
      <c r="D4" s="251"/>
      <c r="E4" s="251"/>
      <c r="F4" s="251"/>
      <c r="G4" s="251"/>
      <c r="H4" s="251"/>
      <c r="I4" s="251"/>
      <c r="J4" s="251"/>
      <c r="K4" s="251"/>
      <c r="L4" s="251"/>
      <c r="M4" s="251"/>
      <c r="N4" s="251"/>
      <c r="O4" s="251"/>
      <c r="P4" s="251"/>
      <c r="Q4" s="251"/>
      <c r="R4" s="251"/>
      <c r="S4" s="251"/>
      <c r="T4" s="251"/>
      <c r="U4" s="251"/>
      <c r="V4" s="251"/>
      <c r="W4" s="251"/>
      <c r="X4" s="251"/>
      <c r="Y4" s="251"/>
      <c r="Z4" s="251"/>
    </row>
    <row r="5" spans="2:26" x14ac:dyDescent="0.25">
      <c r="F5" s="235"/>
      <c r="O5" s="235"/>
      <c r="P5" s="235"/>
      <c r="Q5" s="235"/>
    </row>
    <row r="6" spans="2:26" x14ac:dyDescent="0.25">
      <c r="F6" s="235"/>
      <c r="G6" s="106" t="s">
        <v>119</v>
      </c>
      <c r="O6" s="235"/>
      <c r="P6" s="235"/>
      <c r="Q6" s="235"/>
    </row>
    <row r="7" spans="2:26" x14ac:dyDescent="0.25">
      <c r="B7" s="106"/>
      <c r="C7" s="106"/>
      <c r="D7" s="106" t="s">
        <v>120</v>
      </c>
      <c r="E7" s="106" t="str">
        <f>D7</f>
        <v>UG-220067</v>
      </c>
      <c r="F7" s="106" t="s">
        <v>121</v>
      </c>
      <c r="G7" s="106" t="s">
        <v>122</v>
      </c>
      <c r="H7" s="235"/>
      <c r="I7" s="106"/>
      <c r="J7" s="106"/>
      <c r="K7" s="106"/>
      <c r="L7" s="106"/>
      <c r="M7" s="106"/>
      <c r="N7" s="106"/>
      <c r="O7" s="106"/>
      <c r="P7" s="106"/>
      <c r="Q7" s="106"/>
      <c r="R7" s="106"/>
      <c r="S7" s="106"/>
      <c r="T7" s="107" t="s">
        <v>266</v>
      </c>
      <c r="U7" s="107" t="s">
        <v>5</v>
      </c>
      <c r="V7" s="106"/>
      <c r="W7" s="107" t="s">
        <v>5</v>
      </c>
      <c r="X7" s="106"/>
      <c r="Y7" s="107" t="s">
        <v>5</v>
      </c>
      <c r="Z7" s="106"/>
    </row>
    <row r="8" spans="2:26" x14ac:dyDescent="0.25">
      <c r="B8" s="106"/>
      <c r="C8" s="106" t="s">
        <v>123</v>
      </c>
      <c r="D8" s="106" t="s">
        <v>124</v>
      </c>
      <c r="E8" s="106" t="s">
        <v>125</v>
      </c>
      <c r="F8" s="106" t="s">
        <v>123</v>
      </c>
      <c r="G8" s="107" t="s">
        <v>264</v>
      </c>
      <c r="H8" s="235" t="s">
        <v>125</v>
      </c>
      <c r="I8" s="106" t="s">
        <v>126</v>
      </c>
      <c r="J8" s="106" t="s">
        <v>127</v>
      </c>
      <c r="K8" s="106" t="s">
        <v>5</v>
      </c>
      <c r="L8" s="106" t="s">
        <v>128</v>
      </c>
      <c r="M8" s="106" t="s">
        <v>129</v>
      </c>
      <c r="N8" s="106" t="s">
        <v>130</v>
      </c>
      <c r="O8" s="106" t="s">
        <v>131</v>
      </c>
      <c r="P8" s="106" t="s">
        <v>132</v>
      </c>
      <c r="Q8" s="106" t="s">
        <v>133</v>
      </c>
      <c r="R8" s="106" t="s">
        <v>134</v>
      </c>
      <c r="S8" s="106" t="s">
        <v>135</v>
      </c>
      <c r="T8" s="106" t="s">
        <v>136</v>
      </c>
      <c r="U8" s="106" t="s">
        <v>137</v>
      </c>
      <c r="V8" s="106" t="s">
        <v>138</v>
      </c>
      <c r="W8" s="106" t="s">
        <v>139</v>
      </c>
      <c r="X8" s="106" t="s">
        <v>138</v>
      </c>
      <c r="Y8" s="106" t="s">
        <v>140</v>
      </c>
      <c r="Z8" s="106" t="s">
        <v>138</v>
      </c>
    </row>
    <row r="9" spans="2:26" ht="17.25" x14ac:dyDescent="0.25">
      <c r="B9" s="236" t="s">
        <v>7</v>
      </c>
      <c r="C9" s="236" t="s">
        <v>141</v>
      </c>
      <c r="D9" s="236" t="s">
        <v>142</v>
      </c>
      <c r="E9" s="236" t="s">
        <v>143</v>
      </c>
      <c r="F9" s="236" t="s">
        <v>144</v>
      </c>
      <c r="G9" s="108" t="s">
        <v>265</v>
      </c>
      <c r="H9" s="236" t="s">
        <v>4</v>
      </c>
      <c r="I9" s="236" t="s">
        <v>4</v>
      </c>
      <c r="J9" s="236" t="s">
        <v>4</v>
      </c>
      <c r="K9" s="236" t="s">
        <v>4</v>
      </c>
      <c r="L9" s="236" t="s">
        <v>4</v>
      </c>
      <c r="M9" s="236" t="s">
        <v>4</v>
      </c>
      <c r="N9" s="236" t="s">
        <v>4</v>
      </c>
      <c r="O9" s="236" t="s">
        <v>4</v>
      </c>
      <c r="P9" s="236" t="s">
        <v>4</v>
      </c>
      <c r="Q9" s="236" t="s">
        <v>4</v>
      </c>
      <c r="R9" s="236" t="s">
        <v>4</v>
      </c>
      <c r="S9" s="236" t="s">
        <v>4</v>
      </c>
      <c r="T9" s="60" t="s">
        <v>145</v>
      </c>
      <c r="U9" s="236" t="s">
        <v>146</v>
      </c>
      <c r="V9" s="236" t="s">
        <v>146</v>
      </c>
      <c r="W9" s="236" t="s">
        <v>146</v>
      </c>
      <c r="X9" s="236" t="s">
        <v>146</v>
      </c>
      <c r="Y9" s="236" t="s">
        <v>146</v>
      </c>
      <c r="Z9" s="236" t="s">
        <v>146</v>
      </c>
    </row>
    <row r="10" spans="2:26" x14ac:dyDescent="0.25">
      <c r="B10" s="106" t="s">
        <v>147</v>
      </c>
      <c r="C10" s="106" t="s">
        <v>148</v>
      </c>
      <c r="D10" s="109" t="s">
        <v>149</v>
      </c>
      <c r="E10" s="110" t="s">
        <v>150</v>
      </c>
      <c r="F10" s="106" t="s">
        <v>151</v>
      </c>
      <c r="G10" s="106" t="s">
        <v>152</v>
      </c>
      <c r="H10" s="106" t="s">
        <v>153</v>
      </c>
      <c r="I10" s="106" t="s">
        <v>154</v>
      </c>
      <c r="J10" s="106" t="s">
        <v>155</v>
      </c>
      <c r="K10" s="106" t="s">
        <v>156</v>
      </c>
      <c r="L10" s="106" t="s">
        <v>157</v>
      </c>
      <c r="M10" s="110" t="s">
        <v>158</v>
      </c>
      <c r="N10" s="110" t="s">
        <v>159</v>
      </c>
      <c r="O10" s="110" t="s">
        <v>160</v>
      </c>
      <c r="P10" s="110" t="s">
        <v>161</v>
      </c>
      <c r="Q10" s="110" t="s">
        <v>162</v>
      </c>
      <c r="R10" s="110" t="s">
        <v>163</v>
      </c>
      <c r="S10" s="110" t="s">
        <v>164</v>
      </c>
      <c r="T10" s="111" t="s">
        <v>165</v>
      </c>
      <c r="U10" s="106" t="s">
        <v>166</v>
      </c>
      <c r="V10" s="106" t="s">
        <v>167</v>
      </c>
      <c r="W10" s="106" t="s">
        <v>168</v>
      </c>
      <c r="X10" s="106" t="s">
        <v>169</v>
      </c>
      <c r="Y10" s="106" t="s">
        <v>170</v>
      </c>
      <c r="Z10" s="106" t="s">
        <v>171</v>
      </c>
    </row>
    <row r="11" spans="2:26" x14ac:dyDescent="0.25">
      <c r="B11" t="s">
        <v>19</v>
      </c>
      <c r="C11" s="235">
        <v>23</v>
      </c>
      <c r="D11" s="189">
        <v>620836684.05687141</v>
      </c>
      <c r="E11" s="117">
        <v>403613457.09474093</v>
      </c>
      <c r="F11" s="113">
        <f t="shared" ref="F11:F16" si="0">(E11)/D11</f>
        <v>0.6501121268436002</v>
      </c>
      <c r="G11" s="189">
        <v>555750480</v>
      </c>
      <c r="H11" s="114">
        <f>F11*G11</f>
        <v>361300126.54715168</v>
      </c>
      <c r="I11" s="117">
        <v>309058399.43000001</v>
      </c>
      <c r="J11" s="117">
        <v>-112111544.33</v>
      </c>
      <c r="K11" s="112">
        <f>'Sch. 111 Charge'!J10+'Sch. 111 Credit'!J10+'Sch. 111 Credit'!J29</f>
        <v>27657998.902113304</v>
      </c>
      <c r="L11" s="117">
        <v>15977826.300000001</v>
      </c>
      <c r="M11" s="117">
        <v>3056627.6399999997</v>
      </c>
      <c r="N11" s="117">
        <v>12698898.467999998</v>
      </c>
      <c r="O11" s="117">
        <v>1811746.5647999998</v>
      </c>
      <c r="P11" s="117">
        <v>13638116.779199999</v>
      </c>
      <c r="Q11" s="117">
        <v>11626300.041599998</v>
      </c>
      <c r="R11" s="117">
        <v>0</v>
      </c>
      <c r="S11" s="117">
        <v>2578682.23</v>
      </c>
      <c r="T11" s="115">
        <f t="shared" ref="T11:T23" si="1">SUM(H11:S11)</f>
        <v>647293178.57286489</v>
      </c>
      <c r="U11" s="112">
        <f>'Sch. 111 Charge'!L10</f>
        <v>-8830875.1272000074</v>
      </c>
      <c r="V11" s="116">
        <f>U11/T11</f>
        <v>-1.3642774896330733E-2</v>
      </c>
      <c r="W11" s="112">
        <f>SUM('Sch. 111 Credit'!L10,'Sch. 111 Credit'!L29)</f>
        <v>26564202.521277118</v>
      </c>
      <c r="X11" s="116">
        <f>W11/T11</f>
        <v>4.1038903854734229E-2</v>
      </c>
      <c r="Y11" s="114">
        <f>U11+W11</f>
        <v>17733327.394077111</v>
      </c>
      <c r="Z11" s="116">
        <f>Y11/T11</f>
        <v>2.7396128958403498E-2</v>
      </c>
    </row>
    <row r="12" spans="2:26" x14ac:dyDescent="0.25">
      <c r="B12" t="s">
        <v>20</v>
      </c>
      <c r="C12" s="235">
        <v>16</v>
      </c>
      <c r="D12" s="189">
        <v>8190.2669999999998</v>
      </c>
      <c r="E12" s="117">
        <v>5233.1499999999996</v>
      </c>
      <c r="F12" s="113">
        <f t="shared" si="0"/>
        <v>0.63894742381414427</v>
      </c>
      <c r="G12" s="189">
        <v>6996</v>
      </c>
      <c r="H12" s="114">
        <f t="shared" ref="H12:H23" si="2">F12*G12</f>
        <v>4470.0761770037534</v>
      </c>
      <c r="I12" s="117">
        <v>3890.55</v>
      </c>
      <c r="J12" s="117">
        <v>-1411.3</v>
      </c>
      <c r="K12" s="112">
        <f>'Sch. 111 Charge'!J11+'Sch. 111 Credit'!J11</f>
        <v>548.62263789473764</v>
      </c>
      <c r="L12" s="117">
        <v>201.13500000000002</v>
      </c>
      <c r="M12" s="117"/>
      <c r="N12" s="117">
        <v>159.8586</v>
      </c>
      <c r="O12" s="117">
        <v>22.80696</v>
      </c>
      <c r="P12" s="117">
        <v>171.68183999999999</v>
      </c>
      <c r="Q12" s="117">
        <v>146.35631999999998</v>
      </c>
      <c r="R12" s="117">
        <v>0</v>
      </c>
      <c r="S12" s="117"/>
      <c r="T12" s="115">
        <f t="shared" si="1"/>
        <v>8199.7875348984908</v>
      </c>
      <c r="U12" s="112">
        <f>'Sch. 111 Charge'!L11</f>
        <v>-111.16644000000042</v>
      </c>
      <c r="V12" s="116">
        <f t="shared" ref="V12:V24" si="3">U12/T12</f>
        <v>-1.355723419989523E-2</v>
      </c>
      <c r="W12" s="112">
        <f>'Sch. 111 Credit'!L11</f>
        <v>419.75999999999976</v>
      </c>
      <c r="X12" s="116">
        <f t="shared" ref="X12:X23" si="4">W12/T12</f>
        <v>5.1191570295387678E-2</v>
      </c>
      <c r="Y12" s="114">
        <f t="shared" ref="Y12:Y23" si="5">U12+W12</f>
        <v>308.59355999999934</v>
      </c>
      <c r="Z12" s="116">
        <f t="shared" ref="Z12:Z23" si="6">Y12/T12</f>
        <v>3.7634336095492452E-2</v>
      </c>
    </row>
    <row r="13" spans="2:26" x14ac:dyDescent="0.25">
      <c r="B13" t="s">
        <v>21</v>
      </c>
      <c r="C13" s="235">
        <v>31</v>
      </c>
      <c r="D13" s="189">
        <v>222166912.14539161</v>
      </c>
      <c r="E13" s="117">
        <v>122121000.06</v>
      </c>
      <c r="F13" s="113">
        <f t="shared" si="0"/>
        <v>0.54968131339054194</v>
      </c>
      <c r="G13" s="189">
        <v>231048521</v>
      </c>
      <c r="H13" s="114">
        <f t="shared" si="2"/>
        <v>127003054.48022221</v>
      </c>
      <c r="I13" s="117">
        <v>126979646.17</v>
      </c>
      <c r="J13" s="117">
        <v>-46255913.899999999</v>
      </c>
      <c r="K13" s="112">
        <f>'Sch. 111 Charge'!J12+'Sch. 111 Credit'!J12</f>
        <v>14697146.970019832</v>
      </c>
      <c r="L13" s="117">
        <v>6642644.9787500007</v>
      </c>
      <c r="M13" s="117">
        <v>1090549.0191200001</v>
      </c>
      <c r="N13" s="117">
        <v>5806249.3327299999</v>
      </c>
      <c r="O13" s="117">
        <v>695456.04821000004</v>
      </c>
      <c r="P13" s="117">
        <v>5233249.0006499998</v>
      </c>
      <c r="Q13" s="117">
        <v>4463857.4257199997</v>
      </c>
      <c r="R13" s="117">
        <v>0</v>
      </c>
      <c r="S13" s="117">
        <v>-4114974.16</v>
      </c>
      <c r="T13" s="115">
        <f t="shared" si="1"/>
        <v>242240965.36542201</v>
      </c>
      <c r="U13" s="112">
        <f>'Sch. 111 Charge'!L12</f>
        <v>-3598285.1976860911</v>
      </c>
      <c r="V13" s="116">
        <f t="shared" si="3"/>
        <v>-1.4854156448138553E-2</v>
      </c>
      <c r="W13" s="112">
        <f>'Sch. 111 Credit'!L12</f>
        <v>16491810.280000009</v>
      </c>
      <c r="X13" s="116">
        <f t="shared" si="4"/>
        <v>6.8080187242987616E-2</v>
      </c>
      <c r="Y13" s="114">
        <f t="shared" si="5"/>
        <v>12893525.082313918</v>
      </c>
      <c r="Z13" s="116">
        <f t="shared" si="6"/>
        <v>5.3226030794849062E-2</v>
      </c>
    </row>
    <row r="14" spans="2:26" x14ac:dyDescent="0.25">
      <c r="B14" t="s">
        <v>22</v>
      </c>
      <c r="C14" s="235">
        <v>41</v>
      </c>
      <c r="D14" s="189">
        <v>62517991.156948164</v>
      </c>
      <c r="E14" s="117">
        <v>17786398.291046247</v>
      </c>
      <c r="F14" s="113">
        <f t="shared" si="0"/>
        <v>0.28450047677306872</v>
      </c>
      <c r="G14" s="189">
        <v>61773302</v>
      </c>
      <c r="H14" s="114">
        <f t="shared" si="2"/>
        <v>17574533.87084676</v>
      </c>
      <c r="I14" s="117">
        <v>32922099.34</v>
      </c>
      <c r="J14" s="117">
        <v>-12121157.32</v>
      </c>
      <c r="K14" s="112">
        <f>'Sch. 111 Charge'!J13+'Sch. 111 Credit'!J13</f>
        <v>3773434.8186734393</v>
      </c>
      <c r="L14" s="117">
        <v>1775982.4325000001</v>
      </c>
      <c r="M14" s="117">
        <v>142696.32762</v>
      </c>
      <c r="N14" s="117">
        <v>620203.95208000008</v>
      </c>
      <c r="O14" s="117">
        <v>140225.39554</v>
      </c>
      <c r="P14" s="117">
        <v>669004.86066000001</v>
      </c>
      <c r="Q14" s="117">
        <v>570167.57745999994</v>
      </c>
      <c r="R14" s="117">
        <v>0</v>
      </c>
      <c r="S14" s="117">
        <v>-2207116.1999999997</v>
      </c>
      <c r="T14" s="115">
        <f t="shared" si="1"/>
        <v>43860075.055380188</v>
      </c>
      <c r="U14" s="112">
        <f>'Sch. 111 Charge'!L13</f>
        <v>-979671.28973056376</v>
      </c>
      <c r="V14" s="116">
        <f t="shared" si="3"/>
        <v>-2.2336288492292272E-2</v>
      </c>
      <c r="W14" s="112">
        <f>'Sch. 111 Credit'!L13</f>
        <v>4709108.2800000049</v>
      </c>
      <c r="X14" s="116">
        <f t="shared" si="4"/>
        <v>0.10736662611849207</v>
      </c>
      <c r="Y14" s="114">
        <f t="shared" si="5"/>
        <v>3729436.9902694412</v>
      </c>
      <c r="Z14" s="116">
        <f t="shared" si="6"/>
        <v>8.5030337626199798E-2</v>
      </c>
    </row>
    <row r="15" spans="2:26" x14ac:dyDescent="0.25">
      <c r="B15" t="s">
        <v>23</v>
      </c>
      <c r="C15" s="235">
        <v>85</v>
      </c>
      <c r="D15" s="189">
        <v>19992939.502740219</v>
      </c>
      <c r="E15" s="117">
        <v>2272313.06</v>
      </c>
      <c r="F15" s="113">
        <f t="shared" si="0"/>
        <v>0.11365577631486147</v>
      </c>
      <c r="G15" s="189">
        <v>17169388</v>
      </c>
      <c r="H15" s="114">
        <f t="shared" si="2"/>
        <v>1951400.1219910667</v>
      </c>
      <c r="I15" s="117">
        <v>8554041.6300000008</v>
      </c>
      <c r="J15" s="117">
        <v>-3232480.68</v>
      </c>
      <c r="K15" s="112">
        <f>'Sch. 111 Charge'!J14+'Sch. 111 Credit'!J14</f>
        <v>1738571.7648091172</v>
      </c>
      <c r="L15" s="117">
        <v>443656.98591999995</v>
      </c>
      <c r="M15" s="117">
        <v>19033.922933033897</v>
      </c>
      <c r="N15" s="117">
        <v>90826.062520000007</v>
      </c>
      <c r="O15" s="117">
        <v>31591.673920000001</v>
      </c>
      <c r="P15" s="117">
        <v>110570.85872</v>
      </c>
      <c r="Q15" s="117">
        <v>94088.246239999993</v>
      </c>
      <c r="R15" s="117">
        <v>0</v>
      </c>
      <c r="S15" s="117"/>
      <c r="T15" s="115">
        <f t="shared" si="1"/>
        <v>9801300.5870532189</v>
      </c>
      <c r="U15" s="112">
        <f>'Sch. 111 Charge'!L14</f>
        <v>-227321.40133392345</v>
      </c>
      <c r="V15" s="116">
        <f t="shared" si="3"/>
        <v>-2.3192983351025671E-2</v>
      </c>
      <c r="W15" s="112">
        <f>'Sch. 111 Credit'!L14</f>
        <v>225497.52000000048</v>
      </c>
      <c r="X15" s="116">
        <f t="shared" si="4"/>
        <v>2.3006897706806969E-2</v>
      </c>
      <c r="Y15" s="114">
        <f t="shared" si="5"/>
        <v>-1823.8813339229673</v>
      </c>
      <c r="Z15" s="116">
        <f t="shared" si="6"/>
        <v>-1.8608564421870475E-4</v>
      </c>
    </row>
    <row r="16" spans="2:26" x14ac:dyDescent="0.25">
      <c r="B16" t="s">
        <v>24</v>
      </c>
      <c r="C16" s="235">
        <v>86</v>
      </c>
      <c r="D16" s="189">
        <v>5773170.4876905456</v>
      </c>
      <c r="E16" s="117">
        <v>1192875.52</v>
      </c>
      <c r="F16" s="113">
        <f t="shared" si="0"/>
        <v>0.20662398980654192</v>
      </c>
      <c r="G16" s="189">
        <v>4872572</v>
      </c>
      <c r="H16" s="114">
        <f t="shared" si="2"/>
        <v>1006790.2672596416</v>
      </c>
      <c r="I16" s="117">
        <v>2464593.11</v>
      </c>
      <c r="J16" s="117">
        <v>-925886.13</v>
      </c>
      <c r="K16" s="112">
        <f>'Sch. 111 Charge'!J15+'Sch. 111 Credit'!J15</f>
        <v>341719.44436000008</v>
      </c>
      <c r="L16" s="117">
        <v>125907.26048</v>
      </c>
      <c r="M16" s="117">
        <v>8332.0981200000006</v>
      </c>
      <c r="N16" s="117">
        <v>32792.40956</v>
      </c>
      <c r="O16" s="117">
        <v>2387.5602800000001</v>
      </c>
      <c r="P16" s="117">
        <v>25581.003000000001</v>
      </c>
      <c r="Q16" s="117">
        <v>21780.396840000001</v>
      </c>
      <c r="R16" s="117">
        <v>0</v>
      </c>
      <c r="S16" s="117">
        <v>-129427.86</v>
      </c>
      <c r="T16" s="115">
        <f t="shared" si="1"/>
        <v>2974569.5598996421</v>
      </c>
      <c r="U16" s="112">
        <f>'Sch. 111 Charge'!L15</f>
        <v>-77425.169080000138</v>
      </c>
      <c r="V16" s="116">
        <f t="shared" si="3"/>
        <v>-2.6029032947749373E-2</v>
      </c>
      <c r="W16" s="112">
        <f>'Sch. 111 Credit'!L15</f>
        <v>330516.2200000002</v>
      </c>
      <c r="X16" s="116">
        <f t="shared" si="4"/>
        <v>0.11111396568287056</v>
      </c>
      <c r="Y16" s="114">
        <f t="shared" si="5"/>
        <v>253091.05092000007</v>
      </c>
      <c r="Z16" s="116">
        <f t="shared" si="6"/>
        <v>8.5084932735121188E-2</v>
      </c>
    </row>
    <row r="17" spans="2:26" x14ac:dyDescent="0.25">
      <c r="B17" t="s">
        <v>25</v>
      </c>
      <c r="C17" s="235">
        <v>87</v>
      </c>
      <c r="D17" s="189">
        <v>21819455.762355208</v>
      </c>
      <c r="E17" s="117">
        <v>1509849.77</v>
      </c>
      <c r="F17" s="113">
        <f>(E17)/D17</f>
        <v>6.9197407416775353E-2</v>
      </c>
      <c r="G17" s="189">
        <v>20694880</v>
      </c>
      <c r="H17" s="114">
        <f t="shared" si="2"/>
        <v>1432032.0428012758</v>
      </c>
      <c r="I17" s="117">
        <v>10188917.220000001</v>
      </c>
      <c r="J17" s="117">
        <v>-3868080.02</v>
      </c>
      <c r="K17" s="112">
        <f>'Sch. 111 Charge'!J16+'Sch. 111 Credit'!J16</f>
        <v>307480.52002900362</v>
      </c>
      <c r="L17" s="117">
        <v>534755.69919999992</v>
      </c>
      <c r="M17" s="117">
        <v>9506.2814735796965</v>
      </c>
      <c r="N17" s="117">
        <v>78019.6976</v>
      </c>
      <c r="O17" s="117">
        <v>16530.111245820917</v>
      </c>
      <c r="P17" s="117">
        <v>62820.646394285483</v>
      </c>
      <c r="Q17" s="117">
        <v>53674.341709535307</v>
      </c>
      <c r="R17" s="117">
        <v>0</v>
      </c>
      <c r="S17" s="117"/>
      <c r="T17" s="115">
        <f t="shared" si="1"/>
        <v>8815656.540453501</v>
      </c>
      <c r="U17" s="112">
        <f>'Sch. 111 Charge'!L16</f>
        <v>-24633.799924534978</v>
      </c>
      <c r="V17" s="116">
        <f t="shared" si="3"/>
        <v>-2.794323918076299E-3</v>
      </c>
      <c r="W17" s="112">
        <f>'Sch. 111 Credit'!L16</f>
        <v>-94586.039999999979</v>
      </c>
      <c r="X17" s="116">
        <f t="shared" si="4"/>
        <v>-1.0729324533681778E-2</v>
      </c>
      <c r="Y17" s="114">
        <f t="shared" si="5"/>
        <v>-119219.83992453496</v>
      </c>
      <c r="Z17" s="116">
        <f t="shared" si="6"/>
        <v>-1.3523648451758078E-2</v>
      </c>
    </row>
    <row r="18" spans="2:26" x14ac:dyDescent="0.25">
      <c r="B18" t="s">
        <v>26</v>
      </c>
      <c r="C18" s="235" t="s">
        <v>27</v>
      </c>
      <c r="D18" s="189">
        <v>36958.529999999992</v>
      </c>
      <c r="E18" s="117">
        <v>23981.98</v>
      </c>
      <c r="F18" s="113">
        <f>(E18)/D18</f>
        <v>0.64888890331947735</v>
      </c>
      <c r="G18" s="189">
        <v>952</v>
      </c>
      <c r="H18" s="117">
        <f>(0.41249*G18)+(364.04*12)</f>
        <v>4761.1704800000007</v>
      </c>
      <c r="I18" s="117"/>
      <c r="J18" s="117"/>
      <c r="K18" s="112">
        <f>'Sch. 111 Charge'!J17+'Sch. 111 Credit'!J17</f>
        <v>-3439.0162399999999</v>
      </c>
      <c r="L18" s="117"/>
      <c r="M18" s="117">
        <v>4.4934400000000005</v>
      </c>
      <c r="N18" s="117">
        <v>23.923759999999998</v>
      </c>
      <c r="O18" s="117">
        <v>0</v>
      </c>
      <c r="P18" s="117">
        <v>21.562799999999999</v>
      </c>
      <c r="Q18" s="117">
        <v>18.39264</v>
      </c>
      <c r="R18" s="117">
        <v>0</v>
      </c>
      <c r="S18" s="117">
        <v>-16.420000000000002</v>
      </c>
      <c r="T18" s="115">
        <f t="shared" si="1"/>
        <v>1374.1068800000005</v>
      </c>
      <c r="U18" s="112">
        <f>'Sch. 111 Charge'!L17</f>
        <v>-15.127279999999985</v>
      </c>
      <c r="V18" s="116">
        <f t="shared" si="3"/>
        <v>-1.1008808863543409E-2</v>
      </c>
      <c r="W18" s="112">
        <f>'Sch. 111 Credit'!L17</f>
        <v>3570.7200000000003</v>
      </c>
      <c r="X18" s="116">
        <f t="shared" si="4"/>
        <v>2.5985751559587555</v>
      </c>
      <c r="Y18" s="114">
        <f t="shared" si="5"/>
        <v>3555.5927200000001</v>
      </c>
      <c r="Z18" s="116">
        <f t="shared" si="6"/>
        <v>2.5875663470952119</v>
      </c>
    </row>
    <row r="19" spans="2:26" x14ac:dyDescent="0.25">
      <c r="B19" t="s">
        <v>28</v>
      </c>
      <c r="C19" s="235" t="s">
        <v>29</v>
      </c>
      <c r="D19" s="189">
        <v>19494505.608019032</v>
      </c>
      <c r="E19" s="117">
        <v>4475398.7622919884</v>
      </c>
      <c r="F19" s="113">
        <f t="shared" ref="F19:F24" si="7">(E19)/D19</f>
        <v>0.22957231397810063</v>
      </c>
      <c r="G19" s="189">
        <v>21477365</v>
      </c>
      <c r="H19" s="114">
        <f>F19*G19</f>
        <v>4930608.3812022693</v>
      </c>
      <c r="I19" s="117"/>
      <c r="J19" s="117"/>
      <c r="K19" s="112">
        <f>'Sch. 111 Charge'!J18+'Sch. 111 Credit'!J18</f>
        <v>1754868.87995</v>
      </c>
      <c r="L19" s="117"/>
      <c r="M19" s="117">
        <v>49612.713150000003</v>
      </c>
      <c r="N19" s="117">
        <v>215632.74460000001</v>
      </c>
      <c r="O19" s="117">
        <v>0</v>
      </c>
      <c r="P19" s="117">
        <v>232599.86294999998</v>
      </c>
      <c r="Q19" s="117">
        <v>198236.07894999997</v>
      </c>
      <c r="R19" s="117">
        <v>0</v>
      </c>
      <c r="S19" s="117">
        <v>-648372.76</v>
      </c>
      <c r="T19" s="115">
        <f t="shared" si="1"/>
        <v>6733185.9008022696</v>
      </c>
      <c r="U19" s="112">
        <f>'Sch. 111 Charge'!L18</f>
        <v>-341275.32985000126</v>
      </c>
      <c r="V19" s="116">
        <f t="shared" si="3"/>
        <v>-5.0685564735311668E-2</v>
      </c>
      <c r="W19" s="112">
        <f>'Sch. 111 Credit'!L18</f>
        <v>1226970.7199999997</v>
      </c>
      <c r="X19" s="116">
        <f t="shared" si="4"/>
        <v>0.182227364293299</v>
      </c>
      <c r="Y19" s="114">
        <f t="shared" si="5"/>
        <v>885695.39014999848</v>
      </c>
      <c r="Z19" s="116">
        <f t="shared" si="6"/>
        <v>0.13154179955798734</v>
      </c>
    </row>
    <row r="20" spans="2:26" x14ac:dyDescent="0.25">
      <c r="B20" t="s">
        <v>30</v>
      </c>
      <c r="C20" s="235" t="s">
        <v>31</v>
      </c>
      <c r="D20" s="189">
        <v>68886791.019958794</v>
      </c>
      <c r="E20" s="117">
        <v>7339677.3100000005</v>
      </c>
      <c r="F20" s="113">
        <f t="shared" si="7"/>
        <v>0.1065469475544804</v>
      </c>
      <c r="G20" s="189">
        <v>63566690</v>
      </c>
      <c r="H20" s="114">
        <f t="shared" si="2"/>
        <v>6772836.7856419133</v>
      </c>
      <c r="I20" s="117"/>
      <c r="J20" s="117"/>
      <c r="K20" s="112">
        <f>'Sch. 111 Charge'!J19+'Sch. 111 Credit'!J19</f>
        <v>3820910.3944057971</v>
      </c>
      <c r="L20" s="117"/>
      <c r="M20" s="117">
        <v>67263.273240838462</v>
      </c>
      <c r="N20" s="117">
        <v>336267.79010000004</v>
      </c>
      <c r="O20" s="117">
        <v>0</v>
      </c>
      <c r="P20" s="117">
        <v>409369.48360000004</v>
      </c>
      <c r="Q20" s="117">
        <v>348345.46119999996</v>
      </c>
      <c r="R20" s="117">
        <v>0</v>
      </c>
      <c r="S20" s="117"/>
      <c r="T20" s="115">
        <f t="shared" si="1"/>
        <v>11754993.188188549</v>
      </c>
      <c r="U20" s="112">
        <f>'Sch. 111 Charge'!L19</f>
        <v>-933850.39911957085</v>
      </c>
      <c r="V20" s="116">
        <f t="shared" si="3"/>
        <v>-7.944287029089106E-2</v>
      </c>
      <c r="W20" s="112">
        <f>'Sch. 111 Credit'!L19</f>
        <v>4333841.040000001</v>
      </c>
      <c r="X20" s="116">
        <f t="shared" si="4"/>
        <v>0.36868086358013857</v>
      </c>
      <c r="Y20" s="114">
        <f t="shared" si="5"/>
        <v>3399990.6408804301</v>
      </c>
      <c r="Z20" s="116">
        <f t="shared" si="6"/>
        <v>0.28923799328924754</v>
      </c>
    </row>
    <row r="21" spans="2:26" x14ac:dyDescent="0.25">
      <c r="B21" t="s">
        <v>32</v>
      </c>
      <c r="C21" s="235" t="s">
        <v>33</v>
      </c>
      <c r="D21" s="189">
        <v>1718484.3400000003</v>
      </c>
      <c r="E21" s="117">
        <v>367155.5</v>
      </c>
      <c r="F21" s="113">
        <f t="shared" si="7"/>
        <v>0.21365076856039314</v>
      </c>
      <c r="G21" s="189">
        <v>1198658</v>
      </c>
      <c r="H21" s="114">
        <f t="shared" si="2"/>
        <v>256094.20294106373</v>
      </c>
      <c r="I21" s="117"/>
      <c r="J21" s="117"/>
      <c r="K21" s="112">
        <f>'Sch. 111 Charge'!J20+'Sch. 111 Credit'!J20</f>
        <v>23930.930539999914</v>
      </c>
      <c r="L21" s="117"/>
      <c r="M21" s="117">
        <v>2049.7051799999999</v>
      </c>
      <c r="N21" s="117">
        <v>8066.9683399999994</v>
      </c>
      <c r="O21" s="117">
        <v>0</v>
      </c>
      <c r="P21" s="117">
        <v>6292.9545000000007</v>
      </c>
      <c r="Q21" s="117">
        <v>5358.00126</v>
      </c>
      <c r="R21" s="117">
        <v>0</v>
      </c>
      <c r="S21" s="117">
        <v>-28888.010000000002</v>
      </c>
      <c r="T21" s="115">
        <f t="shared" si="1"/>
        <v>272904.75276106363</v>
      </c>
      <c r="U21" s="112">
        <f>'Sch. 111 Charge'!L20</f>
        <v>-19046.675619999995</v>
      </c>
      <c r="V21" s="116">
        <f t="shared" si="3"/>
        <v>-6.9792392500675635E-2</v>
      </c>
      <c r="W21" s="112">
        <f>'Sch. 111 Credit'!L20</f>
        <v>141997.8000000001</v>
      </c>
      <c r="X21" s="116">
        <f t="shared" si="4"/>
        <v>0.52031999649461391</v>
      </c>
      <c r="Y21" s="114">
        <f t="shared" si="5"/>
        <v>122951.12438000011</v>
      </c>
      <c r="Z21" s="116">
        <f t="shared" si="6"/>
        <v>0.45052760399393826</v>
      </c>
    </row>
    <row r="22" spans="2:26" x14ac:dyDescent="0.25">
      <c r="B22" t="s">
        <v>34</v>
      </c>
      <c r="C22" s="241" t="s">
        <v>294</v>
      </c>
      <c r="D22" s="189">
        <v>97500425.645479575</v>
      </c>
      <c r="E22" s="117">
        <v>4790056.76</v>
      </c>
      <c r="F22" s="113">
        <f>(E22)/D22</f>
        <v>4.9128572806616068E-2</v>
      </c>
      <c r="G22" s="189">
        <v>123251717</v>
      </c>
      <c r="H22" s="114">
        <f t="shared" si="2"/>
        <v>6055180.9521749392</v>
      </c>
      <c r="I22" s="117"/>
      <c r="J22" s="117"/>
      <c r="K22" s="112">
        <f>'Sch. 111 Charge'!J21+'Sch. 111 Credit'!J21</f>
        <v>-4621549.1414181516</v>
      </c>
      <c r="L22" s="117"/>
      <c r="M22" s="117">
        <v>44594.492112038715</v>
      </c>
      <c r="N22" s="117">
        <v>464658.97308999998</v>
      </c>
      <c r="O22" s="117">
        <v>0</v>
      </c>
      <c r="P22" s="117">
        <v>269270.88551125338</v>
      </c>
      <c r="Q22" s="117">
        <v>230107.36333163633</v>
      </c>
      <c r="R22" s="117">
        <v>0</v>
      </c>
      <c r="S22" s="117"/>
      <c r="T22" s="115">
        <f t="shared" si="1"/>
        <v>2442263.5248017162</v>
      </c>
      <c r="U22" s="112">
        <f>'Sch. 111 Charge'!L21</f>
        <v>-120335.06660316931</v>
      </c>
      <c r="V22" s="116">
        <f t="shared" si="3"/>
        <v>-4.9271941942849569E-2</v>
      </c>
      <c r="W22" s="112">
        <f>'Sch. 111 Credit'!L21</f>
        <v>5675889.959999999</v>
      </c>
      <c r="X22" s="116">
        <f t="shared" si="4"/>
        <v>2.3240284688200532</v>
      </c>
      <c r="Y22" s="114">
        <f t="shared" si="5"/>
        <v>5555554.8933968302</v>
      </c>
      <c r="Z22" s="116">
        <f t="shared" si="6"/>
        <v>2.2747565268772041</v>
      </c>
    </row>
    <row r="23" spans="2:26" x14ac:dyDescent="0.25">
      <c r="B23" t="s">
        <v>36</v>
      </c>
      <c r="D23" s="189">
        <v>32154478.538398605</v>
      </c>
      <c r="E23" s="117">
        <v>1699064.4523564125</v>
      </c>
      <c r="F23" s="118">
        <f t="shared" si="7"/>
        <v>5.2840678175744761E-2</v>
      </c>
      <c r="G23" s="189">
        <v>32287606</v>
      </c>
      <c r="H23" s="114">
        <f t="shared" si="2"/>
        <v>1706098.9977112457</v>
      </c>
      <c r="I23" s="117"/>
      <c r="J23" s="117"/>
      <c r="K23" s="112">
        <f>'Sch. 111 Charge'!J22+'Sch. 111 Credit'!J22</f>
        <v>808761.82605200913</v>
      </c>
      <c r="L23" s="117"/>
      <c r="M23" s="117"/>
      <c r="N23" s="117">
        <v>30350.34964</v>
      </c>
      <c r="O23" s="117">
        <v>0</v>
      </c>
      <c r="P23" s="117">
        <v>0</v>
      </c>
      <c r="Q23" s="117">
        <v>0</v>
      </c>
      <c r="R23" s="117">
        <v>0</v>
      </c>
      <c r="S23" s="117"/>
      <c r="T23" s="115">
        <f t="shared" si="1"/>
        <v>2545211.1734032552</v>
      </c>
      <c r="U23" s="112">
        <f>'Sch. 111 Charge'!L22</f>
        <v>-205193.74516338203</v>
      </c>
      <c r="V23" s="116">
        <f t="shared" si="3"/>
        <v>-8.0619536527105989E-2</v>
      </c>
      <c r="W23" s="112">
        <f>'Sch. 111 Credit'!L22</f>
        <v>1012575.4799999995</v>
      </c>
      <c r="X23" s="116">
        <f t="shared" si="4"/>
        <v>0.39783554723518821</v>
      </c>
      <c r="Y23" s="114">
        <f t="shared" si="5"/>
        <v>807381.73483661748</v>
      </c>
      <c r="Z23" s="116">
        <f t="shared" si="6"/>
        <v>0.3172160107080822</v>
      </c>
    </row>
    <row r="24" spans="2:26" x14ac:dyDescent="0.25">
      <c r="B24" t="s">
        <v>2</v>
      </c>
      <c r="D24" s="119">
        <f>SUM(D11:D23)</f>
        <v>1172906987.060853</v>
      </c>
      <c r="E24" s="120">
        <f>SUM(E11:E23)</f>
        <v>567196461.71043551</v>
      </c>
      <c r="F24" s="113">
        <f t="shared" si="7"/>
        <v>0.48358179119706113</v>
      </c>
      <c r="G24" s="119">
        <f>SUM(G11:G23)</f>
        <v>1133099127</v>
      </c>
      <c r="H24" s="120">
        <f>SUM(H11:H23)</f>
        <v>529997987.89660108</v>
      </c>
      <c r="I24" s="120">
        <f t="shared" ref="I24:L24" si="8">SUM(I11:I23)</f>
        <v>490171587.45000005</v>
      </c>
      <c r="J24" s="120">
        <f t="shared" si="8"/>
        <v>-178516473.68000001</v>
      </c>
      <c r="K24" s="120">
        <f t="shared" si="8"/>
        <v>50300384.915932253</v>
      </c>
      <c r="L24" s="120">
        <f t="shared" si="8"/>
        <v>25500974.791850004</v>
      </c>
      <c r="M24" s="120">
        <f>SUM(M11:M23)</f>
        <v>4490269.9663894903</v>
      </c>
      <c r="N24" s="120">
        <f>SUM(N11:N23)</f>
        <v>20382150.530620001</v>
      </c>
      <c r="O24" s="120">
        <f>SUM(O11:O23)</f>
        <v>2697960.1609558202</v>
      </c>
      <c r="P24" s="120">
        <f t="shared" ref="P24:Q24" si="9">SUM(P11:P23)</f>
        <v>20657069.579825547</v>
      </c>
      <c r="Q24" s="120">
        <f t="shared" si="9"/>
        <v>17612079.683271162</v>
      </c>
      <c r="R24" s="120">
        <f>SUM(R11:R23)</f>
        <v>0</v>
      </c>
      <c r="S24" s="120">
        <f t="shared" ref="S24:T24" si="10">SUM(S11:S23)</f>
        <v>-4550113.18</v>
      </c>
      <c r="T24" s="121">
        <f t="shared" si="10"/>
        <v>978743878.11544526</v>
      </c>
      <c r="U24" s="120">
        <f>SUM(U11:U23)</f>
        <v>-15358039.495031245</v>
      </c>
      <c r="V24" s="122">
        <f t="shared" si="3"/>
        <v>-1.569158166751744E-2</v>
      </c>
      <c r="W24" s="120">
        <f>SUM(W11:W23)</f>
        <v>60621814.261277132</v>
      </c>
      <c r="X24" s="122">
        <f>W24/T24</f>
        <v>6.19383841031051E-2</v>
      </c>
      <c r="Y24" s="120">
        <f>SUM(Y11:Y23)</f>
        <v>45263774.766245879</v>
      </c>
      <c r="Z24" s="122">
        <f>Y24/T24</f>
        <v>4.6246802435587653E-2</v>
      </c>
    </row>
    <row r="25" spans="2:26" x14ac:dyDescent="0.25">
      <c r="D25" s="123"/>
      <c r="E25" s="114"/>
      <c r="G25" s="123"/>
      <c r="M25" s="114"/>
      <c r="R25" s="114"/>
      <c r="S25" s="114"/>
      <c r="T25" s="114"/>
      <c r="V25" s="124"/>
    </row>
    <row r="26" spans="2:26" s="129" customFormat="1" x14ac:dyDescent="0.25">
      <c r="B26" s="125" t="s">
        <v>172</v>
      </c>
      <c r="C26" s="126"/>
      <c r="D26" s="127"/>
      <c r="E26" s="128"/>
      <c r="U26" s="130"/>
      <c r="V26" s="131"/>
    </row>
    <row r="27" spans="2:26" s="129" customFormat="1" x14ac:dyDescent="0.25">
      <c r="B27" s="132" t="s">
        <v>19</v>
      </c>
      <c r="C27" s="133" t="s">
        <v>173</v>
      </c>
      <c r="D27" s="134">
        <f>D11+D12</f>
        <v>620844874.32387137</v>
      </c>
      <c r="E27" s="135">
        <f>E11+E12</f>
        <v>403618690.2447409</v>
      </c>
      <c r="F27" s="113">
        <f t="shared" ref="F27:F34" si="11">(E27)/D27</f>
        <v>0.65011197955737365</v>
      </c>
      <c r="G27" s="134">
        <f>G11+G12</f>
        <v>555757476</v>
      </c>
      <c r="H27" s="135">
        <f>H11+H12</f>
        <v>361304596.62332869</v>
      </c>
      <c r="I27" s="135">
        <f t="shared" ref="I27:S27" si="12">I11+I12</f>
        <v>309062289.98000002</v>
      </c>
      <c r="J27" s="135">
        <f t="shared" si="12"/>
        <v>-112112955.63</v>
      </c>
      <c r="K27" s="135">
        <f t="shared" si="12"/>
        <v>27658547.524751198</v>
      </c>
      <c r="L27" s="135">
        <f t="shared" si="12"/>
        <v>15978027.435000001</v>
      </c>
      <c r="M27" s="135">
        <f t="shared" si="12"/>
        <v>3056627.6399999997</v>
      </c>
      <c r="N27" s="135">
        <f t="shared" si="12"/>
        <v>12699058.326599998</v>
      </c>
      <c r="O27" s="135">
        <f t="shared" si="12"/>
        <v>1811769.3717599998</v>
      </c>
      <c r="P27" s="135">
        <f t="shared" si="12"/>
        <v>13638288.461039999</v>
      </c>
      <c r="Q27" s="135">
        <f t="shared" si="12"/>
        <v>11626446.397919998</v>
      </c>
      <c r="R27" s="135">
        <f t="shared" si="12"/>
        <v>0</v>
      </c>
      <c r="S27" s="135">
        <f t="shared" si="12"/>
        <v>2578682.23</v>
      </c>
      <c r="T27" s="135">
        <f>T11+T12</f>
        <v>647301378.36039984</v>
      </c>
      <c r="U27" s="114">
        <f>SUM(U11:U12)</f>
        <v>-8830986.2936400082</v>
      </c>
      <c r="V27" s="116">
        <f>U27/T27</f>
        <v>-1.36427738127311E-2</v>
      </c>
      <c r="W27" s="114">
        <f>SUM(W11:W12)</f>
        <v>26564622.28127712</v>
      </c>
      <c r="X27" s="116">
        <f>W27/T27</f>
        <v>4.1039032465162863E-2</v>
      </c>
      <c r="Y27" s="114">
        <f>SUM(Y11:Y12)</f>
        <v>17733635.98763711</v>
      </c>
      <c r="Z27" s="116">
        <f>Y27/T27</f>
        <v>2.7396258652431761E-2</v>
      </c>
    </row>
    <row r="28" spans="2:26" s="129" customFormat="1" x14ac:dyDescent="0.25">
      <c r="B28" s="136" t="s">
        <v>174</v>
      </c>
      <c r="C28" s="133" t="s">
        <v>175</v>
      </c>
      <c r="D28" s="134">
        <f>D13+D18</f>
        <v>222203870.67539161</v>
      </c>
      <c r="E28" s="135">
        <f>E13+E18</f>
        <v>122144982.04000001</v>
      </c>
      <c r="F28" s="113">
        <f t="shared" si="11"/>
        <v>0.54969781430331843</v>
      </c>
      <c r="G28" s="134">
        <f t="shared" ref="G28:S32" si="13">G13+G18</f>
        <v>231049473</v>
      </c>
      <c r="H28" s="135">
        <f t="shared" si="13"/>
        <v>127007815.65070221</v>
      </c>
      <c r="I28" s="135">
        <f t="shared" si="13"/>
        <v>126979646.17</v>
      </c>
      <c r="J28" s="135">
        <f t="shared" si="13"/>
        <v>-46255913.899999999</v>
      </c>
      <c r="K28" s="135">
        <f t="shared" si="13"/>
        <v>14693707.953779832</v>
      </c>
      <c r="L28" s="135">
        <f t="shared" si="13"/>
        <v>6642644.9787500007</v>
      </c>
      <c r="M28" s="135">
        <f t="shared" si="13"/>
        <v>1090553.5125600002</v>
      </c>
      <c r="N28" s="135">
        <f t="shared" si="13"/>
        <v>5806273.2564899996</v>
      </c>
      <c r="O28" s="135">
        <f t="shared" si="13"/>
        <v>695456.04821000004</v>
      </c>
      <c r="P28" s="135">
        <f t="shared" si="13"/>
        <v>5233270.5634500002</v>
      </c>
      <c r="Q28" s="135">
        <f t="shared" si="13"/>
        <v>4463875.8183599999</v>
      </c>
      <c r="R28" s="135">
        <f t="shared" si="13"/>
        <v>0</v>
      </c>
      <c r="S28" s="135">
        <f t="shared" si="13"/>
        <v>-4114990.58</v>
      </c>
      <c r="T28" s="135">
        <f>T13+T18</f>
        <v>242242339.47230202</v>
      </c>
      <c r="U28" s="114">
        <f>SUM(U13,U18)</f>
        <v>-3598300.3249660912</v>
      </c>
      <c r="V28" s="116">
        <f t="shared" ref="V28:V34" si="14">U28/T28</f>
        <v>-1.4854134635607417E-2</v>
      </c>
      <c r="W28" s="114">
        <f>SUM(W13,W18)</f>
        <v>16495381.000000009</v>
      </c>
      <c r="X28" s="116">
        <f t="shared" ref="X28:X33" si="15">W28/T28</f>
        <v>6.8094541342084799E-2</v>
      </c>
      <c r="Y28" s="114">
        <f>SUM(Y13,Y18)</f>
        <v>12897080.675033918</v>
      </c>
      <c r="Z28" s="116">
        <f t="shared" ref="Z28:Z33" si="16">Y28/T28</f>
        <v>5.3240406706477374E-2</v>
      </c>
    </row>
    <row r="29" spans="2:26" s="129" customFormat="1" x14ac:dyDescent="0.25">
      <c r="B29" s="132" t="s">
        <v>176</v>
      </c>
      <c r="C29" s="133" t="s">
        <v>177</v>
      </c>
      <c r="D29" s="134">
        <f t="shared" ref="D29:E32" si="17">D14+D19</f>
        <v>82012496.764967203</v>
      </c>
      <c r="E29" s="135">
        <f t="shared" si="17"/>
        <v>22261797.053338237</v>
      </c>
      <c r="F29" s="113">
        <f t="shared" si="11"/>
        <v>0.27144396197492282</v>
      </c>
      <c r="G29" s="134">
        <f t="shared" si="13"/>
        <v>83250667</v>
      </c>
      <c r="H29" s="135">
        <f t="shared" si="13"/>
        <v>22505142.252049029</v>
      </c>
      <c r="I29" s="135">
        <f t="shared" si="13"/>
        <v>32922099.34</v>
      </c>
      <c r="J29" s="135">
        <f t="shared" si="13"/>
        <v>-12121157.32</v>
      </c>
      <c r="K29" s="135">
        <f t="shared" si="13"/>
        <v>5528303.6986234393</v>
      </c>
      <c r="L29" s="135">
        <f t="shared" si="13"/>
        <v>1775982.4325000001</v>
      </c>
      <c r="M29" s="135">
        <f t="shared" si="13"/>
        <v>192309.04076999999</v>
      </c>
      <c r="N29" s="135">
        <f t="shared" si="13"/>
        <v>835836.69668000005</v>
      </c>
      <c r="O29" s="135">
        <f t="shared" si="13"/>
        <v>140225.39554</v>
      </c>
      <c r="P29" s="135">
        <f t="shared" si="13"/>
        <v>901604.72360999999</v>
      </c>
      <c r="Q29" s="135">
        <f t="shared" si="13"/>
        <v>768403.65640999994</v>
      </c>
      <c r="R29" s="135">
        <f t="shared" si="13"/>
        <v>0</v>
      </c>
      <c r="S29" s="135">
        <f t="shared" si="13"/>
        <v>-2855488.96</v>
      </c>
      <c r="T29" s="135">
        <f>T14+T19</f>
        <v>50593260.956182458</v>
      </c>
      <c r="U29" s="114">
        <f>SUM(U14,U19)</f>
        <v>-1320946.619580565</v>
      </c>
      <c r="V29" s="116">
        <f t="shared" si="14"/>
        <v>-2.6109141704161024E-2</v>
      </c>
      <c r="W29" s="114">
        <f>SUM(W14,W19)</f>
        <v>5936079.0000000047</v>
      </c>
      <c r="X29" s="116">
        <f t="shared" si="15"/>
        <v>0.11732944047906088</v>
      </c>
      <c r="Y29" s="114">
        <f>SUM(Y14,Y19)</f>
        <v>4615132.3804194396</v>
      </c>
      <c r="Z29" s="116">
        <f t="shared" si="16"/>
        <v>9.1220298774899858E-2</v>
      </c>
    </row>
    <row r="30" spans="2:26" s="129" customFormat="1" x14ac:dyDescent="0.25">
      <c r="B30" s="132" t="s">
        <v>23</v>
      </c>
      <c r="C30" s="133" t="s">
        <v>178</v>
      </c>
      <c r="D30" s="134">
        <f t="shared" si="17"/>
        <v>88879730.522699013</v>
      </c>
      <c r="E30" s="135">
        <f t="shared" si="17"/>
        <v>9611990.370000001</v>
      </c>
      <c r="F30" s="113">
        <f t="shared" si="11"/>
        <v>0.10814603412355298</v>
      </c>
      <c r="G30" s="134">
        <f t="shared" si="13"/>
        <v>80736078</v>
      </c>
      <c r="H30" s="135">
        <f t="shared" si="13"/>
        <v>8724236.9076329805</v>
      </c>
      <c r="I30" s="135">
        <f t="shared" si="13"/>
        <v>8554041.6300000008</v>
      </c>
      <c r="J30" s="135">
        <f t="shared" si="13"/>
        <v>-3232480.68</v>
      </c>
      <c r="K30" s="135">
        <f t="shared" si="13"/>
        <v>5559482.1592149138</v>
      </c>
      <c r="L30" s="135">
        <f t="shared" si="13"/>
        <v>443656.98591999995</v>
      </c>
      <c r="M30" s="135">
        <f t="shared" si="13"/>
        <v>86297.196173872362</v>
      </c>
      <c r="N30" s="135">
        <f t="shared" si="13"/>
        <v>427093.85262000002</v>
      </c>
      <c r="O30" s="135">
        <f t="shared" si="13"/>
        <v>31591.673920000001</v>
      </c>
      <c r="P30" s="135">
        <f t="shared" si="13"/>
        <v>519940.34232000005</v>
      </c>
      <c r="Q30" s="135">
        <f t="shared" si="13"/>
        <v>442433.70743999997</v>
      </c>
      <c r="R30" s="135">
        <f t="shared" si="13"/>
        <v>0</v>
      </c>
      <c r="S30" s="135">
        <f t="shared" si="13"/>
        <v>0</v>
      </c>
      <c r="T30" s="135">
        <f>T15+T20</f>
        <v>21556293.77524177</v>
      </c>
      <c r="U30" s="114">
        <f>SUM(U15,U20)</f>
        <v>-1161171.8004534943</v>
      </c>
      <c r="V30" s="116">
        <f t="shared" si="14"/>
        <v>-5.3866950068529158E-2</v>
      </c>
      <c r="W30" s="114">
        <f>SUM(W15,W20)</f>
        <v>4559338.5600000015</v>
      </c>
      <c r="X30" s="116">
        <f t="shared" si="15"/>
        <v>0.21150846279691068</v>
      </c>
      <c r="Y30" s="114">
        <f>SUM(Y15,Y20)</f>
        <v>3398166.7595465071</v>
      </c>
      <c r="Z30" s="116">
        <f t="shared" si="16"/>
        <v>0.15764151272838153</v>
      </c>
    </row>
    <row r="31" spans="2:26" s="129" customFormat="1" x14ac:dyDescent="0.25">
      <c r="B31" s="132" t="s">
        <v>179</v>
      </c>
      <c r="C31" s="133" t="s">
        <v>180</v>
      </c>
      <c r="D31" s="134">
        <f t="shared" si="17"/>
        <v>7491654.8276905455</v>
      </c>
      <c r="E31" s="135">
        <f t="shared" si="17"/>
        <v>1560031.02</v>
      </c>
      <c r="F31" s="113">
        <f t="shared" si="11"/>
        <v>0.20823583785972574</v>
      </c>
      <c r="G31" s="134">
        <f t="shared" si="13"/>
        <v>6071230</v>
      </c>
      <c r="H31" s="135">
        <f t="shared" si="13"/>
        <v>1262884.4702007053</v>
      </c>
      <c r="I31" s="135">
        <f t="shared" si="13"/>
        <v>2464593.11</v>
      </c>
      <c r="J31" s="135">
        <f t="shared" si="13"/>
        <v>-925886.13</v>
      </c>
      <c r="K31" s="135">
        <f t="shared" si="13"/>
        <v>365650.3749</v>
      </c>
      <c r="L31" s="135">
        <f t="shared" si="13"/>
        <v>125907.26048</v>
      </c>
      <c r="M31" s="135">
        <f t="shared" si="13"/>
        <v>10381.8033</v>
      </c>
      <c r="N31" s="135">
        <f t="shared" si="13"/>
        <v>40859.377899999999</v>
      </c>
      <c r="O31" s="135">
        <f t="shared" si="13"/>
        <v>2387.5602800000001</v>
      </c>
      <c r="P31" s="135">
        <f t="shared" si="13"/>
        <v>31873.9575</v>
      </c>
      <c r="Q31" s="135">
        <f t="shared" si="13"/>
        <v>27138.398100000002</v>
      </c>
      <c r="R31" s="135">
        <f t="shared" si="13"/>
        <v>0</v>
      </c>
      <c r="S31" s="135">
        <f t="shared" si="13"/>
        <v>-158315.87</v>
      </c>
      <c r="T31" s="135">
        <f>T16+T21</f>
        <v>3247474.3126607058</v>
      </c>
      <c r="U31" s="114">
        <f>SUM(U16,U21)</f>
        <v>-96471.844700000132</v>
      </c>
      <c r="V31" s="116">
        <f t="shared" si="14"/>
        <v>-2.9706730650306289E-2</v>
      </c>
      <c r="W31" s="114">
        <f>SUM(W16,W21)</f>
        <v>472514.02000000031</v>
      </c>
      <c r="X31" s="116">
        <f t="shared" si="15"/>
        <v>0.14550200386738774</v>
      </c>
      <c r="Y31" s="114">
        <f>SUM(Y16,Y21)</f>
        <v>376042.17530000018</v>
      </c>
      <c r="Z31" s="116">
        <f t="shared" si="16"/>
        <v>0.11579527321708144</v>
      </c>
    </row>
    <row r="32" spans="2:26" s="129" customFormat="1" x14ac:dyDescent="0.25">
      <c r="B32" s="137" t="s">
        <v>181</v>
      </c>
      <c r="C32" s="242" t="s">
        <v>295</v>
      </c>
      <c r="D32" s="134">
        <f t="shared" si="17"/>
        <v>119319881.40783478</v>
      </c>
      <c r="E32" s="135">
        <f t="shared" si="17"/>
        <v>6299906.5299999993</v>
      </c>
      <c r="F32" s="113">
        <f t="shared" si="11"/>
        <v>5.2798464561550719E-2</v>
      </c>
      <c r="G32" s="134">
        <f t="shared" si="13"/>
        <v>143946597</v>
      </c>
      <c r="H32" s="135">
        <f t="shared" si="13"/>
        <v>7487212.9949762151</v>
      </c>
      <c r="I32" s="135">
        <f t="shared" si="13"/>
        <v>10188917.220000001</v>
      </c>
      <c r="J32" s="135">
        <f t="shared" si="13"/>
        <v>-3868080.02</v>
      </c>
      <c r="K32" s="135">
        <f t="shared" si="13"/>
        <v>-4314068.6213891478</v>
      </c>
      <c r="L32" s="135">
        <f t="shared" si="13"/>
        <v>534755.69919999992</v>
      </c>
      <c r="M32" s="135">
        <f t="shared" si="13"/>
        <v>54100.773585618415</v>
      </c>
      <c r="N32" s="135">
        <f t="shared" si="13"/>
        <v>542678.67068999994</v>
      </c>
      <c r="O32" s="135">
        <f t="shared" si="13"/>
        <v>16530.111245820917</v>
      </c>
      <c r="P32" s="135">
        <f t="shared" si="13"/>
        <v>332091.53190553887</v>
      </c>
      <c r="Q32" s="135">
        <f t="shared" si="13"/>
        <v>283781.70504117163</v>
      </c>
      <c r="R32" s="135">
        <f t="shared" si="13"/>
        <v>0</v>
      </c>
      <c r="S32" s="135">
        <f t="shared" si="13"/>
        <v>0</v>
      </c>
      <c r="T32" s="135">
        <f>T17+T22</f>
        <v>11257920.065255217</v>
      </c>
      <c r="U32" s="114">
        <f>SUM(U17,U22)</f>
        <v>-144968.86652770429</v>
      </c>
      <c r="V32" s="116">
        <f t="shared" si="14"/>
        <v>-1.2877055947049651E-2</v>
      </c>
      <c r="W32" s="114">
        <f>SUM(W17,W22)</f>
        <v>5581303.919999999</v>
      </c>
      <c r="X32" s="116">
        <f t="shared" si="15"/>
        <v>0.49576688123992918</v>
      </c>
      <c r="Y32" s="114">
        <f>SUM(Y17,Y22)</f>
        <v>5436335.0534722954</v>
      </c>
      <c r="Z32" s="116">
        <f t="shared" si="16"/>
        <v>0.4828898252928796</v>
      </c>
    </row>
    <row r="33" spans="2:26" s="129" customFormat="1" x14ac:dyDescent="0.25">
      <c r="B33" s="137" t="s">
        <v>36</v>
      </c>
      <c r="C33" s="132"/>
      <c r="D33" s="134">
        <f>D23</f>
        <v>32154478.538398605</v>
      </c>
      <c r="E33" s="135">
        <f>E23</f>
        <v>1699064.4523564125</v>
      </c>
      <c r="F33" s="113">
        <f t="shared" si="11"/>
        <v>5.2840678175744761E-2</v>
      </c>
      <c r="G33" s="134">
        <f>G23</f>
        <v>32287606</v>
      </c>
      <c r="H33" s="135">
        <f>H23</f>
        <v>1706098.9977112457</v>
      </c>
      <c r="I33" s="135">
        <f t="shared" ref="I33:S33" si="18">I23</f>
        <v>0</v>
      </c>
      <c r="J33" s="135">
        <f t="shared" si="18"/>
        <v>0</v>
      </c>
      <c r="K33" s="135">
        <f t="shared" si="18"/>
        <v>808761.82605200913</v>
      </c>
      <c r="L33" s="135">
        <f t="shared" si="18"/>
        <v>0</v>
      </c>
      <c r="M33" s="135">
        <f t="shared" si="18"/>
        <v>0</v>
      </c>
      <c r="N33" s="135">
        <f t="shared" si="18"/>
        <v>30350.34964</v>
      </c>
      <c r="O33" s="135">
        <f t="shared" si="18"/>
        <v>0</v>
      </c>
      <c r="P33" s="135">
        <f t="shared" si="18"/>
        <v>0</v>
      </c>
      <c r="Q33" s="135">
        <f t="shared" si="18"/>
        <v>0</v>
      </c>
      <c r="R33" s="135">
        <f t="shared" si="18"/>
        <v>0</v>
      </c>
      <c r="S33" s="135">
        <f t="shared" si="18"/>
        <v>0</v>
      </c>
      <c r="T33" s="135">
        <f>T23</f>
        <v>2545211.1734032552</v>
      </c>
      <c r="U33" s="114">
        <f>U23</f>
        <v>-205193.74516338203</v>
      </c>
      <c r="V33" s="116">
        <f t="shared" si="14"/>
        <v>-8.0619536527105989E-2</v>
      </c>
      <c r="W33" s="114">
        <f>W23</f>
        <v>1012575.4799999995</v>
      </c>
      <c r="X33" s="116">
        <f t="shared" si="15"/>
        <v>0.39783554723518821</v>
      </c>
      <c r="Y33" s="114">
        <f>Y23</f>
        <v>807381.73483661748</v>
      </c>
      <c r="Z33" s="116">
        <f t="shared" si="16"/>
        <v>0.3172160107080822</v>
      </c>
    </row>
    <row r="34" spans="2:26" s="129" customFormat="1" x14ac:dyDescent="0.25">
      <c r="B34" s="137" t="s">
        <v>2</v>
      </c>
      <c r="C34" s="137"/>
      <c r="D34" s="138">
        <f>SUM(D27:D33)</f>
        <v>1172906987.0608532</v>
      </c>
      <c r="E34" s="139">
        <f>SUM(E27:E33)</f>
        <v>567196461.71043563</v>
      </c>
      <c r="F34" s="140">
        <f t="shared" si="11"/>
        <v>0.48358179119706113</v>
      </c>
      <c r="G34" s="138">
        <f>SUM(G27:G33)</f>
        <v>1133099127</v>
      </c>
      <c r="H34" s="139">
        <f>SUM(H27:H33)</f>
        <v>529997987.89660114</v>
      </c>
      <c r="I34" s="139">
        <f t="shared" ref="I34:S34" si="19">SUM(I27:I33)</f>
        <v>490171587.45000005</v>
      </c>
      <c r="J34" s="139">
        <f t="shared" si="19"/>
        <v>-178516473.68000001</v>
      </c>
      <c r="K34" s="139">
        <f t="shared" si="19"/>
        <v>50300384.915932246</v>
      </c>
      <c r="L34" s="139">
        <f t="shared" si="19"/>
        <v>25500974.791850004</v>
      </c>
      <c r="M34" s="139">
        <f t="shared" si="19"/>
        <v>4490269.9663894912</v>
      </c>
      <c r="N34" s="139">
        <f t="shared" si="19"/>
        <v>20382150.530620001</v>
      </c>
      <c r="O34" s="139">
        <f t="shared" si="19"/>
        <v>2697960.1609558202</v>
      </c>
      <c r="P34" s="139">
        <f t="shared" si="19"/>
        <v>20657069.579825535</v>
      </c>
      <c r="Q34" s="139">
        <f t="shared" si="19"/>
        <v>17612079.68327117</v>
      </c>
      <c r="R34" s="139">
        <f t="shared" si="19"/>
        <v>0</v>
      </c>
      <c r="S34" s="139">
        <f t="shared" si="19"/>
        <v>-4550113.1800000006</v>
      </c>
      <c r="T34" s="139">
        <f>SUM(T27:T33)</f>
        <v>978743878.11544526</v>
      </c>
      <c r="U34" s="120">
        <f>SUM(U27:U33)</f>
        <v>-15358039.495031245</v>
      </c>
      <c r="V34" s="122">
        <f t="shared" si="14"/>
        <v>-1.569158166751744E-2</v>
      </c>
      <c r="W34" s="120">
        <f>SUM(W27:W33)</f>
        <v>60621814.261277139</v>
      </c>
      <c r="X34" s="122">
        <f>W34/T34</f>
        <v>6.1938384103105107E-2</v>
      </c>
      <c r="Y34" s="120">
        <f>SUM(Y27:Y33)</f>
        <v>45263774.766245894</v>
      </c>
      <c r="Z34" s="122">
        <f>Y34/T34</f>
        <v>4.6246802435587667E-2</v>
      </c>
    </row>
    <row r="35" spans="2:26" s="129" customFormat="1" x14ac:dyDescent="0.25">
      <c r="B35" s="141"/>
      <c r="C35" s="141"/>
      <c r="D35" s="141"/>
      <c r="E35" s="141"/>
      <c r="F35" s="141"/>
      <c r="I35" s="142"/>
      <c r="M35" s="141"/>
      <c r="O35" s="141"/>
      <c r="P35" s="141"/>
      <c r="Q35" s="141"/>
      <c r="R35" s="141"/>
      <c r="S35" s="141"/>
      <c r="T35" s="141"/>
      <c r="U35" s="143"/>
    </row>
    <row r="36" spans="2:26" ht="17.25" x14ac:dyDescent="0.25">
      <c r="B36" t="s">
        <v>183</v>
      </c>
    </row>
    <row r="37" spans="2:26" ht="17.25" x14ac:dyDescent="0.25">
      <c r="B37" t="s">
        <v>267</v>
      </c>
    </row>
  </sheetData>
  <mergeCells count="4">
    <mergeCell ref="B1:Z1"/>
    <mergeCell ref="B2:Z2"/>
    <mergeCell ref="B3:Z3"/>
    <mergeCell ref="B4:Z4"/>
  </mergeCells>
  <printOptions horizontalCentered="1"/>
  <pageMargins left="0.45" right="0.45" top="0.75" bottom="0.75" header="0.3" footer="0.3"/>
  <pageSetup paperSize="5" scale="57" orientation="landscape" blackAndWhite="1" r:id="rId1"/>
  <headerFooter>
    <oddFooter>&amp;L&amp;F 
&amp;A&amp;C&amp;P&amp;R&amp;D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8"/>
  <sheetViews>
    <sheetView zoomScale="90" zoomScaleNormal="90" workbookViewId="0">
      <selection activeCell="K28" sqref="K28"/>
    </sheetView>
  </sheetViews>
  <sheetFormatPr defaultColWidth="9.140625" defaultRowHeight="15" x14ac:dyDescent="0.25"/>
  <cols>
    <col min="1" max="1" width="2.140625" style="145" customWidth="1"/>
    <col min="2" max="2" width="2.42578125" style="145" customWidth="1"/>
    <col min="3" max="3" width="34.85546875" style="145" customWidth="1"/>
    <col min="4" max="5" width="11.85546875" style="145" customWidth="1"/>
    <col min="6" max="6" width="2.7109375" style="147" customWidth="1"/>
    <col min="7" max="8" width="11.85546875" style="145" customWidth="1"/>
    <col min="9" max="16384" width="9.140625" style="145"/>
  </cols>
  <sheetData>
    <row r="1" spans="2:8" x14ac:dyDescent="0.25">
      <c r="B1" s="144" t="s">
        <v>0</v>
      </c>
      <c r="C1" s="144"/>
      <c r="D1" s="144"/>
      <c r="E1" s="144"/>
      <c r="F1" s="144"/>
      <c r="G1" s="144"/>
      <c r="H1" s="144"/>
    </row>
    <row r="2" spans="2:8" x14ac:dyDescent="0.25">
      <c r="B2" s="144" t="str">
        <f>'Rate Impacts Sch 111'!B2</f>
        <v>2024 Gas Schedule 111 Greenhouse Gas Emissions Cap and Invest Adjustment Filing</v>
      </c>
      <c r="C2" s="144"/>
      <c r="D2" s="144"/>
      <c r="E2" s="144"/>
      <c r="F2" s="144"/>
      <c r="G2" s="144"/>
      <c r="H2" s="144"/>
    </row>
    <row r="3" spans="2:8" x14ac:dyDescent="0.25">
      <c r="B3" s="146" t="s">
        <v>184</v>
      </c>
      <c r="C3" s="146"/>
      <c r="D3" s="146"/>
      <c r="E3" s="146"/>
      <c r="F3" s="146"/>
      <c r="G3" s="146"/>
      <c r="H3" s="146"/>
    </row>
    <row r="4" spans="2:8" x14ac:dyDescent="0.25">
      <c r="B4" s="146" t="str">
        <f>'Rate Impacts Sch 111'!B4:Z4</f>
        <v>Proposed Rates Effective January 1, 2024</v>
      </c>
      <c r="C4" s="146"/>
      <c r="D4" s="146"/>
      <c r="E4" s="146"/>
      <c r="F4" s="146"/>
      <c r="G4" s="146"/>
      <c r="H4" s="146"/>
    </row>
    <row r="6" spans="2:8" x14ac:dyDescent="0.25">
      <c r="G6" s="148" t="s">
        <v>185</v>
      </c>
      <c r="H6" s="148"/>
    </row>
    <row r="7" spans="2:8" x14ac:dyDescent="0.25">
      <c r="D7" s="149" t="s">
        <v>186</v>
      </c>
      <c r="E7" s="149"/>
      <c r="F7" s="150"/>
      <c r="G7" s="149" t="s">
        <v>187</v>
      </c>
      <c r="H7" s="149"/>
    </row>
    <row r="8" spans="2:8" ht="17.25" x14ac:dyDescent="0.25">
      <c r="D8" s="151" t="s">
        <v>188</v>
      </c>
      <c r="E8" s="151" t="s">
        <v>189</v>
      </c>
      <c r="F8" s="152"/>
      <c r="G8" s="151" t="s">
        <v>190</v>
      </c>
      <c r="H8" s="151" t="s">
        <v>189</v>
      </c>
    </row>
    <row r="9" spans="2:8" x14ac:dyDescent="0.25">
      <c r="B9" s="145" t="s">
        <v>191</v>
      </c>
      <c r="D9" s="153">
        <v>64</v>
      </c>
      <c r="E9" s="154"/>
      <c r="F9" s="155"/>
      <c r="G9" s="153">
        <v>64</v>
      </c>
      <c r="H9" s="154"/>
    </row>
    <row r="10" spans="2:8" x14ac:dyDescent="0.25">
      <c r="D10" s="153"/>
      <c r="E10" s="154"/>
      <c r="F10" s="155"/>
      <c r="G10" s="153"/>
      <c r="H10" s="154"/>
    </row>
    <row r="11" spans="2:8" x14ac:dyDescent="0.25">
      <c r="B11" s="145" t="s">
        <v>192</v>
      </c>
      <c r="D11" s="153"/>
      <c r="E11" s="154"/>
      <c r="F11" s="155"/>
      <c r="G11" s="153"/>
      <c r="H11" s="154"/>
    </row>
    <row r="12" spans="2:8" x14ac:dyDescent="0.25">
      <c r="C12" s="145" t="s">
        <v>193</v>
      </c>
      <c r="D12" s="185">
        <v>12.5</v>
      </c>
      <c r="E12" s="154">
        <f>D12</f>
        <v>12.5</v>
      </c>
      <c r="F12" s="157"/>
      <c r="G12" s="158">
        <f>$D$12</f>
        <v>12.5</v>
      </c>
      <c r="H12" s="154">
        <f>G12</f>
        <v>12.5</v>
      </c>
    </row>
    <row r="13" spans="2:8" x14ac:dyDescent="0.25">
      <c r="C13" s="145" t="s">
        <v>194</v>
      </c>
      <c r="D13" s="159">
        <f>SUM(D12:D12)</f>
        <v>12.5</v>
      </c>
      <c r="E13" s="159">
        <f>SUM(E12:E12)</f>
        <v>12.5</v>
      </c>
      <c r="F13" s="157"/>
      <c r="G13" s="159">
        <f>SUM(G12:G12)</f>
        <v>12.5</v>
      </c>
      <c r="H13" s="159">
        <f>SUM(H12:H12)</f>
        <v>12.5</v>
      </c>
    </row>
    <row r="14" spans="2:8" x14ac:dyDescent="0.25">
      <c r="D14" s="160"/>
      <c r="E14" s="160"/>
      <c r="F14" s="157"/>
      <c r="G14" s="160"/>
      <c r="H14" s="160"/>
    </row>
    <row r="15" spans="2:8" x14ac:dyDescent="0.25">
      <c r="C15" s="145" t="s">
        <v>195</v>
      </c>
      <c r="D15" s="156">
        <f>'Sch. 111 Credit'!$F$10</f>
        <v>-20.34</v>
      </c>
      <c r="E15" s="154">
        <f>D15</f>
        <v>-20.34</v>
      </c>
      <c r="F15" s="157"/>
      <c r="G15" s="156">
        <f>'Sch. 111 Credit'!$I$10</f>
        <v>-17.41</v>
      </c>
      <c r="H15" s="154">
        <f>G15</f>
        <v>-17.41</v>
      </c>
    </row>
    <row r="16" spans="2:8" x14ac:dyDescent="0.25">
      <c r="D16" s="161"/>
      <c r="E16" s="154"/>
      <c r="F16" s="157"/>
      <c r="G16" s="158"/>
      <c r="H16" s="154"/>
    </row>
    <row r="17" spans="2:8" x14ac:dyDescent="0.25">
      <c r="B17" s="145" t="s">
        <v>196</v>
      </c>
      <c r="E17" s="154"/>
      <c r="H17" s="154"/>
    </row>
    <row r="18" spans="2:8" x14ac:dyDescent="0.25">
      <c r="C18" s="145" t="s">
        <v>197</v>
      </c>
      <c r="D18" s="190">
        <v>0.45612999999999998</v>
      </c>
      <c r="E18" s="154"/>
      <c r="F18" s="163"/>
      <c r="G18" s="164">
        <f>$D$18</f>
        <v>0.45612999999999998</v>
      </c>
      <c r="H18" s="154"/>
    </row>
    <row r="19" spans="2:8" x14ac:dyDescent="0.25">
      <c r="C19" s="145" t="s">
        <v>207</v>
      </c>
      <c r="D19" s="190">
        <v>2.8750000000000001E-2</v>
      </c>
      <c r="E19" s="154"/>
      <c r="F19" s="163"/>
      <c r="G19" s="165">
        <f>$D$19</f>
        <v>2.8750000000000001E-2</v>
      </c>
      <c r="H19" s="154"/>
    </row>
    <row r="20" spans="2:8" x14ac:dyDescent="0.25">
      <c r="C20" s="145" t="s">
        <v>199</v>
      </c>
      <c r="D20" s="191">
        <v>5.4999999999999997E-3</v>
      </c>
      <c r="E20" s="154"/>
      <c r="F20" s="163"/>
      <c r="G20" s="165">
        <f>$D$20</f>
        <v>5.4999999999999997E-3</v>
      </c>
      <c r="H20" s="154"/>
    </row>
    <row r="21" spans="2:8" x14ac:dyDescent="0.25">
      <c r="C21" s="145" t="s">
        <v>200</v>
      </c>
      <c r="D21" s="191">
        <v>1.5959999999999998E-2</v>
      </c>
      <c r="E21" s="154"/>
      <c r="F21" s="163"/>
      <c r="G21" s="165">
        <f>$D$21</f>
        <v>1.5959999999999998E-2</v>
      </c>
      <c r="H21" s="154"/>
    </row>
    <row r="22" spans="2:8" x14ac:dyDescent="0.25">
      <c r="C22" s="145" t="s">
        <v>201</v>
      </c>
      <c r="D22" s="190">
        <v>2.2849999999999999E-2</v>
      </c>
      <c r="E22" s="154"/>
      <c r="F22" s="163"/>
      <c r="G22" s="165">
        <f>$D$22</f>
        <v>2.2849999999999999E-2</v>
      </c>
      <c r="H22" s="154"/>
    </row>
    <row r="23" spans="2:8" x14ac:dyDescent="0.25">
      <c r="C23" s="145" t="s">
        <v>202</v>
      </c>
      <c r="D23" s="190">
        <v>3.2599999999999999E-3</v>
      </c>
      <c r="E23" s="154"/>
      <c r="F23" s="163"/>
      <c r="G23" s="165">
        <f>$D$23</f>
        <v>3.2599999999999999E-3</v>
      </c>
      <c r="H23" s="154"/>
    </row>
    <row r="24" spans="2:8" x14ac:dyDescent="0.25">
      <c r="C24" s="145" t="s">
        <v>203</v>
      </c>
      <c r="D24" s="190">
        <v>2.4539999999999999E-2</v>
      </c>
      <c r="E24" s="154"/>
      <c r="F24" s="163"/>
      <c r="G24" s="165">
        <f>$D$24</f>
        <v>2.4539999999999999E-2</v>
      </c>
      <c r="H24" s="154"/>
    </row>
    <row r="25" spans="2:8" x14ac:dyDescent="0.25">
      <c r="C25" s="145" t="s">
        <v>204</v>
      </c>
      <c r="D25" s="190">
        <v>2.0919999999999998E-2</v>
      </c>
      <c r="E25" s="154"/>
      <c r="F25" s="163"/>
      <c r="G25" s="165">
        <f>$D$25</f>
        <v>2.0919999999999998E-2</v>
      </c>
      <c r="H25" s="154"/>
    </row>
    <row r="26" spans="2:8" x14ac:dyDescent="0.25">
      <c r="C26" s="145" t="s">
        <v>205</v>
      </c>
      <c r="D26" s="190">
        <v>0</v>
      </c>
      <c r="E26" s="154"/>
      <c r="F26" s="163"/>
      <c r="G26" s="165">
        <f>$D$26</f>
        <v>0</v>
      </c>
      <c r="H26" s="154"/>
    </row>
    <row r="27" spans="2:8" x14ac:dyDescent="0.25">
      <c r="C27" s="145" t="s">
        <v>206</v>
      </c>
      <c r="D27" s="190">
        <v>4.64E-3</v>
      </c>
      <c r="E27" s="154"/>
      <c r="F27" s="163"/>
      <c r="G27" s="165">
        <f>$D$27</f>
        <v>4.64E-3</v>
      </c>
      <c r="H27" s="154"/>
    </row>
    <row r="28" spans="2:8" x14ac:dyDescent="0.25">
      <c r="C28" s="145" t="s">
        <v>194</v>
      </c>
      <c r="D28" s="166">
        <f>SUM(D18:D27)</f>
        <v>0.58255000000000012</v>
      </c>
      <c r="E28" s="154">
        <f>ROUND(D28*D$9,2)</f>
        <v>37.28</v>
      </c>
      <c r="F28" s="163"/>
      <c r="G28" s="166">
        <f>SUM(G18:G27)</f>
        <v>0.58255000000000012</v>
      </c>
      <c r="H28" s="154">
        <f>ROUND(G28*G$9,2)</f>
        <v>37.28</v>
      </c>
    </row>
    <row r="30" spans="2:8" x14ac:dyDescent="0.25">
      <c r="C30" s="145" t="s">
        <v>198</v>
      </c>
      <c r="D30" s="162">
        <f>'Sch. 111 Charge'!$F$10</f>
        <v>0.41263</v>
      </c>
      <c r="E30" s="154">
        <f>ROUND(D30*D$9,2)</f>
        <v>26.41</v>
      </c>
      <c r="F30" s="163"/>
      <c r="G30" s="238">
        <f>'Sch. 111 Charge'!$I$10</f>
        <v>0.39673999999999998</v>
      </c>
      <c r="H30" s="154">
        <f>ROUND(G30*G$9,2)</f>
        <v>25.39</v>
      </c>
    </row>
    <row r="31" spans="2:8" x14ac:dyDescent="0.25">
      <c r="D31" s="164"/>
      <c r="E31" s="154"/>
      <c r="F31" s="163"/>
      <c r="G31" s="164"/>
      <c r="H31" s="154"/>
    </row>
    <row r="32" spans="2:8" x14ac:dyDescent="0.25">
      <c r="C32" s="145" t="s">
        <v>208</v>
      </c>
      <c r="D32" s="190">
        <v>0.55610999999999999</v>
      </c>
      <c r="E32" s="154"/>
      <c r="F32" s="163"/>
      <c r="G32" s="165">
        <f>$D$32</f>
        <v>0.55610999999999999</v>
      </c>
      <c r="H32" s="154"/>
    </row>
    <row r="33" spans="2:8" x14ac:dyDescent="0.25">
      <c r="C33" s="145" t="s">
        <v>209</v>
      </c>
      <c r="D33" s="190">
        <v>-0.20172999999999999</v>
      </c>
      <c r="E33" s="154"/>
      <c r="F33" s="163"/>
      <c r="G33" s="165">
        <f>$D$33</f>
        <v>-0.20172999999999999</v>
      </c>
      <c r="H33" s="154"/>
    </row>
    <row r="34" spans="2:8" x14ac:dyDescent="0.25">
      <c r="C34" s="145" t="s">
        <v>194</v>
      </c>
      <c r="D34" s="166">
        <f>SUM(D32:D33)</f>
        <v>0.35438000000000003</v>
      </c>
      <c r="E34" s="154">
        <f>ROUND(D34*D$9,2)</f>
        <v>22.68</v>
      </c>
      <c r="F34" s="163"/>
      <c r="G34" s="166">
        <f>SUM(G32:G33)</f>
        <v>0.35438000000000003</v>
      </c>
      <c r="H34" s="154">
        <f>ROUND(G34*G$9,2)</f>
        <v>22.68</v>
      </c>
    </row>
    <row r="35" spans="2:8" x14ac:dyDescent="0.25">
      <c r="C35" s="145" t="s">
        <v>210</v>
      </c>
      <c r="D35" s="166">
        <f>D28+D30+D34</f>
        <v>1.3495600000000003</v>
      </c>
      <c r="E35" s="167">
        <f>SUM(E28,E30,E34)</f>
        <v>86.37</v>
      </c>
      <c r="F35" s="168"/>
      <c r="G35" s="166">
        <f>G28+G30+G34</f>
        <v>1.3336700000000001</v>
      </c>
      <c r="H35" s="167">
        <f>SUM(H28,H30,H34)</f>
        <v>85.35</v>
      </c>
    </row>
    <row r="36" spans="2:8" x14ac:dyDescent="0.25">
      <c r="E36" s="154"/>
      <c r="H36" s="154"/>
    </row>
    <row r="37" spans="2:8" x14ac:dyDescent="0.25">
      <c r="B37" s="145" t="s">
        <v>211</v>
      </c>
      <c r="D37" s="158"/>
      <c r="E37" s="154">
        <f>E13+E15+E35</f>
        <v>78.53</v>
      </c>
      <c r="F37" s="160"/>
      <c r="G37" s="158"/>
      <c r="H37" s="154">
        <f>H13+H15+H35</f>
        <v>80.44</v>
      </c>
    </row>
    <row r="38" spans="2:8" x14ac:dyDescent="0.25">
      <c r="B38" s="145" t="s">
        <v>212</v>
      </c>
      <c r="D38" s="158"/>
      <c r="E38" s="154"/>
      <c r="F38" s="160"/>
      <c r="G38" s="158"/>
      <c r="H38" s="154">
        <f>H37-$E37</f>
        <v>1.9099999999999966</v>
      </c>
    </row>
    <row r="39" spans="2:8" x14ac:dyDescent="0.25">
      <c r="B39" s="145" t="s">
        <v>213</v>
      </c>
      <c r="D39" s="9"/>
      <c r="E39" s="9"/>
      <c r="F39" s="169"/>
      <c r="G39" s="9"/>
      <c r="H39" s="170">
        <f>H38/$E37</f>
        <v>2.4321915191646462E-2</v>
      </c>
    </row>
    <row r="40" spans="2:8" x14ac:dyDescent="0.25">
      <c r="E40" s="154"/>
    </row>
    <row r="41" spans="2:8" x14ac:dyDescent="0.25">
      <c r="B41" s="145" t="s">
        <v>214</v>
      </c>
      <c r="D41" s="164">
        <f>D28+D30</f>
        <v>0.99518000000000018</v>
      </c>
      <c r="E41" s="154"/>
      <c r="F41" s="168"/>
      <c r="G41" s="164">
        <f>G28+G30</f>
        <v>0.9792900000000001</v>
      </c>
    </row>
    <row r="43" spans="2:8" ht="17.25" x14ac:dyDescent="0.25">
      <c r="B43" s="171" t="s">
        <v>268</v>
      </c>
      <c r="D43" s="171"/>
      <c r="E43" s="171"/>
      <c r="F43" s="172"/>
      <c r="G43" s="172"/>
      <c r="H43" s="172"/>
    </row>
    <row r="48" spans="2:8" ht="14.25" customHeight="1" x14ac:dyDescent="0.25"/>
  </sheetData>
  <printOptions horizontalCentered="1"/>
  <pageMargins left="0.5" right="0.5" top="1" bottom="1" header="0.5" footer="0.5"/>
  <pageSetup scale="78" orientation="landscape" blackAndWhite="1" r:id="rId1"/>
  <headerFooter alignWithMargins="0">
    <oddFooter>&amp;L&amp;F  
&amp;A&amp;C&amp;P&amp;R&amp;D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8"/>
  <sheetViews>
    <sheetView zoomScale="90" zoomScaleNormal="90" workbookViewId="0">
      <selection activeCell="I39" sqref="I39"/>
    </sheetView>
  </sheetViews>
  <sheetFormatPr defaultRowHeight="15" x14ac:dyDescent="0.25"/>
  <cols>
    <col min="1" max="1" width="2.85546875" customWidth="1"/>
    <col min="2" max="2" width="37.85546875" customWidth="1"/>
    <col min="3" max="3" width="9.140625" bestFit="1" customWidth="1"/>
    <col min="4" max="5" width="19" bestFit="1" customWidth="1"/>
    <col min="6" max="6" width="13.42578125" bestFit="1" customWidth="1"/>
    <col min="7" max="7" width="2.5703125" customWidth="1"/>
    <col min="8" max="9" width="19" bestFit="1" customWidth="1"/>
    <col min="10" max="10" width="13.42578125" bestFit="1" customWidth="1"/>
    <col min="11" max="11" width="2.5703125" customWidth="1"/>
    <col min="12" max="12" width="11.140625" bestFit="1" customWidth="1"/>
    <col min="13" max="14" width="9.140625" customWidth="1"/>
  </cols>
  <sheetData>
    <row r="1" spans="2:14" x14ac:dyDescent="0.25">
      <c r="B1" s="250" t="s">
        <v>0</v>
      </c>
      <c r="C1" s="250"/>
      <c r="D1" s="250"/>
      <c r="E1" s="250"/>
      <c r="F1" s="250"/>
      <c r="G1" s="250"/>
      <c r="H1" s="250"/>
      <c r="I1" s="250"/>
      <c r="J1" s="250"/>
      <c r="K1" s="250"/>
      <c r="L1" s="250"/>
    </row>
    <row r="2" spans="2:14" x14ac:dyDescent="0.25">
      <c r="B2" s="250" t="str">
        <f>'Rate Impacts Sch 111'!B2:Z2</f>
        <v>2024 Gas Schedule 111 Greenhouse Gas Emissions Cap and Invest Adjustment Filing</v>
      </c>
      <c r="C2" s="250"/>
      <c r="D2" s="250"/>
      <c r="E2" s="250"/>
      <c r="F2" s="250"/>
      <c r="G2" s="250"/>
      <c r="H2" s="250"/>
      <c r="I2" s="250"/>
      <c r="J2" s="250"/>
      <c r="K2" s="250"/>
      <c r="L2" s="250"/>
    </row>
    <row r="3" spans="2:14" x14ac:dyDescent="0.25">
      <c r="B3" s="251" t="s">
        <v>269</v>
      </c>
      <c r="C3" s="251"/>
      <c r="D3" s="251"/>
      <c r="E3" s="251"/>
      <c r="F3" s="251"/>
      <c r="G3" s="251"/>
      <c r="H3" s="251"/>
      <c r="I3" s="251"/>
      <c r="J3" s="251"/>
      <c r="K3" s="251"/>
      <c r="L3" s="251"/>
    </row>
    <row r="4" spans="2:14" x14ac:dyDescent="0.25">
      <c r="B4" s="251" t="str">
        <f>'Rate Impacts Sch 111'!B4:Z4</f>
        <v>Proposed Rates Effective January 1, 2024</v>
      </c>
      <c r="C4" s="251"/>
      <c r="D4" s="251"/>
      <c r="E4" s="251"/>
      <c r="F4" s="251"/>
      <c r="G4" s="251"/>
      <c r="H4" s="251"/>
      <c r="I4" s="251"/>
      <c r="J4" s="251"/>
      <c r="K4" s="251"/>
      <c r="L4" s="251"/>
    </row>
    <row r="5" spans="2:14" x14ac:dyDescent="0.25">
      <c r="B5" s="235"/>
      <c r="C5" s="235"/>
      <c r="D5" s="235"/>
      <c r="E5" s="235"/>
      <c r="F5" s="235"/>
      <c r="G5" s="235"/>
      <c r="H5" s="235"/>
      <c r="I5" s="235"/>
      <c r="J5" s="235"/>
      <c r="K5" s="235"/>
      <c r="L5" s="235"/>
    </row>
    <row r="6" spans="2:14" ht="17.25" x14ac:dyDescent="0.25">
      <c r="D6" s="252" t="s">
        <v>270</v>
      </c>
      <c r="E6" s="252"/>
      <c r="F6" s="252"/>
      <c r="G6" s="235"/>
      <c r="H6" s="252" t="s">
        <v>216</v>
      </c>
      <c r="I6" s="252"/>
      <c r="J6" s="252"/>
    </row>
    <row r="7" spans="2:14" x14ac:dyDescent="0.25">
      <c r="B7" s="106"/>
      <c r="C7" s="106"/>
      <c r="D7" s="106" t="s">
        <v>119</v>
      </c>
      <c r="E7" s="59" t="s">
        <v>119</v>
      </c>
      <c r="F7" s="106"/>
      <c r="G7" s="106"/>
      <c r="H7" s="106" t="s">
        <v>119</v>
      </c>
      <c r="I7" s="59" t="s">
        <v>119</v>
      </c>
      <c r="J7" s="106"/>
      <c r="K7" s="106"/>
      <c r="L7" s="106"/>
    </row>
    <row r="8" spans="2:14" x14ac:dyDescent="0.25">
      <c r="B8" s="106"/>
      <c r="C8" s="106" t="s">
        <v>123</v>
      </c>
      <c r="D8" s="106" t="s">
        <v>218</v>
      </c>
      <c r="E8" s="106" t="s">
        <v>4</v>
      </c>
      <c r="F8" s="106" t="s">
        <v>271</v>
      </c>
      <c r="G8" s="106"/>
      <c r="H8" s="106" t="s">
        <v>218</v>
      </c>
      <c r="I8" s="106" t="s">
        <v>4</v>
      </c>
      <c r="J8" s="106" t="s">
        <v>271</v>
      </c>
      <c r="K8" s="106"/>
      <c r="L8" s="106" t="s">
        <v>2</v>
      </c>
    </row>
    <row r="9" spans="2:14" x14ac:dyDescent="0.25">
      <c r="B9" s="236" t="s">
        <v>7</v>
      </c>
      <c r="C9" s="236" t="s">
        <v>141</v>
      </c>
      <c r="D9" s="86" t="s">
        <v>272</v>
      </c>
      <c r="E9" s="46" t="str">
        <f>D9</f>
        <v>Jan. 2024 - Dec. 2024</v>
      </c>
      <c r="F9" s="236" t="s">
        <v>273</v>
      </c>
      <c r="G9" s="106"/>
      <c r="H9" s="46" t="str">
        <f>D9</f>
        <v>Jan. 2024 - Dec. 2024</v>
      </c>
      <c r="I9" s="46" t="str">
        <f>D9</f>
        <v>Jan. 2024 - Dec. 2024</v>
      </c>
      <c r="J9" s="236" t="s">
        <v>273</v>
      </c>
      <c r="K9" s="106"/>
      <c r="L9" s="236" t="s">
        <v>274</v>
      </c>
      <c r="N9" s="197" t="s">
        <v>275</v>
      </c>
    </row>
    <row r="10" spans="2:14" x14ac:dyDescent="0.25">
      <c r="B10" s="106" t="s">
        <v>147</v>
      </c>
      <c r="C10" s="106" t="s">
        <v>148</v>
      </c>
      <c r="D10" s="106" t="s">
        <v>149</v>
      </c>
      <c r="E10" s="106" t="s">
        <v>150</v>
      </c>
      <c r="F10" s="109" t="s">
        <v>276</v>
      </c>
      <c r="G10" s="106"/>
      <c r="H10" s="106" t="s">
        <v>277</v>
      </c>
      <c r="I10" s="106" t="s">
        <v>278</v>
      </c>
      <c r="J10" s="109" t="s">
        <v>279</v>
      </c>
      <c r="K10" s="109"/>
      <c r="L10" s="110" t="s">
        <v>280</v>
      </c>
    </row>
    <row r="11" spans="2:14" x14ac:dyDescent="0.25">
      <c r="B11" t="s">
        <v>19</v>
      </c>
      <c r="C11" s="235" t="s">
        <v>281</v>
      </c>
      <c r="D11" s="198">
        <f>'Rate Impacts Sch 111'!G11</f>
        <v>555750480</v>
      </c>
      <c r="E11" s="199">
        <f>'Rate Impacts Sch 111'!T11</f>
        <v>647293178.57286489</v>
      </c>
      <c r="F11" s="200">
        <f>E11/D11</f>
        <v>1.1647190634416813</v>
      </c>
      <c r="G11" s="113"/>
      <c r="H11" s="198">
        <f>'Rate Impacts Sch 111'!G11</f>
        <v>555750480</v>
      </c>
      <c r="I11" s="199">
        <f>E11+'Rate Impacts Sch 111'!Y11</f>
        <v>665026505.96694195</v>
      </c>
      <c r="J11" s="200">
        <f>I11/H11</f>
        <v>1.1966278571040405</v>
      </c>
      <c r="K11" s="201"/>
      <c r="L11" s="116">
        <f>(I11-E11)/E11</f>
        <v>2.7396128958403425E-2</v>
      </c>
      <c r="N11" s="202">
        <f>L11-'Rate Impacts Sch 111'!Z11</f>
        <v>-7.2858385991025898E-17</v>
      </c>
    </row>
    <row r="12" spans="2:14" x14ac:dyDescent="0.25">
      <c r="B12" t="s">
        <v>20</v>
      </c>
      <c r="C12" s="235">
        <v>16</v>
      </c>
      <c r="D12" s="198">
        <f>'Rate Impacts Sch 111'!G12</f>
        <v>6996</v>
      </c>
      <c r="E12" s="199">
        <f>'Rate Impacts Sch 111'!T12</f>
        <v>8199.7875348984908</v>
      </c>
      <c r="F12" s="200">
        <f t="shared" ref="F12:F23" si="0">E12/D12</f>
        <v>1.1720679723982976</v>
      </c>
      <c r="G12" s="113"/>
      <c r="H12" s="198">
        <f>'Rate Impacts Sch 111'!G12</f>
        <v>6996</v>
      </c>
      <c r="I12" s="199">
        <f>E12+'Rate Impacts Sch 111'!Y12</f>
        <v>8508.3810948984901</v>
      </c>
      <c r="J12" s="200">
        <f t="shared" ref="J12:J23" si="1">I12/H12</f>
        <v>1.2161779723982977</v>
      </c>
      <c r="K12" s="201"/>
      <c r="L12" s="116">
        <f t="shared" ref="L12:L23" si="2">(I12-E12)/E12</f>
        <v>3.7634336095492452E-2</v>
      </c>
      <c r="N12" s="202">
        <f>L12-'Rate Impacts Sch 111'!Z12</f>
        <v>0</v>
      </c>
    </row>
    <row r="13" spans="2:14" x14ac:dyDescent="0.25">
      <c r="B13" t="s">
        <v>21</v>
      </c>
      <c r="C13" s="235">
        <v>31</v>
      </c>
      <c r="D13" s="198">
        <f>'Rate Impacts Sch 111'!G13</f>
        <v>231048521</v>
      </c>
      <c r="E13" s="199">
        <f>'Rate Impacts Sch 111'!T13</f>
        <v>242240965.36542201</v>
      </c>
      <c r="F13" s="200">
        <f t="shared" si="0"/>
        <v>1.0484419649906438</v>
      </c>
      <c r="G13" s="113"/>
      <c r="H13" s="198">
        <f>'Rate Impacts Sch 111'!G13</f>
        <v>231048521</v>
      </c>
      <c r="I13" s="199">
        <f>E13+'Rate Impacts Sch 111'!Y13</f>
        <v>255134490.44773594</v>
      </c>
      <c r="J13" s="200">
        <f t="shared" si="1"/>
        <v>1.1042463693058477</v>
      </c>
      <c r="K13" s="201"/>
      <c r="L13" s="116">
        <f t="shared" si="2"/>
        <v>5.3226030794849097E-2</v>
      </c>
      <c r="N13" s="202">
        <f>L13-'Rate Impacts Sch 111'!Z13</f>
        <v>0</v>
      </c>
    </row>
    <row r="14" spans="2:14" x14ac:dyDescent="0.25">
      <c r="B14" t="s">
        <v>22</v>
      </c>
      <c r="C14" s="235">
        <v>41</v>
      </c>
      <c r="D14" s="198">
        <f>'Rate Impacts Sch 111'!G14</f>
        <v>61773302</v>
      </c>
      <c r="E14" s="199">
        <f>'Rate Impacts Sch 111'!T14</f>
        <v>43860075.055380188</v>
      </c>
      <c r="F14" s="200">
        <f t="shared" si="0"/>
        <v>0.71001668415556263</v>
      </c>
      <c r="G14" s="113"/>
      <c r="H14" s="198">
        <f>'Rate Impacts Sch 111'!G14</f>
        <v>61773302</v>
      </c>
      <c r="I14" s="199">
        <f>E14+'Rate Impacts Sch 111'!Y14</f>
        <v>47589512.045649633</v>
      </c>
      <c r="J14" s="200">
        <f t="shared" si="1"/>
        <v>0.77038964252954512</v>
      </c>
      <c r="K14" s="201"/>
      <c r="L14" s="116">
        <f t="shared" si="2"/>
        <v>8.5030337626199881E-2</v>
      </c>
      <c r="N14" s="202">
        <f>L14-'Rate Impacts Sch 111'!Z14</f>
        <v>0</v>
      </c>
    </row>
    <row r="15" spans="2:14" x14ac:dyDescent="0.25">
      <c r="B15" t="s">
        <v>23</v>
      </c>
      <c r="C15" s="235">
        <v>85</v>
      </c>
      <c r="D15" s="198">
        <f>'Rate Impacts Sch 111'!G15</f>
        <v>17169388</v>
      </c>
      <c r="E15" s="199">
        <f>'Rate Impacts Sch 111'!T15</f>
        <v>9801300.5870532189</v>
      </c>
      <c r="F15" s="200">
        <f t="shared" si="0"/>
        <v>0.57085905374456092</v>
      </c>
      <c r="G15" s="113"/>
      <c r="H15" s="198">
        <f>'Rate Impacts Sch 111'!G15</f>
        <v>17169388</v>
      </c>
      <c r="I15" s="199">
        <f>E15+'Rate Impacts Sch 111'!Y15</f>
        <v>9799476.7057192959</v>
      </c>
      <c r="J15" s="200">
        <f t="shared" si="1"/>
        <v>0.57075282506978675</v>
      </c>
      <c r="K15" s="201"/>
      <c r="L15" s="116">
        <f t="shared" si="2"/>
        <v>-1.8608564421870475E-4</v>
      </c>
      <c r="N15" s="202">
        <f>L15-'Rate Impacts Sch 111'!Z15</f>
        <v>0</v>
      </c>
    </row>
    <row r="16" spans="2:14" x14ac:dyDescent="0.25">
      <c r="B16" t="s">
        <v>24</v>
      </c>
      <c r="C16" s="235">
        <v>86</v>
      </c>
      <c r="D16" s="198">
        <f>'Rate Impacts Sch 111'!G16</f>
        <v>4872572</v>
      </c>
      <c r="E16" s="199">
        <f>'Rate Impacts Sch 111'!T16</f>
        <v>2974569.5598996421</v>
      </c>
      <c r="F16" s="200">
        <f t="shared" si="0"/>
        <v>0.61047216129379767</v>
      </c>
      <c r="G16" s="113"/>
      <c r="H16" s="198">
        <f>'Rate Impacts Sch 111'!G16</f>
        <v>4872572</v>
      </c>
      <c r="I16" s="199">
        <f>E16+'Rate Impacts Sch 111'!Y16</f>
        <v>3227660.6108196424</v>
      </c>
      <c r="J16" s="200">
        <f>I16/H16</f>
        <v>0.66241414407414445</v>
      </c>
      <c r="K16" s="201"/>
      <c r="L16" s="116">
        <f t="shared" si="2"/>
        <v>8.5084932735121258E-2</v>
      </c>
      <c r="N16" s="202">
        <f>L16-'Rate Impacts Sch 111'!Z16</f>
        <v>0</v>
      </c>
    </row>
    <row r="17" spans="2:14" x14ac:dyDescent="0.25">
      <c r="B17" t="s">
        <v>25</v>
      </c>
      <c r="C17" s="235">
        <v>87</v>
      </c>
      <c r="D17" s="198">
        <f>'Rate Impacts Sch 111'!G17</f>
        <v>20694880</v>
      </c>
      <c r="E17" s="199">
        <f>'Rate Impacts Sch 111'!T17</f>
        <v>8815656.540453501</v>
      </c>
      <c r="F17" s="200">
        <f t="shared" si="0"/>
        <v>0.42598249134343863</v>
      </c>
      <c r="G17" s="113"/>
      <c r="H17" s="198">
        <f>'Rate Impacts Sch 111'!G17</f>
        <v>20694880</v>
      </c>
      <c r="I17" s="199">
        <f>E17+'Rate Impacts Sch 111'!Y17</f>
        <v>8696436.7005289663</v>
      </c>
      <c r="J17" s="200">
        <f t="shared" si="1"/>
        <v>0.42022165388390587</v>
      </c>
      <c r="K17" s="201"/>
      <c r="L17" s="116">
        <f t="shared" si="2"/>
        <v>-1.3523648451758057E-2</v>
      </c>
      <c r="N17" s="202">
        <f>L17-'Rate Impacts Sch 111'!Z17</f>
        <v>2.0816681711721685E-17</v>
      </c>
    </row>
    <row r="18" spans="2:14" x14ac:dyDescent="0.25">
      <c r="B18" t="s">
        <v>26</v>
      </c>
      <c r="C18" s="235" t="s">
        <v>27</v>
      </c>
      <c r="D18" s="198">
        <f>'Rate Impacts Sch 111'!G18</f>
        <v>952</v>
      </c>
      <c r="E18" s="199">
        <f>'Rate Impacts Sch 111'!T18</f>
        <v>1374.1068800000005</v>
      </c>
      <c r="F18" s="200">
        <f t="shared" si="0"/>
        <v>1.4433895798319334</v>
      </c>
      <c r="G18" s="113"/>
      <c r="H18" s="198">
        <f>'Rate Impacts Sch 111'!G18</f>
        <v>952</v>
      </c>
      <c r="I18" s="199">
        <f>E18+'Rate Impacts Sch 111'!Y18</f>
        <v>4929.6996000000008</v>
      </c>
      <c r="J18" s="200">
        <f t="shared" si="1"/>
        <v>5.1782558823529419</v>
      </c>
      <c r="K18" s="201"/>
      <c r="L18" s="116">
        <f t="shared" si="2"/>
        <v>2.5875663470952124</v>
      </c>
      <c r="N18" s="202">
        <f>L18-'Rate Impacts Sch 111'!Z18</f>
        <v>0</v>
      </c>
    </row>
    <row r="19" spans="2:14" x14ac:dyDescent="0.25">
      <c r="B19" t="s">
        <v>28</v>
      </c>
      <c r="C19" s="235" t="s">
        <v>29</v>
      </c>
      <c r="D19" s="198">
        <f>'Rate Impacts Sch 111'!G19</f>
        <v>21477365</v>
      </c>
      <c r="E19" s="199">
        <f>'Rate Impacts Sch 111'!T19</f>
        <v>6733185.9008022696</v>
      </c>
      <c r="F19" s="200">
        <f t="shared" si="0"/>
        <v>0.31350148869762512</v>
      </c>
      <c r="G19" s="113"/>
      <c r="H19" s="198">
        <f>'Rate Impacts Sch 111'!G19</f>
        <v>21477365</v>
      </c>
      <c r="I19" s="199">
        <f>E19+'Rate Impacts Sch 111'!Y19</f>
        <v>7618881.2909522681</v>
      </c>
      <c r="J19" s="200">
        <f t="shared" si="1"/>
        <v>0.35474003868501874</v>
      </c>
      <c r="K19" s="201"/>
      <c r="L19" s="116">
        <f t="shared" si="2"/>
        <v>0.13154179955798734</v>
      </c>
      <c r="N19" s="202">
        <f>L19-'Rate Impacts Sch 111'!Z19</f>
        <v>0</v>
      </c>
    </row>
    <row r="20" spans="2:14" x14ac:dyDescent="0.25">
      <c r="B20" t="s">
        <v>30</v>
      </c>
      <c r="C20" s="235" t="s">
        <v>31</v>
      </c>
      <c r="D20" s="198">
        <f>'Rate Impacts Sch 111'!G20</f>
        <v>63566690</v>
      </c>
      <c r="E20" s="199">
        <f>'Rate Impacts Sch 111'!T20</f>
        <v>11754993.188188549</v>
      </c>
      <c r="F20" s="200">
        <f t="shared" si="0"/>
        <v>0.18492378930204717</v>
      </c>
      <c r="G20" s="113"/>
      <c r="H20" s="198">
        <f>'Rate Impacts Sch 111'!G20</f>
        <v>63566690</v>
      </c>
      <c r="I20" s="199">
        <f>E20+'Rate Impacts Sch 111'!Y20</f>
        <v>15154983.829068979</v>
      </c>
      <c r="J20" s="200">
        <f t="shared" si="1"/>
        <v>0.23841077503121491</v>
      </c>
      <c r="K20" s="201"/>
      <c r="L20" s="116">
        <f t="shared" si="2"/>
        <v>0.28923799328924754</v>
      </c>
      <c r="N20" s="202">
        <f>L20-'Rate Impacts Sch 111'!Z20</f>
        <v>0</v>
      </c>
    </row>
    <row r="21" spans="2:14" x14ac:dyDescent="0.25">
      <c r="B21" t="s">
        <v>32</v>
      </c>
      <c r="C21" s="235" t="s">
        <v>33</v>
      </c>
      <c r="D21" s="198">
        <f>'Rate Impacts Sch 111'!G21</f>
        <v>1198658</v>
      </c>
      <c r="E21" s="199">
        <f>'Rate Impacts Sch 111'!T21</f>
        <v>272904.75276106363</v>
      </c>
      <c r="F21" s="200">
        <f t="shared" si="0"/>
        <v>0.22767524411555559</v>
      </c>
      <c r="G21" s="113"/>
      <c r="H21" s="198">
        <f>'Rate Impacts Sch 111'!G21</f>
        <v>1198658</v>
      </c>
      <c r="I21" s="199">
        <f>E21+'Rate Impacts Sch 111'!Y21</f>
        <v>395855.87714106374</v>
      </c>
      <c r="J21" s="200">
        <f t="shared" si="1"/>
        <v>0.33024922633567183</v>
      </c>
      <c r="K21" s="201"/>
      <c r="L21" s="116">
        <f t="shared" si="2"/>
        <v>0.45052760399393826</v>
      </c>
      <c r="N21" s="202">
        <f>L21-'Rate Impacts Sch 111'!Z21</f>
        <v>0</v>
      </c>
    </row>
    <row r="22" spans="2:14" x14ac:dyDescent="0.25">
      <c r="B22" t="s">
        <v>34</v>
      </c>
      <c r="C22" s="235" t="s">
        <v>35</v>
      </c>
      <c r="D22" s="198">
        <f>'Rate Impacts Sch 111'!G22</f>
        <v>123251717</v>
      </c>
      <c r="E22" s="199">
        <f>'Rate Impacts Sch 111'!T22</f>
        <v>2442263.5248017162</v>
      </c>
      <c r="F22" s="200">
        <f t="shared" si="0"/>
        <v>1.981524950927634E-2</v>
      </c>
      <c r="G22" s="113"/>
      <c r="H22" s="198">
        <f>'Rate Impacts Sch 111'!G22</f>
        <v>123251717</v>
      </c>
      <c r="I22" s="199">
        <f>E22+'Rate Impacts Sch 111'!Y22</f>
        <v>7997818.4181985464</v>
      </c>
      <c r="J22" s="200">
        <f t="shared" si="1"/>
        <v>6.4890117662203012E-2</v>
      </c>
      <c r="K22" s="201"/>
      <c r="L22" s="116">
        <f t="shared" si="2"/>
        <v>2.2747565268772041</v>
      </c>
      <c r="N22" s="202">
        <f>L22-'Rate Impacts Sch 111'!Z22</f>
        <v>0</v>
      </c>
    </row>
    <row r="23" spans="2:14" x14ac:dyDescent="0.25">
      <c r="B23" t="s">
        <v>36</v>
      </c>
      <c r="C23" s="235"/>
      <c r="D23" s="198">
        <f>'Rate Impacts Sch 111'!G23</f>
        <v>32287606</v>
      </c>
      <c r="E23" s="199">
        <f>'Rate Impacts Sch 111'!T23</f>
        <v>2545211.1734032552</v>
      </c>
      <c r="F23" s="200">
        <f t="shared" si="0"/>
        <v>7.8829355555294356E-2</v>
      </c>
      <c r="G23" s="203"/>
      <c r="H23" s="198">
        <f>'Rate Impacts Sch 111'!G23</f>
        <v>32287606</v>
      </c>
      <c r="I23" s="199">
        <f>E23+'Rate Impacts Sch 111'!Y23</f>
        <v>3352592.9082398727</v>
      </c>
      <c r="J23" s="200">
        <f t="shared" si="1"/>
        <v>0.10383528925123382</v>
      </c>
      <c r="K23" s="201"/>
      <c r="L23" s="116">
        <f t="shared" si="2"/>
        <v>0.3172160107080822</v>
      </c>
      <c r="M23" s="204"/>
      <c r="N23" s="202">
        <f>L23-'Rate Impacts Sch 111'!Z23</f>
        <v>0</v>
      </c>
    </row>
    <row r="24" spans="2:14" x14ac:dyDescent="0.25">
      <c r="B24" t="s">
        <v>2</v>
      </c>
      <c r="D24" s="205">
        <f>SUM(D11:D23)</f>
        <v>1133099127</v>
      </c>
      <c r="E24" s="120">
        <f>SUM(E11:E23)</f>
        <v>978743878.11544526</v>
      </c>
      <c r="F24" s="206">
        <f>E24/D24</f>
        <v>0.86377604111899142</v>
      </c>
      <c r="G24" s="203"/>
      <c r="H24" s="205">
        <f>SUM(H11:H23)</f>
        <v>1133099127</v>
      </c>
      <c r="I24" s="120">
        <f>SUM(I11:I23)</f>
        <v>1024007652.8816913</v>
      </c>
      <c r="J24" s="206">
        <f>I24/H24</f>
        <v>0.90372292104121565</v>
      </c>
      <c r="K24" s="207"/>
      <c r="L24" s="122">
        <f>(I24-E24)/E24</f>
        <v>4.6246802435587861E-2</v>
      </c>
      <c r="M24" s="208"/>
      <c r="N24" s="202">
        <f>L24-'Rate Impacts Sch 111'!Z24</f>
        <v>2.0816681711721685E-16</v>
      </c>
    </row>
    <row r="25" spans="2:14" s="129" customFormat="1" x14ac:dyDescent="0.25">
      <c r="B25" s="137"/>
      <c r="C25" s="209"/>
      <c r="D25" s="209"/>
      <c r="E25" s="209"/>
      <c r="F25" s="210"/>
      <c r="G25" s="211"/>
      <c r="H25" s="209"/>
      <c r="I25" s="209"/>
      <c r="J25" s="210"/>
      <c r="K25" s="210"/>
      <c r="L25" s="212"/>
      <c r="M25" s="142"/>
      <c r="N25" s="213"/>
    </row>
    <row r="26" spans="2:14" x14ac:dyDescent="0.25">
      <c r="F26" s="214"/>
      <c r="G26" s="204"/>
      <c r="J26" s="214"/>
      <c r="K26" s="207"/>
      <c r="L26" s="61"/>
      <c r="M26" s="204"/>
      <c r="N26" s="213"/>
    </row>
    <row r="27" spans="2:14" s="129" customFormat="1" x14ac:dyDescent="0.25">
      <c r="B27" s="125" t="s">
        <v>172</v>
      </c>
      <c r="C27" s="126"/>
      <c r="D27" s="126"/>
      <c r="E27" s="126"/>
      <c r="F27" s="215"/>
      <c r="G27" s="142"/>
      <c r="H27" s="126"/>
      <c r="I27" s="126"/>
      <c r="J27" s="215"/>
      <c r="K27" s="215"/>
      <c r="L27" s="216"/>
      <c r="M27" s="142"/>
      <c r="N27" s="213"/>
    </row>
    <row r="28" spans="2:14" s="129" customFormat="1" x14ac:dyDescent="0.25">
      <c r="B28" s="132" t="s">
        <v>19</v>
      </c>
      <c r="C28" s="133" t="s">
        <v>173</v>
      </c>
      <c r="D28" s="134">
        <f>D11+D12</f>
        <v>555757476</v>
      </c>
      <c r="E28" s="135">
        <f>E11+E12</f>
        <v>647301378.36039984</v>
      </c>
      <c r="F28" s="217">
        <f>E28/D28</f>
        <v>1.164719155951399</v>
      </c>
      <c r="G28" s="218"/>
      <c r="H28" s="134">
        <f>H11+H12</f>
        <v>555757476</v>
      </c>
      <c r="I28" s="135">
        <f>I11+I12</f>
        <v>665035014.34803689</v>
      </c>
      <c r="J28" s="217">
        <f>I28/H28</f>
        <v>1.1966281032052852</v>
      </c>
      <c r="K28" s="210"/>
      <c r="L28" s="116">
        <f>(I28-E28)/E28</f>
        <v>2.7396258652431657E-2</v>
      </c>
      <c r="M28" s="219"/>
      <c r="N28" s="202">
        <f>L28-'Rate Impacts Sch 111'!Z27</f>
        <v>-1.0408340855860843E-16</v>
      </c>
    </row>
    <row r="29" spans="2:14" s="129" customFormat="1" x14ac:dyDescent="0.25">
      <c r="B29" s="136" t="s">
        <v>174</v>
      </c>
      <c r="C29" s="133" t="s">
        <v>175</v>
      </c>
      <c r="D29" s="134">
        <f t="shared" ref="D29:E33" si="3">D13+D18</f>
        <v>231049473</v>
      </c>
      <c r="E29" s="135">
        <f t="shared" si="3"/>
        <v>242242339.47230202</v>
      </c>
      <c r="F29" s="217">
        <f t="shared" ref="F29:F34" si="4">E29/D29</f>
        <v>1.0484435923050213</v>
      </c>
      <c r="G29" s="218"/>
      <c r="H29" s="134">
        <f t="shared" ref="H29:I33" si="5">H13+H18</f>
        <v>231049473</v>
      </c>
      <c r="I29" s="135">
        <f t="shared" si="5"/>
        <v>255139420.14733595</v>
      </c>
      <c r="J29" s="217">
        <f t="shared" ref="J29:J34" si="6">I29/H29</f>
        <v>1.1042631555681408</v>
      </c>
      <c r="K29" s="210"/>
      <c r="L29" s="116">
        <f t="shared" ref="L29:L35" si="7">(I29-E29)/E29</f>
        <v>5.3240406706477415E-2</v>
      </c>
      <c r="M29" s="142"/>
      <c r="N29" s="202">
        <f>L29-'Rate Impacts Sch 111'!Z28</f>
        <v>0</v>
      </c>
    </row>
    <row r="30" spans="2:14" s="129" customFormat="1" x14ac:dyDescent="0.25">
      <c r="B30" s="132" t="s">
        <v>176</v>
      </c>
      <c r="C30" s="133" t="s">
        <v>177</v>
      </c>
      <c r="D30" s="134">
        <f t="shared" si="3"/>
        <v>83250667</v>
      </c>
      <c r="E30" s="135">
        <f t="shared" si="3"/>
        <v>50593260.956182458</v>
      </c>
      <c r="F30" s="217">
        <f t="shared" si="4"/>
        <v>0.60772198925664411</v>
      </c>
      <c r="G30" s="218"/>
      <c r="H30" s="134">
        <f t="shared" si="5"/>
        <v>83250667</v>
      </c>
      <c r="I30" s="135">
        <f t="shared" si="5"/>
        <v>55208393.336601898</v>
      </c>
      <c r="J30" s="217">
        <f t="shared" si="6"/>
        <v>0.66315857068871165</v>
      </c>
      <c r="K30" s="210"/>
      <c r="L30" s="116">
        <f t="shared" si="7"/>
        <v>9.1220298774899886E-2</v>
      </c>
      <c r="M30" s="142"/>
      <c r="N30" s="202">
        <f>L30-'Rate Impacts Sch 111'!Z29</f>
        <v>0</v>
      </c>
    </row>
    <row r="31" spans="2:14" s="129" customFormat="1" x14ac:dyDescent="0.25">
      <c r="B31" s="132" t="s">
        <v>23</v>
      </c>
      <c r="C31" s="133" t="s">
        <v>178</v>
      </c>
      <c r="D31" s="134">
        <f t="shared" si="3"/>
        <v>80736078</v>
      </c>
      <c r="E31" s="135">
        <f t="shared" si="3"/>
        <v>21556293.77524177</v>
      </c>
      <c r="F31" s="217">
        <f t="shared" si="4"/>
        <v>0.26699703910860978</v>
      </c>
      <c r="G31" s="218"/>
      <c r="H31" s="134">
        <f t="shared" si="5"/>
        <v>80736078</v>
      </c>
      <c r="I31" s="135">
        <f t="shared" si="5"/>
        <v>24954460.534788273</v>
      </c>
      <c r="J31" s="217">
        <f t="shared" si="6"/>
        <v>0.30908685624768983</v>
      </c>
      <c r="K31" s="210"/>
      <c r="L31" s="116">
        <f t="shared" si="7"/>
        <v>0.15764151272838137</v>
      </c>
      <c r="M31" s="142"/>
      <c r="N31" s="202">
        <f>L31-'Rate Impacts Sch 111'!Z30</f>
        <v>0</v>
      </c>
    </row>
    <row r="32" spans="2:14" s="129" customFormat="1" x14ac:dyDescent="0.25">
      <c r="B32" s="132" t="s">
        <v>179</v>
      </c>
      <c r="C32" s="133" t="s">
        <v>180</v>
      </c>
      <c r="D32" s="134">
        <f t="shared" si="3"/>
        <v>6071230</v>
      </c>
      <c r="E32" s="135">
        <f t="shared" si="3"/>
        <v>3247474.3126607058</v>
      </c>
      <c r="F32" s="217">
        <f t="shared" si="4"/>
        <v>0.53489561631839111</v>
      </c>
      <c r="G32" s="218"/>
      <c r="H32" s="134">
        <f t="shared" si="5"/>
        <v>6071230</v>
      </c>
      <c r="I32" s="135">
        <f t="shared" si="5"/>
        <v>3623516.487960706</v>
      </c>
      <c r="J32" s="217">
        <f t="shared" si="6"/>
        <v>0.59683400035259837</v>
      </c>
      <c r="K32" s="210"/>
      <c r="L32" s="116">
        <f t="shared" si="7"/>
        <v>0.11579527321708145</v>
      </c>
      <c r="M32" s="142"/>
      <c r="N32" s="202">
        <f>L32-'Rate Impacts Sch 111'!Z31</f>
        <v>0</v>
      </c>
    </row>
    <row r="33" spans="2:14" s="129" customFormat="1" x14ac:dyDescent="0.25">
      <c r="B33" s="137" t="s">
        <v>181</v>
      </c>
      <c r="C33" s="133" t="s">
        <v>182</v>
      </c>
      <c r="D33" s="134">
        <f t="shared" si="3"/>
        <v>143946597</v>
      </c>
      <c r="E33" s="135">
        <f t="shared" si="3"/>
        <v>11257920.065255217</v>
      </c>
      <c r="F33" s="217">
        <f t="shared" si="4"/>
        <v>7.8209004588383688E-2</v>
      </c>
      <c r="G33" s="218"/>
      <c r="H33" s="134">
        <f t="shared" si="5"/>
        <v>143946597</v>
      </c>
      <c r="I33" s="135">
        <f t="shared" si="5"/>
        <v>16694255.118727513</v>
      </c>
      <c r="J33" s="217">
        <f t="shared" si="6"/>
        <v>0.1159753371503983</v>
      </c>
      <c r="K33" s="210"/>
      <c r="L33" s="116">
        <f t="shared" si="7"/>
        <v>0.4828898252928796</v>
      </c>
      <c r="M33" s="142"/>
      <c r="N33" s="202">
        <f>L33-'Rate Impacts Sch 111'!Z32</f>
        <v>0</v>
      </c>
    </row>
    <row r="34" spans="2:14" s="129" customFormat="1" x14ac:dyDescent="0.25">
      <c r="B34" s="137" t="s">
        <v>36</v>
      </c>
      <c r="C34" s="133"/>
      <c r="D34" s="134">
        <f>D23</f>
        <v>32287606</v>
      </c>
      <c r="E34" s="135">
        <f>E23</f>
        <v>2545211.1734032552</v>
      </c>
      <c r="F34" s="217">
        <f t="shared" si="4"/>
        <v>7.8829355555294356E-2</v>
      </c>
      <c r="G34" s="218"/>
      <c r="H34" s="134">
        <f>H23</f>
        <v>32287606</v>
      </c>
      <c r="I34" s="135">
        <f>I23</f>
        <v>3352592.9082398727</v>
      </c>
      <c r="J34" s="217">
        <f t="shared" si="6"/>
        <v>0.10383528925123382</v>
      </c>
      <c r="K34" s="210"/>
      <c r="L34" s="116">
        <f t="shared" si="7"/>
        <v>0.3172160107080822</v>
      </c>
      <c r="M34" s="142"/>
      <c r="N34" s="202">
        <f>L34-'Rate Impacts Sch 111'!Z33</f>
        <v>0</v>
      </c>
    </row>
    <row r="35" spans="2:14" s="129" customFormat="1" x14ac:dyDescent="0.25">
      <c r="B35" s="137" t="s">
        <v>2</v>
      </c>
      <c r="C35" s="137"/>
      <c r="D35" s="220">
        <f>SUM(D28:D34)</f>
        <v>1133099127</v>
      </c>
      <c r="E35" s="221">
        <f>SUM(E28:E34)</f>
        <v>978743878.11544526</v>
      </c>
      <c r="F35" s="222">
        <f>E35/D35</f>
        <v>0.86377604111899142</v>
      </c>
      <c r="G35" s="218"/>
      <c r="H35" s="220">
        <f>SUM(H28:H34)</f>
        <v>1133099127</v>
      </c>
      <c r="I35" s="221">
        <f>SUM(I28:I34)</f>
        <v>1024007652.881691</v>
      </c>
      <c r="J35" s="222">
        <f>I35/H35</f>
        <v>0.90372292104121532</v>
      </c>
      <c r="K35" s="210"/>
      <c r="L35" s="122">
        <f t="shared" si="7"/>
        <v>4.6246802435587493E-2</v>
      </c>
      <c r="M35" s="142"/>
      <c r="N35" s="202">
        <f>L35-'Rate Impacts Sch 111'!Z34</f>
        <v>-1.7347234759768071E-16</v>
      </c>
    </row>
    <row r="36" spans="2:14" s="129" customFormat="1" x14ac:dyDescent="0.25">
      <c r="B36" s="137"/>
      <c r="C36" s="137"/>
      <c r="D36" s="137"/>
      <c r="E36" s="137"/>
      <c r="F36" s="135"/>
      <c r="G36" s="218"/>
      <c r="H36" s="137"/>
      <c r="I36" s="137"/>
      <c r="J36" s="135"/>
      <c r="K36" s="210"/>
      <c r="L36" s="223"/>
      <c r="M36" s="142"/>
      <c r="N36" s="202"/>
    </row>
    <row r="37" spans="2:14" ht="17.25" x14ac:dyDescent="0.25">
      <c r="B37" s="132" t="s">
        <v>285</v>
      </c>
      <c r="F37" s="123"/>
    </row>
    <row r="38" spans="2:14" x14ac:dyDescent="0.25">
      <c r="B38" s="224"/>
    </row>
  </sheetData>
  <mergeCells count="6">
    <mergeCell ref="B1:L1"/>
    <mergeCell ref="B2:L2"/>
    <mergeCell ref="B3:L3"/>
    <mergeCell ref="B4:L4"/>
    <mergeCell ref="D6:F6"/>
    <mergeCell ref="H6:J6"/>
  </mergeCells>
  <printOptions horizontalCentered="1"/>
  <pageMargins left="0.7" right="0.7" top="0.75" bottom="0.75" header="0.3" footer="0.3"/>
  <pageSetup scale="73" orientation="landscape" blackAndWhite="1" r:id="rId1"/>
  <headerFooter>
    <oddFooter>&amp;L&amp;F 
&amp;A&amp;C&amp;P&amp;R&amp;D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topLeftCell="B1" zoomScale="90" zoomScaleNormal="90" workbookViewId="0">
      <selection activeCell="K6" sqref="K6"/>
    </sheetView>
  </sheetViews>
  <sheetFormatPr defaultColWidth="8.7109375" defaultRowHeight="15" x14ac:dyDescent="0.25"/>
  <cols>
    <col min="1" max="1" width="37.7109375" style="39" customWidth="1"/>
    <col min="2" max="2" width="9.140625" style="39" bestFit="1" customWidth="1"/>
    <col min="3" max="3" width="18.5703125" style="39" bestFit="1" customWidth="1"/>
    <col min="4" max="9" width="13.7109375" style="39" customWidth="1"/>
    <col min="10" max="12" width="14.42578125" style="39" customWidth="1"/>
    <col min="13" max="13" width="7.85546875" style="39" bestFit="1" customWidth="1"/>
    <col min="14" max="16384" width="8.7109375" style="39"/>
  </cols>
  <sheetData>
    <row r="1" spans="1:25" s="145" customFormat="1" x14ac:dyDescent="0.25">
      <c r="A1" s="246" t="s">
        <v>0</v>
      </c>
      <c r="B1" s="246"/>
      <c r="C1" s="246"/>
      <c r="D1" s="246"/>
      <c r="E1" s="246"/>
      <c r="F1" s="246"/>
      <c r="G1" s="246"/>
      <c r="H1" s="246"/>
      <c r="I1" s="246"/>
      <c r="J1" s="246"/>
      <c r="K1" s="246"/>
      <c r="L1" s="246"/>
      <c r="M1" s="246"/>
      <c r="N1" s="146"/>
    </row>
    <row r="2" spans="1:25" s="145" customFormat="1" x14ac:dyDescent="0.25">
      <c r="A2" s="246" t="s">
        <v>242</v>
      </c>
      <c r="B2" s="247"/>
      <c r="C2" s="247"/>
      <c r="D2" s="247"/>
      <c r="E2" s="247"/>
      <c r="F2" s="247"/>
      <c r="G2" s="247"/>
      <c r="H2" s="247"/>
      <c r="I2" s="247"/>
      <c r="J2" s="247"/>
      <c r="K2" s="247"/>
      <c r="L2" s="247"/>
      <c r="M2" s="247"/>
      <c r="N2" s="173"/>
      <c r="O2" s="174"/>
      <c r="P2" s="174"/>
      <c r="Q2" s="174"/>
      <c r="R2" s="174"/>
      <c r="S2" s="174"/>
      <c r="T2" s="174"/>
      <c r="U2" s="174"/>
      <c r="V2" s="174"/>
      <c r="W2" s="174"/>
      <c r="X2" s="174"/>
      <c r="Y2" s="174"/>
    </row>
    <row r="3" spans="1:25" s="145" customFormat="1" x14ac:dyDescent="0.25">
      <c r="A3" s="246" t="s">
        <v>215</v>
      </c>
      <c r="B3" s="246"/>
      <c r="C3" s="246"/>
      <c r="D3" s="246"/>
      <c r="E3" s="246"/>
      <c r="F3" s="246"/>
      <c r="G3" s="246"/>
      <c r="H3" s="246"/>
      <c r="I3" s="246"/>
      <c r="J3" s="246"/>
      <c r="K3" s="246"/>
      <c r="L3" s="246"/>
      <c r="M3" s="246"/>
      <c r="N3" s="146"/>
    </row>
    <row r="4" spans="1:25" s="145" customFormat="1" x14ac:dyDescent="0.25">
      <c r="A4" s="246" t="s">
        <v>260</v>
      </c>
      <c r="B4" s="246"/>
      <c r="C4" s="246"/>
      <c r="D4" s="246"/>
      <c r="E4" s="246"/>
      <c r="F4" s="246"/>
      <c r="G4" s="246"/>
      <c r="H4" s="246"/>
      <c r="I4" s="246"/>
      <c r="J4" s="246"/>
      <c r="K4" s="246"/>
      <c r="L4" s="246"/>
      <c r="M4" s="246"/>
      <c r="N4" s="146"/>
    </row>
    <row r="5" spans="1:25" x14ac:dyDescent="0.25">
      <c r="F5" s="229"/>
      <c r="G5" s="229"/>
      <c r="H5" s="229"/>
      <c r="I5" s="229"/>
    </row>
    <row r="6" spans="1:25" x14ac:dyDescent="0.25">
      <c r="D6" s="243" t="s">
        <v>186</v>
      </c>
      <c r="E6" s="244"/>
      <c r="F6" s="245"/>
      <c r="G6" s="243" t="s">
        <v>216</v>
      </c>
      <c r="H6" s="244"/>
      <c r="I6" s="245"/>
    </row>
    <row r="7" spans="1:25" x14ac:dyDescent="0.25">
      <c r="A7" s="59"/>
      <c r="B7" s="59"/>
      <c r="C7" s="59" t="s">
        <v>119</v>
      </c>
      <c r="D7" s="59" t="s">
        <v>5</v>
      </c>
      <c r="E7" s="59" t="s">
        <v>5</v>
      </c>
      <c r="F7" s="59" t="s">
        <v>2</v>
      </c>
      <c r="G7" s="59" t="s">
        <v>5</v>
      </c>
      <c r="H7" s="59" t="s">
        <v>5</v>
      </c>
      <c r="I7" s="59" t="s">
        <v>2</v>
      </c>
      <c r="J7" s="234" t="s">
        <v>119</v>
      </c>
      <c r="K7" s="234" t="s">
        <v>119</v>
      </c>
      <c r="L7" s="59" t="s">
        <v>217</v>
      </c>
      <c r="M7" s="59"/>
      <c r="V7" s="175"/>
      <c r="W7" s="175"/>
      <c r="X7" s="175"/>
    </row>
    <row r="8" spans="1:25" x14ac:dyDescent="0.25">
      <c r="A8" s="59"/>
      <c r="B8" s="59" t="s">
        <v>123</v>
      </c>
      <c r="C8" s="59" t="s">
        <v>218</v>
      </c>
      <c r="D8" s="59" t="s">
        <v>93</v>
      </c>
      <c r="E8" s="59" t="s">
        <v>219</v>
      </c>
      <c r="F8" s="59" t="s">
        <v>217</v>
      </c>
      <c r="G8" s="59" t="s">
        <v>93</v>
      </c>
      <c r="H8" s="59" t="s">
        <v>219</v>
      </c>
      <c r="I8" s="59" t="s">
        <v>217</v>
      </c>
      <c r="J8" s="234" t="s">
        <v>4</v>
      </c>
      <c r="K8" s="234" t="s">
        <v>4</v>
      </c>
      <c r="L8" s="59" t="s">
        <v>4</v>
      </c>
      <c r="M8" s="59" t="s">
        <v>138</v>
      </c>
      <c r="V8" s="175"/>
      <c r="W8" s="175"/>
      <c r="X8" s="175"/>
    </row>
    <row r="9" spans="1:25" x14ac:dyDescent="0.25">
      <c r="A9" s="60" t="s">
        <v>7</v>
      </c>
      <c r="B9" s="60" t="s">
        <v>141</v>
      </c>
      <c r="C9" s="239" t="str">
        <f>'Rate Impacts Sch 111'!$T$7</f>
        <v>12ME Dec. 2024</v>
      </c>
      <c r="D9" s="46" t="s">
        <v>190</v>
      </c>
      <c r="E9" s="46" t="s">
        <v>190</v>
      </c>
      <c r="F9" s="60" t="s">
        <v>190</v>
      </c>
      <c r="G9" s="46" t="s">
        <v>190</v>
      </c>
      <c r="H9" s="46" t="s">
        <v>190</v>
      </c>
      <c r="I9" s="60" t="s">
        <v>190</v>
      </c>
      <c r="J9" s="151" t="s">
        <v>186</v>
      </c>
      <c r="K9" s="151" t="s">
        <v>216</v>
      </c>
      <c r="L9" s="60" t="s">
        <v>146</v>
      </c>
      <c r="M9" s="60" t="s">
        <v>146</v>
      </c>
      <c r="V9" s="175"/>
      <c r="W9" s="176"/>
      <c r="X9" s="175"/>
    </row>
    <row r="10" spans="1:25" x14ac:dyDescent="0.25">
      <c r="A10" s="39" t="s">
        <v>19</v>
      </c>
      <c r="B10" s="229">
        <v>23</v>
      </c>
      <c r="C10" s="237">
        <v>555750480</v>
      </c>
      <c r="D10" s="177">
        <v>0.24697</v>
      </c>
      <c r="E10" s="177">
        <v>0.16566</v>
      </c>
      <c r="F10" s="178">
        <f>SUM(D10:E10)</f>
        <v>0.41263</v>
      </c>
      <c r="G10" s="179">
        <f>'Sch. 111 Charge Rates'!G11</f>
        <v>0.23183000000000001</v>
      </c>
      <c r="H10" s="177">
        <v>0.16491</v>
      </c>
      <c r="I10" s="178">
        <f>SUM(G10:H10)</f>
        <v>0.39673999999999998</v>
      </c>
      <c r="J10" s="115">
        <f>C10*F10</f>
        <v>229319320.56239998</v>
      </c>
      <c r="K10" s="115">
        <f>C10*I10</f>
        <v>220488445.43519998</v>
      </c>
      <c r="L10" s="61">
        <f>K10-J10</f>
        <v>-8830875.1272000074</v>
      </c>
      <c r="M10" s="68">
        <f>L10/J10</f>
        <v>-3.8509075927586491E-2</v>
      </c>
      <c r="V10" s="175"/>
      <c r="W10" s="180"/>
      <c r="X10" s="175"/>
    </row>
    <row r="11" spans="1:25" x14ac:dyDescent="0.25">
      <c r="A11" s="39" t="s">
        <v>20</v>
      </c>
      <c r="B11" s="229">
        <v>16</v>
      </c>
      <c r="C11" s="54">
        <v>6996</v>
      </c>
      <c r="D11" s="177">
        <v>0.24697</v>
      </c>
      <c r="E11" s="177">
        <v>0.16566</v>
      </c>
      <c r="F11" s="178">
        <f t="shared" ref="F11:F22" si="0">SUM(D11:E11)</f>
        <v>0.41263</v>
      </c>
      <c r="G11" s="179">
        <f>'Sch. 111 Charge Rates'!G12</f>
        <v>0.23183000000000001</v>
      </c>
      <c r="H11" s="177">
        <v>0.16491</v>
      </c>
      <c r="I11" s="178">
        <f t="shared" ref="I11:I22" si="1">SUM(G11:H11)</f>
        <v>0.39673999999999998</v>
      </c>
      <c r="J11" s="115">
        <f t="shared" ref="J11:J21" si="2">C11*F11</f>
        <v>2886.7594800000002</v>
      </c>
      <c r="K11" s="115">
        <f t="shared" ref="K11:K22" si="3">C11*I11</f>
        <v>2775.5930399999997</v>
      </c>
      <c r="L11" s="61">
        <f t="shared" ref="L11:L22" si="4">K11-J11</f>
        <v>-111.16644000000042</v>
      </c>
      <c r="M11" s="68">
        <f t="shared" ref="M11:M22" si="5">L11/J11</f>
        <v>-3.8509075927586602E-2</v>
      </c>
      <c r="V11" s="175"/>
      <c r="W11" s="175"/>
      <c r="X11" s="175"/>
    </row>
    <row r="12" spans="1:25" x14ac:dyDescent="0.25">
      <c r="A12" s="39" t="s">
        <v>21</v>
      </c>
      <c r="B12" s="229">
        <v>31</v>
      </c>
      <c r="C12" s="237">
        <v>226449666.31127122</v>
      </c>
      <c r="D12" s="177">
        <v>0.24697</v>
      </c>
      <c r="E12" s="177">
        <v>0.16566</v>
      </c>
      <c r="F12" s="178">
        <f t="shared" si="0"/>
        <v>0.41263</v>
      </c>
      <c r="G12" s="179">
        <f>'Sch. 111 Charge Rates'!G13</f>
        <v>0.23183000000000001</v>
      </c>
      <c r="H12" s="177">
        <v>0.16491</v>
      </c>
      <c r="I12" s="178">
        <f t="shared" si="1"/>
        <v>0.39673999999999998</v>
      </c>
      <c r="J12" s="115">
        <f t="shared" si="2"/>
        <v>93439925.810019836</v>
      </c>
      <c r="K12" s="115">
        <f t="shared" si="3"/>
        <v>89841640.612333745</v>
      </c>
      <c r="L12" s="61">
        <f t="shared" si="4"/>
        <v>-3598285.1976860911</v>
      </c>
      <c r="M12" s="68">
        <f t="shared" si="5"/>
        <v>-3.8509075927586366E-2</v>
      </c>
      <c r="V12" s="175"/>
      <c r="W12" s="175"/>
      <c r="X12" s="175"/>
    </row>
    <row r="13" spans="1:25" x14ac:dyDescent="0.25">
      <c r="A13" s="39" t="s">
        <v>22</v>
      </c>
      <c r="B13" s="229">
        <v>41</v>
      </c>
      <c r="C13" s="237">
        <v>61653322.19827313</v>
      </c>
      <c r="D13" s="177">
        <v>0.24697</v>
      </c>
      <c r="E13" s="177">
        <v>0.16566</v>
      </c>
      <c r="F13" s="178">
        <f t="shared" si="0"/>
        <v>0.41263</v>
      </c>
      <c r="G13" s="179">
        <f>'Sch. 111 Charge Rates'!G14</f>
        <v>0.23183000000000001</v>
      </c>
      <c r="H13" s="177">
        <v>0.16491</v>
      </c>
      <c r="I13" s="178">
        <f t="shared" si="1"/>
        <v>0.39673999999999998</v>
      </c>
      <c r="J13" s="115">
        <f t="shared" si="2"/>
        <v>25440010.338673443</v>
      </c>
      <c r="K13" s="115">
        <f t="shared" si="3"/>
        <v>24460339.048942879</v>
      </c>
      <c r="L13" s="61">
        <f t="shared" si="4"/>
        <v>-979671.28973056376</v>
      </c>
      <c r="M13" s="68">
        <f t="shared" si="5"/>
        <v>-3.8509075927586602E-2</v>
      </c>
    </row>
    <row r="14" spans="1:25" x14ac:dyDescent="0.25">
      <c r="A14" s="39" t="s">
        <v>23</v>
      </c>
      <c r="B14" s="229">
        <v>85</v>
      </c>
      <c r="C14" s="237">
        <v>14305940.927245032</v>
      </c>
      <c r="D14" s="177">
        <v>0.24697</v>
      </c>
      <c r="E14" s="177">
        <v>0.16566</v>
      </c>
      <c r="F14" s="178">
        <f t="shared" si="0"/>
        <v>0.41263</v>
      </c>
      <c r="G14" s="179">
        <f>'Sch. 111 Charge Rates'!G15</f>
        <v>0.23183000000000001</v>
      </c>
      <c r="H14" s="177">
        <v>0.16491</v>
      </c>
      <c r="I14" s="178">
        <f t="shared" si="1"/>
        <v>0.39673999999999998</v>
      </c>
      <c r="J14" s="115">
        <f t="shared" si="2"/>
        <v>5903060.4048091173</v>
      </c>
      <c r="K14" s="115">
        <f t="shared" si="3"/>
        <v>5675739.0034751939</v>
      </c>
      <c r="L14" s="61">
        <f t="shared" si="4"/>
        <v>-227321.40133392345</v>
      </c>
      <c r="M14" s="68">
        <f t="shared" si="5"/>
        <v>-3.8509075927586442E-2</v>
      </c>
    </row>
    <row r="15" spans="1:25" x14ac:dyDescent="0.25">
      <c r="A15" s="39" t="s">
        <v>24</v>
      </c>
      <c r="B15" s="229">
        <v>86</v>
      </c>
      <c r="C15" s="237">
        <v>4872572</v>
      </c>
      <c r="D15" s="177">
        <v>0.24697</v>
      </c>
      <c r="E15" s="177">
        <v>0.16566</v>
      </c>
      <c r="F15" s="178">
        <f t="shared" si="0"/>
        <v>0.41263</v>
      </c>
      <c r="G15" s="179">
        <f>'Sch. 111 Charge Rates'!G16</f>
        <v>0.23183000000000001</v>
      </c>
      <c r="H15" s="177">
        <v>0.16491</v>
      </c>
      <c r="I15" s="178">
        <f t="shared" si="1"/>
        <v>0.39673999999999998</v>
      </c>
      <c r="J15" s="115">
        <f t="shared" si="2"/>
        <v>2010569.38436</v>
      </c>
      <c r="K15" s="115">
        <f t="shared" si="3"/>
        <v>1933144.2152799999</v>
      </c>
      <c r="L15" s="61">
        <f t="shared" si="4"/>
        <v>-77425.169080000138</v>
      </c>
      <c r="M15" s="68">
        <f t="shared" si="5"/>
        <v>-3.8509075927586525E-2</v>
      </c>
    </row>
    <row r="16" spans="1:25" x14ac:dyDescent="0.25">
      <c r="A16" s="39" t="s">
        <v>25</v>
      </c>
      <c r="B16" s="229">
        <v>87</v>
      </c>
      <c r="C16" s="237">
        <v>1550270.6056976072</v>
      </c>
      <c r="D16" s="177">
        <v>0.24697</v>
      </c>
      <c r="E16" s="177">
        <v>0.16566</v>
      </c>
      <c r="F16" s="178">
        <f t="shared" si="0"/>
        <v>0.41263</v>
      </c>
      <c r="G16" s="179">
        <f>'Sch. 111 Charge Rates'!G17</f>
        <v>0.23183000000000001</v>
      </c>
      <c r="H16" s="177">
        <v>0.16491</v>
      </c>
      <c r="I16" s="178">
        <f t="shared" si="1"/>
        <v>0.39673999999999998</v>
      </c>
      <c r="J16" s="115">
        <f t="shared" si="2"/>
        <v>639688.16002900363</v>
      </c>
      <c r="K16" s="115">
        <f t="shared" si="3"/>
        <v>615054.36010446865</v>
      </c>
      <c r="L16" s="61">
        <f t="shared" si="4"/>
        <v>-24633.799924534978</v>
      </c>
      <c r="M16" s="68">
        <f t="shared" si="5"/>
        <v>-3.8509075927586456E-2</v>
      </c>
    </row>
    <row r="17" spans="1:13" x14ac:dyDescent="0.25">
      <c r="A17" s="39" t="s">
        <v>26</v>
      </c>
      <c r="B17" s="229" t="s">
        <v>27</v>
      </c>
      <c r="C17" s="237">
        <v>952</v>
      </c>
      <c r="D17" s="177">
        <v>0.24697</v>
      </c>
      <c r="E17" s="177">
        <v>0.16566</v>
      </c>
      <c r="F17" s="178">
        <f t="shared" si="0"/>
        <v>0.41263</v>
      </c>
      <c r="G17" s="179">
        <f>'Sch. 111 Charge Rates'!G18</f>
        <v>0.23183000000000001</v>
      </c>
      <c r="H17" s="177">
        <v>0.16491</v>
      </c>
      <c r="I17" s="178">
        <f t="shared" si="1"/>
        <v>0.39673999999999998</v>
      </c>
      <c r="J17" s="115">
        <f t="shared" si="2"/>
        <v>392.82375999999999</v>
      </c>
      <c r="K17" s="115">
        <f t="shared" si="3"/>
        <v>377.69648000000001</v>
      </c>
      <c r="L17" s="61">
        <f t="shared" si="4"/>
        <v>-15.127279999999985</v>
      </c>
      <c r="M17" s="68">
        <f t="shared" si="5"/>
        <v>-3.8509075927586421E-2</v>
      </c>
    </row>
    <row r="18" spans="1:13" x14ac:dyDescent="0.25">
      <c r="A18" s="39" t="s">
        <v>28</v>
      </c>
      <c r="B18" s="229" t="s">
        <v>29</v>
      </c>
      <c r="C18" s="237">
        <v>21477365</v>
      </c>
      <c r="D18" s="177">
        <v>0.24697</v>
      </c>
      <c r="E18" s="177">
        <v>0.16566</v>
      </c>
      <c r="F18" s="178">
        <f t="shared" si="0"/>
        <v>0.41263</v>
      </c>
      <c r="G18" s="179">
        <f>'Sch. 111 Charge Rates'!G19</f>
        <v>0.23183000000000001</v>
      </c>
      <c r="H18" s="177">
        <v>0.16491</v>
      </c>
      <c r="I18" s="178">
        <f t="shared" si="1"/>
        <v>0.39673999999999998</v>
      </c>
      <c r="J18" s="115">
        <f t="shared" si="2"/>
        <v>8862205.1199500002</v>
      </c>
      <c r="K18" s="115">
        <f t="shared" si="3"/>
        <v>8520929.7900999989</v>
      </c>
      <c r="L18" s="61">
        <f t="shared" si="4"/>
        <v>-341275.32985000126</v>
      </c>
      <c r="M18" s="68">
        <f t="shared" si="5"/>
        <v>-3.8509075927586602E-2</v>
      </c>
    </row>
    <row r="19" spans="1:13" x14ac:dyDescent="0.25">
      <c r="A19" s="39" t="s">
        <v>30</v>
      </c>
      <c r="B19" s="229" t="s">
        <v>31</v>
      </c>
      <c r="C19" s="237">
        <v>58769691.57454814</v>
      </c>
      <c r="D19" s="177">
        <v>0.24697</v>
      </c>
      <c r="E19" s="177">
        <v>0.16566</v>
      </c>
      <c r="F19" s="178">
        <f t="shared" si="0"/>
        <v>0.41263</v>
      </c>
      <c r="G19" s="179">
        <f>'Sch. 111 Charge Rates'!G20</f>
        <v>0.23183000000000001</v>
      </c>
      <c r="H19" s="177">
        <v>0.16491</v>
      </c>
      <c r="I19" s="178">
        <f t="shared" si="1"/>
        <v>0.39673999999999998</v>
      </c>
      <c r="J19" s="115">
        <f t="shared" si="2"/>
        <v>24250137.834405798</v>
      </c>
      <c r="K19" s="115">
        <f t="shared" si="3"/>
        <v>23316287.435286228</v>
      </c>
      <c r="L19" s="61">
        <f t="shared" si="4"/>
        <v>-933850.39911957085</v>
      </c>
      <c r="M19" s="68">
        <f t="shared" si="5"/>
        <v>-3.8509075927586497E-2</v>
      </c>
    </row>
    <row r="20" spans="1:13" x14ac:dyDescent="0.25">
      <c r="A20" s="39" t="s">
        <v>32</v>
      </c>
      <c r="B20" s="229" t="s">
        <v>33</v>
      </c>
      <c r="C20" s="237">
        <v>1198658</v>
      </c>
      <c r="D20" s="177">
        <v>0.24697</v>
      </c>
      <c r="E20" s="177">
        <v>0.16566</v>
      </c>
      <c r="F20" s="178">
        <f t="shared" si="0"/>
        <v>0.41263</v>
      </c>
      <c r="G20" s="179">
        <f>'Sch. 111 Charge Rates'!G21</f>
        <v>0.23183000000000001</v>
      </c>
      <c r="H20" s="177">
        <v>0.16491</v>
      </c>
      <c r="I20" s="178">
        <f t="shared" si="1"/>
        <v>0.39673999999999998</v>
      </c>
      <c r="J20" s="115">
        <f t="shared" si="2"/>
        <v>494602.25053999998</v>
      </c>
      <c r="K20" s="115">
        <f t="shared" si="3"/>
        <v>475555.57491999998</v>
      </c>
      <c r="L20" s="61">
        <f t="shared" si="4"/>
        <v>-19046.675619999995</v>
      </c>
      <c r="M20" s="68">
        <f t="shared" si="5"/>
        <v>-3.8509075927586449E-2</v>
      </c>
    </row>
    <row r="21" spans="1:13" x14ac:dyDescent="0.25">
      <c r="A21" s="39" t="s">
        <v>34</v>
      </c>
      <c r="B21" s="229" t="s">
        <v>35</v>
      </c>
      <c r="C21" s="237">
        <v>7573006.0794945797</v>
      </c>
      <c r="D21" s="177">
        <v>0.24697</v>
      </c>
      <c r="E21" s="177">
        <v>0.16566</v>
      </c>
      <c r="F21" s="178">
        <f t="shared" si="0"/>
        <v>0.41263</v>
      </c>
      <c r="G21" s="179">
        <f>'Sch. 111 Charge Rates'!G22</f>
        <v>0.23183000000000001</v>
      </c>
      <c r="H21" s="177">
        <v>0.16491</v>
      </c>
      <c r="I21" s="178">
        <f t="shared" si="1"/>
        <v>0.39673999999999998</v>
      </c>
      <c r="J21" s="115">
        <f t="shared" si="2"/>
        <v>3124849.4985818486</v>
      </c>
      <c r="K21" s="115">
        <f t="shared" si="3"/>
        <v>3004514.4319786793</v>
      </c>
      <c r="L21" s="61">
        <f t="shared" si="4"/>
        <v>-120335.06660316931</v>
      </c>
      <c r="M21" s="68">
        <f t="shared" si="5"/>
        <v>-3.8509075927586595E-2</v>
      </c>
    </row>
    <row r="22" spans="1:13" x14ac:dyDescent="0.25">
      <c r="A22" s="39" t="s">
        <v>36</v>
      </c>
      <c r="B22" s="229"/>
      <c r="C22" s="237">
        <v>12913388.61947025</v>
      </c>
      <c r="D22" s="177">
        <v>0.24697</v>
      </c>
      <c r="E22" s="177">
        <v>0.16566</v>
      </c>
      <c r="F22" s="178">
        <f t="shared" si="0"/>
        <v>0.41263</v>
      </c>
      <c r="G22" s="179">
        <f>'Sch. 111 Charge Rates'!G23</f>
        <v>0.23183000000000001</v>
      </c>
      <c r="H22" s="177">
        <v>0.16491</v>
      </c>
      <c r="I22" s="178">
        <f t="shared" si="1"/>
        <v>0.39673999999999998</v>
      </c>
      <c r="J22" s="115">
        <f>C22*F22</f>
        <v>5328451.5460520089</v>
      </c>
      <c r="K22" s="115">
        <f t="shared" si="3"/>
        <v>5123257.8008886268</v>
      </c>
      <c r="L22" s="61">
        <f t="shared" si="4"/>
        <v>-205193.74516338203</v>
      </c>
      <c r="M22" s="68">
        <f t="shared" si="5"/>
        <v>-3.8509075927586414E-2</v>
      </c>
    </row>
    <row r="23" spans="1:13" x14ac:dyDescent="0.25">
      <c r="A23" s="39" t="s">
        <v>2</v>
      </c>
      <c r="C23" s="51">
        <f>SUM(C10:C22)</f>
        <v>966522309.31599998</v>
      </c>
      <c r="D23" s="181"/>
      <c r="E23" s="181"/>
      <c r="F23" s="178"/>
      <c r="G23" s="178"/>
      <c r="H23" s="178"/>
      <c r="I23" s="178"/>
      <c r="J23" s="121">
        <f t="shared" ref="J23:L23" si="6">SUM(J10:J22)</f>
        <v>398816100.49306107</v>
      </c>
      <c r="K23" s="121">
        <f t="shared" si="6"/>
        <v>383458060.99802971</v>
      </c>
      <c r="L23" s="66">
        <f t="shared" si="6"/>
        <v>-15358039.495031245</v>
      </c>
      <c r="M23" s="65">
        <f>L23/J23</f>
        <v>-3.850907592758647E-2</v>
      </c>
    </row>
    <row r="24" spans="1:13" x14ac:dyDescent="0.25">
      <c r="J24" s="61"/>
      <c r="K24" s="61"/>
    </row>
    <row r="25" spans="1:13" x14ac:dyDescent="0.25">
      <c r="C25" s="52"/>
      <c r="D25" s="52"/>
      <c r="E25" s="52"/>
      <c r="J25" s="61"/>
      <c r="K25" s="61"/>
    </row>
    <row r="26" spans="1:13" x14ac:dyDescent="0.25">
      <c r="A26" s="182"/>
      <c r="B26" s="175"/>
      <c r="C26" s="175"/>
      <c r="D26" s="175"/>
      <c r="E26" s="175"/>
      <c r="F26" s="175"/>
      <c r="G26" s="175"/>
      <c r="H26" s="175"/>
      <c r="I26" s="175"/>
      <c r="J26" s="175"/>
      <c r="K26" s="175"/>
      <c r="L26" s="175"/>
    </row>
    <row r="27" spans="1:13" x14ac:dyDescent="0.25">
      <c r="B27" s="175"/>
      <c r="C27" s="175"/>
      <c r="D27" s="175"/>
      <c r="E27" s="175"/>
      <c r="F27" s="175"/>
      <c r="G27" s="175"/>
      <c r="H27" s="175"/>
      <c r="I27" s="175"/>
      <c r="J27" s="175"/>
      <c r="K27" s="175"/>
      <c r="L27" s="175"/>
    </row>
    <row r="42" spans="2:2" ht="17.25" x14ac:dyDescent="0.25">
      <c r="B42" s="183"/>
    </row>
  </sheetData>
  <mergeCells count="6">
    <mergeCell ref="A1:M1"/>
    <mergeCell ref="A2:M2"/>
    <mergeCell ref="A3:M3"/>
    <mergeCell ref="A4:M4"/>
    <mergeCell ref="D6:F6"/>
    <mergeCell ref="G6:I6"/>
  </mergeCells>
  <printOptions horizontalCentered="1"/>
  <pageMargins left="0.7" right="0.7" top="0.75" bottom="0.75" header="0.3" footer="0.3"/>
  <pageSetup scale="84" orientation="landscape" blackAndWhite="1" r:id="rId1"/>
  <headerFooter>
    <oddFooter>&amp;L&amp;F 
&amp;A&amp;C&amp;P&amp;R&amp;D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zoomScale="90" zoomScaleNormal="90" workbookViewId="0">
      <selection activeCell="C6" sqref="C6"/>
    </sheetView>
  </sheetViews>
  <sheetFormatPr defaultColWidth="8.7109375" defaultRowHeight="15" x14ac:dyDescent="0.25"/>
  <cols>
    <col min="1" max="1" width="37.7109375" style="39" customWidth="1"/>
    <col min="2" max="2" width="9.140625" style="39" bestFit="1" customWidth="1"/>
    <col min="3" max="3" width="18.5703125" style="39" bestFit="1" customWidth="1"/>
    <col min="4" max="4" width="13.7109375" style="39" customWidth="1"/>
    <col min="5" max="5" width="14.85546875" style="39" customWidth="1"/>
    <col min="6" max="9" width="13.7109375" style="39" customWidth="1"/>
    <col min="10" max="10" width="15.85546875" style="39" customWidth="1"/>
    <col min="11" max="12" width="15.28515625" style="39" bestFit="1" customWidth="1"/>
    <col min="13" max="13" width="7.85546875" style="39" bestFit="1" customWidth="1"/>
    <col min="14" max="16384" width="8.7109375" style="39"/>
  </cols>
  <sheetData>
    <row r="1" spans="1:25" s="145" customFormat="1" x14ac:dyDescent="0.25">
      <c r="A1" s="246" t="s">
        <v>0</v>
      </c>
      <c r="B1" s="246"/>
      <c r="C1" s="246"/>
      <c r="D1" s="246"/>
      <c r="E1" s="246"/>
      <c r="F1" s="246"/>
      <c r="G1" s="246"/>
      <c r="H1" s="246"/>
      <c r="I1" s="246"/>
      <c r="J1" s="246"/>
      <c r="K1" s="246"/>
      <c r="L1" s="246"/>
      <c r="M1" s="246"/>
      <c r="N1" s="146"/>
    </row>
    <row r="2" spans="1:25" s="145" customFormat="1" x14ac:dyDescent="0.25">
      <c r="A2" s="246" t="s">
        <v>239</v>
      </c>
      <c r="B2" s="247"/>
      <c r="C2" s="247"/>
      <c r="D2" s="247"/>
      <c r="E2" s="247"/>
      <c r="F2" s="247"/>
      <c r="G2" s="247"/>
      <c r="H2" s="247"/>
      <c r="I2" s="247"/>
      <c r="J2" s="247"/>
      <c r="K2" s="247"/>
      <c r="L2" s="247"/>
      <c r="M2" s="247"/>
      <c r="N2" s="173"/>
      <c r="O2" s="174"/>
      <c r="P2" s="174"/>
      <c r="Q2" s="174"/>
      <c r="R2" s="174"/>
      <c r="S2" s="174"/>
      <c r="T2" s="174"/>
      <c r="U2" s="174"/>
      <c r="V2" s="174"/>
      <c r="W2" s="174"/>
      <c r="X2" s="174"/>
      <c r="Y2" s="174"/>
    </row>
    <row r="3" spans="1:25" s="145" customFormat="1" x14ac:dyDescent="0.25">
      <c r="A3" s="246" t="s">
        <v>215</v>
      </c>
      <c r="B3" s="246"/>
      <c r="C3" s="246"/>
      <c r="D3" s="246"/>
      <c r="E3" s="246"/>
      <c r="F3" s="246"/>
      <c r="G3" s="246"/>
      <c r="H3" s="246"/>
      <c r="I3" s="246"/>
      <c r="J3" s="246"/>
      <c r="K3" s="246"/>
      <c r="L3" s="246"/>
      <c r="M3" s="246"/>
      <c r="N3" s="146"/>
    </row>
    <row r="4" spans="1:25" s="145" customFormat="1" x14ac:dyDescent="0.25">
      <c r="A4" s="246" t="s">
        <v>260</v>
      </c>
      <c r="B4" s="246"/>
      <c r="C4" s="246"/>
      <c r="D4" s="246"/>
      <c r="E4" s="246"/>
      <c r="F4" s="246"/>
      <c r="G4" s="246"/>
      <c r="H4" s="246"/>
      <c r="I4" s="246"/>
      <c r="J4" s="246"/>
      <c r="K4" s="246"/>
      <c r="L4" s="246"/>
      <c r="M4" s="246"/>
      <c r="N4" s="146"/>
    </row>
    <row r="5" spans="1:25" x14ac:dyDescent="0.25">
      <c r="F5" s="229"/>
      <c r="G5" s="229"/>
      <c r="H5" s="229"/>
      <c r="I5" s="229"/>
    </row>
    <row r="6" spans="1:25" x14ac:dyDescent="0.25">
      <c r="A6" s="184" t="s">
        <v>220</v>
      </c>
      <c r="D6" s="243" t="s">
        <v>221</v>
      </c>
      <c r="E6" s="244"/>
      <c r="F6" s="245"/>
      <c r="G6" s="243" t="s">
        <v>65</v>
      </c>
      <c r="H6" s="244"/>
      <c r="I6" s="245"/>
    </row>
    <row r="7" spans="1:25" x14ac:dyDescent="0.25">
      <c r="A7" s="59"/>
      <c r="B7" s="59"/>
      <c r="C7" s="59" t="s">
        <v>119</v>
      </c>
      <c r="D7" s="59" t="s">
        <v>217</v>
      </c>
      <c r="E7" s="59" t="s">
        <v>217</v>
      </c>
      <c r="F7" s="59" t="s">
        <v>2</v>
      </c>
      <c r="G7" s="59" t="s">
        <v>217</v>
      </c>
      <c r="H7" s="59" t="s">
        <v>217</v>
      </c>
      <c r="I7" s="59" t="s">
        <v>2</v>
      </c>
      <c r="J7" s="234" t="s">
        <v>119</v>
      </c>
      <c r="K7" s="234" t="s">
        <v>119</v>
      </c>
      <c r="L7" s="59" t="s">
        <v>217</v>
      </c>
      <c r="M7" s="59"/>
      <c r="V7" s="175"/>
      <c r="W7" s="175"/>
      <c r="X7" s="175"/>
    </row>
    <row r="8" spans="1:25" x14ac:dyDescent="0.25">
      <c r="A8" s="59"/>
      <c r="B8" s="59" t="s">
        <v>123</v>
      </c>
      <c r="C8" s="59" t="s">
        <v>222</v>
      </c>
      <c r="D8" s="59" t="s">
        <v>93</v>
      </c>
      <c r="E8" s="59" t="s">
        <v>219</v>
      </c>
      <c r="F8" s="59" t="s">
        <v>217</v>
      </c>
      <c r="G8" s="59" t="s">
        <v>93</v>
      </c>
      <c r="H8" s="59" t="s">
        <v>219</v>
      </c>
      <c r="I8" s="59" t="s">
        <v>217</v>
      </c>
      <c r="J8" s="234" t="s">
        <v>4</v>
      </c>
      <c r="K8" s="234" t="s">
        <v>4</v>
      </c>
      <c r="L8" s="59" t="s">
        <v>4</v>
      </c>
      <c r="M8" s="59" t="s">
        <v>138</v>
      </c>
      <c r="V8" s="175"/>
      <c r="W8" s="175"/>
      <c r="X8" s="175"/>
    </row>
    <row r="9" spans="1:25" x14ac:dyDescent="0.25">
      <c r="A9" s="60" t="s">
        <v>7</v>
      </c>
      <c r="B9" s="60" t="s">
        <v>141</v>
      </c>
      <c r="C9" s="239" t="str">
        <f>'Rate Impacts Sch 111'!$T$7</f>
        <v>12ME Dec. 2024</v>
      </c>
      <c r="D9" s="60" t="s">
        <v>223</v>
      </c>
      <c r="E9" s="60" t="s">
        <v>223</v>
      </c>
      <c r="F9" s="60" t="s">
        <v>223</v>
      </c>
      <c r="G9" s="60" t="s">
        <v>223</v>
      </c>
      <c r="H9" s="60" t="s">
        <v>223</v>
      </c>
      <c r="I9" s="60" t="s">
        <v>223</v>
      </c>
      <c r="J9" s="151" t="s">
        <v>186</v>
      </c>
      <c r="K9" s="151" t="s">
        <v>216</v>
      </c>
      <c r="L9" s="60" t="s">
        <v>146</v>
      </c>
      <c r="M9" s="60" t="s">
        <v>146</v>
      </c>
      <c r="V9" s="175"/>
      <c r="W9" s="176"/>
      <c r="X9" s="175"/>
    </row>
    <row r="10" spans="1:25" x14ac:dyDescent="0.25">
      <c r="A10" s="39" t="s">
        <v>19</v>
      </c>
      <c r="B10" s="229">
        <v>23</v>
      </c>
      <c r="C10" s="237">
        <v>8756784.3619149067</v>
      </c>
      <c r="D10" s="185">
        <v>-12.1</v>
      </c>
      <c r="E10" s="185">
        <v>-8.24</v>
      </c>
      <c r="F10" s="81">
        <f>SUM(D10:E10)</f>
        <v>-20.34</v>
      </c>
      <c r="G10" s="156">
        <f>'Sch. 111 Non-Vol Credit Rates'!H11</f>
        <v>-8.91</v>
      </c>
      <c r="H10" s="185">
        <v>-8.5</v>
      </c>
      <c r="I10" s="81">
        <f>SUM(G10:H10)</f>
        <v>-17.41</v>
      </c>
      <c r="J10" s="115">
        <f>C10*F10</f>
        <v>-178112993.9213492</v>
      </c>
      <c r="K10" s="115">
        <f>C10*I10</f>
        <v>-152455615.74093851</v>
      </c>
      <c r="L10" s="61">
        <f>K10-J10</f>
        <v>25657378.180410683</v>
      </c>
      <c r="M10" s="68">
        <f>-L10/J10</f>
        <v>0.14405113077679454</v>
      </c>
      <c r="V10" s="175"/>
      <c r="W10" s="180"/>
      <c r="X10" s="175"/>
    </row>
    <row r="11" spans="1:25" ht="17.25" x14ac:dyDescent="0.25">
      <c r="A11" s="39" t="s">
        <v>224</v>
      </c>
      <c r="B11" s="229">
        <v>16</v>
      </c>
      <c r="C11" s="54">
        <v>368.21052631578942</v>
      </c>
      <c r="D11" s="185">
        <v>-3.88</v>
      </c>
      <c r="E11" s="185">
        <v>-2.4700000000000002</v>
      </c>
      <c r="F11" s="81">
        <f t="shared" ref="F11:F22" si="0">SUM(D11:E11)</f>
        <v>-6.35</v>
      </c>
      <c r="G11" s="156">
        <f>'Sch. 111 Non-Vol Credit Rates'!H12</f>
        <v>-2.67</v>
      </c>
      <c r="H11" s="185">
        <v>-2.54</v>
      </c>
      <c r="I11" s="81">
        <f t="shared" ref="I11:I22" si="1">SUM(G11:H11)</f>
        <v>-5.21</v>
      </c>
      <c r="J11" s="115">
        <f t="shared" ref="J11:J21" si="2">C11*F11</f>
        <v>-2338.1368421052625</v>
      </c>
      <c r="K11" s="115">
        <f t="shared" ref="K11:K22" si="3">C11*I11</f>
        <v>-1918.3768421052628</v>
      </c>
      <c r="L11" s="61">
        <f t="shared" ref="L11:L22" si="4">K11-J11</f>
        <v>419.75999999999976</v>
      </c>
      <c r="M11" s="68">
        <f t="shared" ref="M11:M22" si="5">-L11/J11</f>
        <v>0.17952755905511805</v>
      </c>
      <c r="V11" s="175"/>
      <c r="W11" s="175"/>
      <c r="X11" s="175"/>
    </row>
    <row r="12" spans="1:25" x14ac:dyDescent="0.25">
      <c r="A12" s="39" t="s">
        <v>21</v>
      </c>
      <c r="B12" s="229">
        <v>31</v>
      </c>
      <c r="C12" s="237">
        <v>680636</v>
      </c>
      <c r="D12" s="185">
        <v>-72.34</v>
      </c>
      <c r="E12" s="185">
        <v>-43.35</v>
      </c>
      <c r="F12" s="81">
        <f t="shared" si="0"/>
        <v>-115.69</v>
      </c>
      <c r="G12" s="156">
        <f>'Sch. 111 Non-Vol Credit Rates'!H13</f>
        <v>-46.73</v>
      </c>
      <c r="H12" s="185">
        <v>-44.73</v>
      </c>
      <c r="I12" s="81">
        <f t="shared" si="1"/>
        <v>-91.46</v>
      </c>
      <c r="J12" s="115">
        <f t="shared" si="2"/>
        <v>-78742778.840000004</v>
      </c>
      <c r="K12" s="115">
        <f t="shared" si="3"/>
        <v>-62250968.559999995</v>
      </c>
      <c r="L12" s="61">
        <f t="shared" si="4"/>
        <v>16491810.280000009</v>
      </c>
      <c r="M12" s="68">
        <f t="shared" si="5"/>
        <v>0.20943901806552001</v>
      </c>
      <c r="V12" s="175"/>
      <c r="W12" s="175"/>
      <c r="X12" s="175"/>
    </row>
    <row r="13" spans="1:25" x14ac:dyDescent="0.25">
      <c r="A13" s="39" t="s">
        <v>22</v>
      </c>
      <c r="B13" s="229">
        <v>41</v>
      </c>
      <c r="C13" s="237">
        <v>14802</v>
      </c>
      <c r="D13" s="185">
        <v>-920.44</v>
      </c>
      <c r="E13" s="185">
        <v>-543.32000000000005</v>
      </c>
      <c r="F13" s="81">
        <f t="shared" si="0"/>
        <v>-1463.7600000000002</v>
      </c>
      <c r="G13" s="156">
        <f>'Sch. 111 Non-Vol Credit Rates'!H14</f>
        <v>-585.08000000000004</v>
      </c>
      <c r="H13" s="185">
        <v>-560.54</v>
      </c>
      <c r="I13" s="81">
        <f t="shared" si="1"/>
        <v>-1145.6199999999999</v>
      </c>
      <c r="J13" s="115">
        <f t="shared" si="2"/>
        <v>-21666575.520000003</v>
      </c>
      <c r="K13" s="115">
        <f t="shared" si="3"/>
        <v>-16957467.239999998</v>
      </c>
      <c r="L13" s="61">
        <f t="shared" si="4"/>
        <v>4709108.2800000049</v>
      </c>
      <c r="M13" s="68">
        <f t="shared" si="5"/>
        <v>0.21734437339454574</v>
      </c>
    </row>
    <row r="14" spans="1:25" x14ac:dyDescent="0.25">
      <c r="A14" s="39" t="s">
        <v>23</v>
      </c>
      <c r="B14" s="229">
        <v>85</v>
      </c>
      <c r="C14" s="237">
        <v>408</v>
      </c>
      <c r="D14" s="185">
        <v>-5623.33</v>
      </c>
      <c r="E14" s="185">
        <v>-4583.75</v>
      </c>
      <c r="F14" s="81">
        <f t="shared" si="0"/>
        <v>-10207.08</v>
      </c>
      <c r="G14" s="156">
        <f>'Sch. 111 Non-Vol Credit Rates'!H15</f>
        <v>-4925.37</v>
      </c>
      <c r="H14" s="185">
        <v>-4729.0200000000004</v>
      </c>
      <c r="I14" s="81">
        <f t="shared" si="1"/>
        <v>-9654.39</v>
      </c>
      <c r="J14" s="115">
        <f t="shared" si="2"/>
        <v>-4164488.64</v>
      </c>
      <c r="K14" s="115">
        <f t="shared" si="3"/>
        <v>-3938991.1199999996</v>
      </c>
      <c r="L14" s="61">
        <f t="shared" si="4"/>
        <v>225497.52000000048</v>
      </c>
      <c r="M14" s="68">
        <f t="shared" si="5"/>
        <v>5.4147709237117883E-2</v>
      </c>
    </row>
    <row r="15" spans="1:25" x14ac:dyDescent="0.25">
      <c r="A15" s="39" t="s">
        <v>24</v>
      </c>
      <c r="B15" s="229">
        <v>86</v>
      </c>
      <c r="C15" s="237">
        <v>1198</v>
      </c>
      <c r="D15" s="185">
        <v>-863.99</v>
      </c>
      <c r="E15" s="185">
        <v>-529.04</v>
      </c>
      <c r="F15" s="81">
        <f t="shared" si="0"/>
        <v>-1393.03</v>
      </c>
      <c r="G15" s="156">
        <f>'Sch. 111 Non-Vol Credit Rates'!H16</f>
        <v>-571.33000000000004</v>
      </c>
      <c r="H15" s="185">
        <v>-545.80999999999995</v>
      </c>
      <c r="I15" s="81">
        <f t="shared" si="1"/>
        <v>-1117.1399999999999</v>
      </c>
      <c r="J15" s="115">
        <f t="shared" si="2"/>
        <v>-1668849.94</v>
      </c>
      <c r="K15" s="115">
        <f t="shared" si="3"/>
        <v>-1338333.7199999997</v>
      </c>
      <c r="L15" s="61">
        <f t="shared" si="4"/>
        <v>330516.2200000002</v>
      </c>
      <c r="M15" s="68">
        <f t="shared" si="5"/>
        <v>0.19805029324565887</v>
      </c>
    </row>
    <row r="16" spans="1:25" x14ac:dyDescent="0.25">
      <c r="A16" s="39" t="s">
        <v>25</v>
      </c>
      <c r="B16" s="229">
        <v>87</v>
      </c>
      <c r="C16" s="237">
        <v>12</v>
      </c>
      <c r="D16" s="185">
        <v>-10800.13</v>
      </c>
      <c r="E16" s="185">
        <v>-16883.84</v>
      </c>
      <c r="F16" s="81">
        <f t="shared" si="0"/>
        <v>-27683.97</v>
      </c>
      <c r="G16" s="156">
        <f>'Sch. 111 Non-Vol Credit Rates'!H17</f>
        <v>-18147.18</v>
      </c>
      <c r="H16" s="185">
        <v>-17418.96</v>
      </c>
      <c r="I16" s="81">
        <f t="shared" si="1"/>
        <v>-35566.14</v>
      </c>
      <c r="J16" s="115">
        <f>C16*F16</f>
        <v>-332207.64</v>
      </c>
      <c r="K16" s="115">
        <f>C16*I16</f>
        <v>-426793.68</v>
      </c>
      <c r="L16" s="61">
        <f>K16-J16</f>
        <v>-94586.039999999979</v>
      </c>
      <c r="M16" s="68">
        <f t="shared" si="5"/>
        <v>-0.28471964100524594</v>
      </c>
    </row>
    <row r="17" spans="1:13" x14ac:dyDescent="0.25">
      <c r="A17" s="39" t="s">
        <v>26</v>
      </c>
      <c r="B17" s="229" t="s">
        <v>27</v>
      </c>
      <c r="C17" s="237">
        <v>12</v>
      </c>
      <c r="D17" s="185">
        <v>-309.02</v>
      </c>
      <c r="E17" s="185">
        <v>-10.3</v>
      </c>
      <c r="F17" s="81">
        <f t="shared" si="0"/>
        <v>-319.32</v>
      </c>
      <c r="G17" s="156">
        <f>'Sch. 111 Non-Vol Credit Rates'!H18</f>
        <v>-11.14</v>
      </c>
      <c r="H17" s="185">
        <v>-10.62</v>
      </c>
      <c r="I17" s="81">
        <f t="shared" si="1"/>
        <v>-21.759999999999998</v>
      </c>
      <c r="J17" s="115">
        <f>C17*F17</f>
        <v>-3831.84</v>
      </c>
      <c r="K17" s="115">
        <f t="shared" si="3"/>
        <v>-261.12</v>
      </c>
      <c r="L17" s="61">
        <f t="shared" si="4"/>
        <v>3570.7200000000003</v>
      </c>
      <c r="M17" s="68">
        <f t="shared" si="5"/>
        <v>0.9318551922836027</v>
      </c>
    </row>
    <row r="18" spans="1:13" x14ac:dyDescent="0.25">
      <c r="A18" s="39" t="s">
        <v>28</v>
      </c>
      <c r="B18" s="229" t="s">
        <v>29</v>
      </c>
      <c r="C18" s="237">
        <v>1128</v>
      </c>
      <c r="D18" s="185">
        <v>-3840.3</v>
      </c>
      <c r="E18" s="185">
        <v>-2460.5300000000002</v>
      </c>
      <c r="F18" s="81">
        <f t="shared" si="0"/>
        <v>-6300.83</v>
      </c>
      <c r="G18" s="156">
        <f>'Sch. 111 Non-Vol Credit Rates'!H19</f>
        <v>-2674.57</v>
      </c>
      <c r="H18" s="185">
        <v>-2538.52</v>
      </c>
      <c r="I18" s="81">
        <f t="shared" si="1"/>
        <v>-5213.09</v>
      </c>
      <c r="J18" s="115">
        <f t="shared" si="2"/>
        <v>-7107336.2400000002</v>
      </c>
      <c r="K18" s="115">
        <f t="shared" si="3"/>
        <v>-5880365.5200000005</v>
      </c>
      <c r="L18" s="61">
        <f t="shared" si="4"/>
        <v>1226970.7199999997</v>
      </c>
      <c r="M18" s="68">
        <f t="shared" si="5"/>
        <v>0.17263439896013696</v>
      </c>
    </row>
    <row r="19" spans="1:13" x14ac:dyDescent="0.25">
      <c r="A19" s="39" t="s">
        <v>30</v>
      </c>
      <c r="B19" s="229" t="s">
        <v>31</v>
      </c>
      <c r="C19" s="237">
        <v>984</v>
      </c>
      <c r="D19" s="185">
        <v>-13038.68</v>
      </c>
      <c r="E19" s="185">
        <v>-7722.73</v>
      </c>
      <c r="F19" s="81">
        <f t="shared" si="0"/>
        <v>-20761.41</v>
      </c>
      <c r="G19" s="156">
        <f>'Sch. 111 Non-Vol Credit Rates'!H20</f>
        <v>-8389.6</v>
      </c>
      <c r="H19" s="185">
        <v>-7967.5</v>
      </c>
      <c r="I19" s="81">
        <f t="shared" si="1"/>
        <v>-16357.1</v>
      </c>
      <c r="J19" s="115">
        <f t="shared" si="2"/>
        <v>-20429227.440000001</v>
      </c>
      <c r="K19" s="115">
        <f t="shared" si="3"/>
        <v>-16095386.4</v>
      </c>
      <c r="L19" s="61">
        <f t="shared" si="4"/>
        <v>4333841.040000001</v>
      </c>
      <c r="M19" s="68">
        <f t="shared" si="5"/>
        <v>0.21213925258448249</v>
      </c>
    </row>
    <row r="20" spans="1:13" x14ac:dyDescent="0.25">
      <c r="A20" s="39" t="s">
        <v>32</v>
      </c>
      <c r="B20" s="229" t="s">
        <v>33</v>
      </c>
      <c r="C20" s="237">
        <v>84</v>
      </c>
      <c r="D20" s="185">
        <v>-3753.55</v>
      </c>
      <c r="E20" s="185">
        <v>-1849.68</v>
      </c>
      <c r="F20" s="81">
        <f t="shared" si="0"/>
        <v>-5603.2300000000005</v>
      </c>
      <c r="G20" s="156">
        <f>'Sch. 111 Non-Vol Credit Rates'!H21</f>
        <v>-2004.47</v>
      </c>
      <c r="H20" s="185">
        <v>-1908.31</v>
      </c>
      <c r="I20" s="81">
        <f t="shared" si="1"/>
        <v>-3912.7799999999997</v>
      </c>
      <c r="J20" s="115">
        <f t="shared" si="2"/>
        <v>-470671.32000000007</v>
      </c>
      <c r="K20" s="115">
        <f t="shared" si="3"/>
        <v>-328673.51999999996</v>
      </c>
      <c r="L20" s="61">
        <f t="shared" si="4"/>
        <v>141997.8000000001</v>
      </c>
      <c r="M20" s="68">
        <f t="shared" si="5"/>
        <v>0.30169205975838953</v>
      </c>
    </row>
    <row r="21" spans="1:13" x14ac:dyDescent="0.25">
      <c r="A21" s="39" t="s">
        <v>34</v>
      </c>
      <c r="B21" s="229" t="s">
        <v>35</v>
      </c>
      <c r="C21" s="237">
        <v>36</v>
      </c>
      <c r="D21" s="185">
        <v>-78306.03</v>
      </c>
      <c r="E21" s="185">
        <v>-136871.71</v>
      </c>
      <c r="F21" s="81">
        <f t="shared" si="0"/>
        <v>-215177.74</v>
      </c>
      <c r="G21" s="156">
        <f>'Sch. 111 Non-Vol Credit Rates'!H22</f>
        <v>-29549.4</v>
      </c>
      <c r="H21" s="185">
        <v>-27964.73</v>
      </c>
      <c r="I21" s="81">
        <f t="shared" si="1"/>
        <v>-57514.130000000005</v>
      </c>
      <c r="J21" s="115">
        <f t="shared" si="2"/>
        <v>-7746398.6399999997</v>
      </c>
      <c r="K21" s="115">
        <f t="shared" si="3"/>
        <v>-2070508.6800000002</v>
      </c>
      <c r="L21" s="61">
        <f t="shared" si="4"/>
        <v>5675889.959999999</v>
      </c>
      <c r="M21" s="68">
        <f t="shared" si="5"/>
        <v>0.73271338382864315</v>
      </c>
    </row>
    <row r="22" spans="1:13" x14ac:dyDescent="0.25">
      <c r="A22" s="39" t="s">
        <v>36</v>
      </c>
      <c r="B22" s="229"/>
      <c r="C22" s="237">
        <v>84</v>
      </c>
      <c r="D22" s="185">
        <v>-34268.230000000003</v>
      </c>
      <c r="E22" s="185">
        <v>-19537.599999999999</v>
      </c>
      <c r="F22" s="81">
        <f t="shared" si="0"/>
        <v>-53805.83</v>
      </c>
      <c r="G22" s="156">
        <f>'Sch. 111 Non-Vol Credit Rates'!H23</f>
        <v>-21594.53</v>
      </c>
      <c r="H22" s="185">
        <v>-20156.830000000002</v>
      </c>
      <c r="I22" s="81">
        <f t="shared" si="1"/>
        <v>-41751.360000000001</v>
      </c>
      <c r="J22" s="115">
        <f>C22*F22</f>
        <v>-4519689.72</v>
      </c>
      <c r="K22" s="115">
        <f t="shared" si="3"/>
        <v>-3507114.24</v>
      </c>
      <c r="L22" s="61">
        <f t="shared" si="4"/>
        <v>1012575.4799999995</v>
      </c>
      <c r="M22" s="68">
        <f t="shared" si="5"/>
        <v>0.22403650310756279</v>
      </c>
    </row>
    <row r="23" spans="1:13" x14ac:dyDescent="0.25">
      <c r="A23" s="39" t="s">
        <v>2</v>
      </c>
      <c r="C23" s="51">
        <f>SUM(C10:C22)</f>
        <v>9456536.5724412221</v>
      </c>
      <c r="D23" s="181"/>
      <c r="E23" s="181"/>
      <c r="F23" s="178"/>
      <c r="G23" s="178"/>
      <c r="H23" s="178"/>
      <c r="I23" s="178"/>
      <c r="J23" s="121">
        <f t="shared" ref="J23:L23" si="6">SUM(J10:J22)</f>
        <v>-324967387.83819127</v>
      </c>
      <c r="K23" s="121">
        <f t="shared" si="6"/>
        <v>-265252397.9177807</v>
      </c>
      <c r="L23" s="66">
        <f t="shared" si="6"/>
        <v>59714989.920410685</v>
      </c>
      <c r="M23" s="65">
        <f>-L23/J23</f>
        <v>0.18375686962823529</v>
      </c>
    </row>
    <row r="24" spans="1:13" x14ac:dyDescent="0.25">
      <c r="J24" s="61"/>
      <c r="K24" s="61"/>
    </row>
    <row r="25" spans="1:13" x14ac:dyDescent="0.25">
      <c r="A25" s="184" t="s">
        <v>238</v>
      </c>
      <c r="C25" s="52"/>
      <c r="D25" s="243" t="s">
        <v>221</v>
      </c>
      <c r="E25" s="244"/>
      <c r="F25" s="245"/>
      <c r="G25" s="243" t="s">
        <v>65</v>
      </c>
      <c r="H25" s="244"/>
      <c r="I25" s="245"/>
    </row>
    <row r="26" spans="1:13" x14ac:dyDescent="0.25">
      <c r="A26" s="59"/>
      <c r="B26" s="59"/>
      <c r="C26" s="59" t="s">
        <v>119</v>
      </c>
      <c r="D26" s="59" t="s">
        <v>217</v>
      </c>
      <c r="E26" s="59" t="s">
        <v>217</v>
      </c>
      <c r="F26" s="59" t="s">
        <v>2</v>
      </c>
      <c r="G26" s="59" t="s">
        <v>217</v>
      </c>
      <c r="H26" s="59" t="s">
        <v>217</v>
      </c>
      <c r="I26" s="59" t="s">
        <v>2</v>
      </c>
      <c r="J26" s="234" t="s">
        <v>119</v>
      </c>
      <c r="K26" s="234" t="s">
        <v>119</v>
      </c>
      <c r="L26" s="59" t="s">
        <v>217</v>
      </c>
      <c r="M26" s="59"/>
    </row>
    <row r="27" spans="1:13" x14ac:dyDescent="0.25">
      <c r="A27" s="59"/>
      <c r="B27" s="59" t="s">
        <v>123</v>
      </c>
      <c r="C27" s="59" t="s">
        <v>218</v>
      </c>
      <c r="D27" s="59" t="s">
        <v>93</v>
      </c>
      <c r="E27" s="59" t="s">
        <v>219</v>
      </c>
      <c r="F27" s="59" t="s">
        <v>217</v>
      </c>
      <c r="G27" s="59" t="s">
        <v>93</v>
      </c>
      <c r="H27" s="59" t="s">
        <v>219</v>
      </c>
      <c r="I27" s="59" t="s">
        <v>217</v>
      </c>
      <c r="J27" s="234" t="s">
        <v>4</v>
      </c>
      <c r="K27" s="234" t="s">
        <v>4</v>
      </c>
      <c r="L27" s="59" t="s">
        <v>4</v>
      </c>
      <c r="M27" s="59" t="s">
        <v>138</v>
      </c>
    </row>
    <row r="28" spans="1:13" x14ac:dyDescent="0.25">
      <c r="A28" s="60" t="s">
        <v>7</v>
      </c>
      <c r="B28" s="60" t="s">
        <v>141</v>
      </c>
      <c r="C28" s="46" t="str">
        <f>C9</f>
        <v>12ME Dec. 2024</v>
      </c>
      <c r="D28" s="60" t="s">
        <v>225</v>
      </c>
      <c r="E28" s="60" t="s">
        <v>225</v>
      </c>
      <c r="F28" s="60" t="s">
        <v>225</v>
      </c>
      <c r="G28" s="60" t="s">
        <v>225</v>
      </c>
      <c r="H28" s="60" t="s">
        <v>225</v>
      </c>
      <c r="I28" s="60" t="s">
        <v>225</v>
      </c>
      <c r="J28" s="151" t="s">
        <v>186</v>
      </c>
      <c r="K28" s="151" t="s">
        <v>216</v>
      </c>
      <c r="L28" s="60" t="s">
        <v>146</v>
      </c>
      <c r="M28" s="60" t="s">
        <v>146</v>
      </c>
    </row>
    <row r="29" spans="1:13" x14ac:dyDescent="0.25">
      <c r="A29" s="39" t="s">
        <v>59</v>
      </c>
      <c r="B29" s="229">
        <v>23</v>
      </c>
      <c r="C29" s="237">
        <v>57068869.78391654</v>
      </c>
      <c r="D29" s="177">
        <v>-0.24697</v>
      </c>
      <c r="E29" s="177">
        <v>-0.16566</v>
      </c>
      <c r="F29" s="178">
        <f t="shared" ref="F29" si="7">SUM(D29:E29)</f>
        <v>-0.41263</v>
      </c>
      <c r="G29" s="179">
        <f>'Sch. 111 Low Inc. Credit Rates'!$F$11</f>
        <v>-0.23183000000000001</v>
      </c>
      <c r="H29" s="177">
        <v>-0.16491</v>
      </c>
      <c r="I29" s="178">
        <f t="shared" ref="I29" si="8">SUM(G29:H29)</f>
        <v>-0.39673999999999998</v>
      </c>
      <c r="J29" s="115">
        <f t="shared" ref="J29" si="9">C29*F29</f>
        <v>-23548327.738937482</v>
      </c>
      <c r="K29" s="115">
        <f t="shared" ref="K29" si="10">C29*I29</f>
        <v>-22641503.398071047</v>
      </c>
      <c r="L29" s="61">
        <f t="shared" ref="L29" si="11">K29-J29</f>
        <v>906824.34086643532</v>
      </c>
      <c r="M29" s="65">
        <f>-L29/J29</f>
        <v>3.8509075927586518E-2</v>
      </c>
    </row>
    <row r="32" spans="1:13" x14ac:dyDescent="0.25">
      <c r="A32" s="186" t="s">
        <v>226</v>
      </c>
      <c r="B32" s="186"/>
      <c r="C32" s="186"/>
      <c r="D32" s="186"/>
      <c r="E32" s="186"/>
      <c r="F32" s="187"/>
      <c r="G32" s="187"/>
      <c r="H32" s="187"/>
      <c r="I32" s="188"/>
      <c r="J32" s="240">
        <f>SUM(J23,J29)</f>
        <v>-348515715.57712877</v>
      </c>
      <c r="K32" s="240">
        <f t="shared" ref="K32:L32" si="12">SUM(K23,K29)</f>
        <v>-287893901.31585175</v>
      </c>
      <c r="L32" s="240">
        <f t="shared" si="12"/>
        <v>60621814.261277124</v>
      </c>
      <c r="M32" s="188">
        <f>-L32/J32</f>
        <v>0.17394284260866028</v>
      </c>
    </row>
    <row r="34" spans="1:9" ht="17.25" x14ac:dyDescent="0.25">
      <c r="A34" s="39" t="s">
        <v>227</v>
      </c>
    </row>
    <row r="38" spans="1:9" x14ac:dyDescent="0.25">
      <c r="F38" s="178"/>
      <c r="I38" s="178"/>
    </row>
    <row r="42" spans="1:9" ht="17.25" x14ac:dyDescent="0.25">
      <c r="B42" s="183"/>
    </row>
  </sheetData>
  <mergeCells count="8">
    <mergeCell ref="D25:F25"/>
    <mergeCell ref="G25:I25"/>
    <mergeCell ref="A1:M1"/>
    <mergeCell ref="A2:M2"/>
    <mergeCell ref="A3:M3"/>
    <mergeCell ref="A4:M4"/>
    <mergeCell ref="D6:F6"/>
    <mergeCell ref="G6:I6"/>
  </mergeCells>
  <printOptions horizontalCentered="1"/>
  <pageMargins left="0.7" right="0.7" top="0.75" bottom="0.75" header="0.3" footer="0.3"/>
  <pageSetup scale="60" orientation="landscape" blackAndWhite="1" r:id="rId1"/>
  <headerFooter>
    <oddFooter>&amp;L&amp;F 
&amp;A&amp;C&amp;P&amp;R&amp;D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L33" sqref="L33"/>
    </sheetView>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85" zoomScaleNormal="85" workbookViewId="0">
      <pane ySplit="2" topLeftCell="A3" activePane="bottomLeft" state="frozen"/>
      <selection pane="bottomLeft" activeCell="G36" sqref="G36"/>
    </sheetView>
  </sheetViews>
  <sheetFormatPr defaultColWidth="9.140625" defaultRowHeight="15" x14ac:dyDescent="0.25"/>
  <cols>
    <col min="1" max="1" width="9.140625" style="25"/>
    <col min="2" max="2" width="5.140625" style="25" customWidth="1"/>
    <col min="3" max="3" width="37" style="25" customWidth="1"/>
    <col min="4" max="4" width="6" style="25" customWidth="1"/>
    <col min="5" max="5" width="14.85546875" style="25" bestFit="1" customWidth="1"/>
    <col min="6" max="6" width="9.140625" style="25" customWidth="1"/>
    <col min="7" max="16384" width="9.140625" style="25"/>
  </cols>
  <sheetData>
    <row r="1" spans="1:5" ht="18.75" x14ac:dyDescent="0.3">
      <c r="A1" s="97" t="s">
        <v>261</v>
      </c>
    </row>
    <row r="2" spans="1:5" ht="15.75" x14ac:dyDescent="0.25">
      <c r="A2" s="98" t="s">
        <v>262</v>
      </c>
    </row>
    <row r="4" spans="1:5" ht="18.75" x14ac:dyDescent="0.3">
      <c r="C4" s="26"/>
    </row>
    <row r="5" spans="1:5" ht="18.75" x14ac:dyDescent="0.3">
      <c r="B5" s="27" t="s">
        <v>39</v>
      </c>
      <c r="C5" s="28"/>
      <c r="D5" s="29"/>
      <c r="E5" s="29"/>
    </row>
    <row r="6" spans="1:5" s="32" customFormat="1" ht="18.75" x14ac:dyDescent="0.3">
      <c r="B6" s="30"/>
      <c r="C6" s="31"/>
    </row>
    <row r="7" spans="1:5" ht="15.75" x14ac:dyDescent="0.25">
      <c r="B7" s="233">
        <f t="shared" ref="B7:B14" si="0">+ROW()</f>
        <v>7</v>
      </c>
      <c r="C7" s="33" t="s">
        <v>114</v>
      </c>
      <c r="D7" s="33"/>
      <c r="E7" s="33"/>
    </row>
    <row r="8" spans="1:5" x14ac:dyDescent="0.25">
      <c r="B8" s="233">
        <f t="shared" si="0"/>
        <v>8</v>
      </c>
      <c r="E8" s="35"/>
    </row>
    <row r="9" spans="1:5" x14ac:dyDescent="0.25">
      <c r="B9" s="233">
        <f t="shared" si="0"/>
        <v>9</v>
      </c>
      <c r="C9" s="25" t="s">
        <v>40</v>
      </c>
      <c r="E9" s="101" t="s">
        <v>263</v>
      </c>
    </row>
    <row r="10" spans="1:5" x14ac:dyDescent="0.25">
      <c r="B10" s="233">
        <f t="shared" si="0"/>
        <v>10</v>
      </c>
      <c r="C10" s="25" t="s">
        <v>41</v>
      </c>
      <c r="E10" s="102">
        <v>213635119.33000761</v>
      </c>
    </row>
    <row r="11" spans="1:5" x14ac:dyDescent="0.25">
      <c r="B11" s="233">
        <f t="shared" si="0"/>
        <v>11</v>
      </c>
      <c r="C11" s="36" t="s">
        <v>42</v>
      </c>
      <c r="D11" s="37">
        <v>0.21</v>
      </c>
      <c r="E11" s="103">
        <f>-E10*$D11</f>
        <v>-44863375.0593016</v>
      </c>
    </row>
    <row r="12" spans="1:5" x14ac:dyDescent="0.25">
      <c r="B12" s="233">
        <f t="shared" si="0"/>
        <v>12</v>
      </c>
      <c r="C12" s="36" t="s">
        <v>43</v>
      </c>
      <c r="D12" s="38"/>
      <c r="E12" s="102">
        <f>-E10-E11</f>
        <v>-168771744.270706</v>
      </c>
    </row>
    <row r="13" spans="1:5" ht="15.75" customHeight="1" x14ac:dyDescent="0.25">
      <c r="B13" s="233">
        <f t="shared" si="0"/>
        <v>13</v>
      </c>
      <c r="C13" s="25" t="s">
        <v>44</v>
      </c>
      <c r="E13" s="32">
        <v>0.75322100000000003</v>
      </c>
    </row>
    <row r="14" spans="1:5" ht="15.75" thickBot="1" x14ac:dyDescent="0.3">
      <c r="B14" s="233">
        <f t="shared" si="0"/>
        <v>14</v>
      </c>
      <c r="C14" s="25" t="s">
        <v>45</v>
      </c>
      <c r="E14" s="104">
        <f>-E12/E13</f>
        <v>224066700.57088953</v>
      </c>
    </row>
    <row r="15" spans="1:5" ht="15.75" thickTop="1" x14ac:dyDescent="0.25">
      <c r="D15" s="99" t="s">
        <v>115</v>
      </c>
      <c r="E15" s="100">
        <v>0</v>
      </c>
    </row>
    <row r="16" spans="1:5" ht="18.75" x14ac:dyDescent="0.3">
      <c r="B16" s="27" t="s">
        <v>46</v>
      </c>
      <c r="C16" s="29"/>
      <c r="D16" s="29"/>
      <c r="E16" s="29"/>
    </row>
    <row r="17" spans="2:5" s="32" customFormat="1" ht="18.75" x14ac:dyDescent="0.3">
      <c r="B17" s="30"/>
    </row>
    <row r="18" spans="2:5" ht="15.75" x14ac:dyDescent="0.25">
      <c r="B18" s="233">
        <f t="shared" ref="B18:B25" si="1">+ROW()</f>
        <v>18</v>
      </c>
      <c r="C18" s="33" t="s">
        <v>116</v>
      </c>
      <c r="D18" s="33"/>
      <c r="E18" s="33"/>
    </row>
    <row r="19" spans="2:5" x14ac:dyDescent="0.25">
      <c r="B19" s="233">
        <f t="shared" si="1"/>
        <v>19</v>
      </c>
      <c r="E19" s="35"/>
    </row>
    <row r="20" spans="2:5" x14ac:dyDescent="0.25">
      <c r="B20" s="233">
        <f t="shared" si="1"/>
        <v>20</v>
      </c>
      <c r="C20" s="25" t="s">
        <v>40</v>
      </c>
      <c r="E20" s="101" t="str">
        <f>+E9</f>
        <v>Jan-Dec 2024</v>
      </c>
    </row>
    <row r="21" spans="2:5" x14ac:dyDescent="0.25">
      <c r="B21" s="233">
        <f t="shared" si="1"/>
        <v>21</v>
      </c>
      <c r="C21" s="25" t="s">
        <v>47</v>
      </c>
      <c r="E21" s="102">
        <v>-142060757.55662498</v>
      </c>
    </row>
    <row r="22" spans="2:5" x14ac:dyDescent="0.25">
      <c r="B22" s="233">
        <f t="shared" si="1"/>
        <v>22</v>
      </c>
      <c r="C22" s="36" t="s">
        <v>42</v>
      </c>
      <c r="D22" s="37">
        <v>0.21</v>
      </c>
      <c r="E22" s="103">
        <f t="shared" ref="E22" si="2">-E21*$D22</f>
        <v>29832759.086891245</v>
      </c>
    </row>
    <row r="23" spans="2:5" x14ac:dyDescent="0.25">
      <c r="B23" s="233">
        <f t="shared" si="1"/>
        <v>23</v>
      </c>
      <c r="C23" s="36" t="s">
        <v>43</v>
      </c>
      <c r="D23" s="38"/>
      <c r="E23" s="102">
        <f t="shared" ref="E23" si="3">-E21-E22</f>
        <v>112227998.46973373</v>
      </c>
    </row>
    <row r="24" spans="2:5" x14ac:dyDescent="0.25">
      <c r="B24" s="233">
        <f t="shared" si="1"/>
        <v>24</v>
      </c>
      <c r="C24" s="25" t="s">
        <v>44</v>
      </c>
      <c r="E24" s="32">
        <v>0.75322100000000003</v>
      </c>
    </row>
    <row r="25" spans="2:5" ht="15.75" thickBot="1" x14ac:dyDescent="0.3">
      <c r="B25" s="233">
        <f t="shared" si="1"/>
        <v>25</v>
      </c>
      <c r="C25" s="25" t="s">
        <v>45</v>
      </c>
      <c r="E25" s="104">
        <f t="shared" ref="E25" si="4">-E23/E24</f>
        <v>-148997436.96701729</v>
      </c>
    </row>
    <row r="26" spans="2:5" ht="15.75" thickTop="1" x14ac:dyDescent="0.25">
      <c r="D26" s="99" t="s">
        <v>115</v>
      </c>
      <c r="E26" s="100">
        <v>0</v>
      </c>
    </row>
    <row r="27" spans="2:5" ht="18.75" x14ac:dyDescent="0.3">
      <c r="B27" s="27" t="s">
        <v>48</v>
      </c>
      <c r="C27" s="29"/>
      <c r="D27" s="29"/>
      <c r="E27" s="29"/>
    </row>
    <row r="29" spans="2:5" ht="15.75" x14ac:dyDescent="0.25">
      <c r="B29" s="233">
        <f t="shared" ref="B29:B36" si="5">+ROW()</f>
        <v>29</v>
      </c>
      <c r="C29" s="33" t="s">
        <v>117</v>
      </c>
      <c r="D29" s="33"/>
      <c r="E29" s="34"/>
    </row>
    <row r="30" spans="2:5" x14ac:dyDescent="0.25">
      <c r="B30" s="233">
        <f t="shared" si="5"/>
        <v>30</v>
      </c>
      <c r="E30" s="35"/>
    </row>
    <row r="31" spans="2:5" x14ac:dyDescent="0.25">
      <c r="B31" s="233">
        <f t="shared" si="5"/>
        <v>31</v>
      </c>
      <c r="C31" s="25" t="s">
        <v>40</v>
      </c>
      <c r="E31" s="101" t="str">
        <f>+E9</f>
        <v>Jan-Dec 2024</v>
      </c>
    </row>
    <row r="32" spans="2:5" x14ac:dyDescent="0.25">
      <c r="B32" s="233">
        <f t="shared" si="5"/>
        <v>32</v>
      </c>
      <c r="C32" s="25" t="s">
        <v>49</v>
      </c>
      <c r="E32" s="102">
        <f>+E10+E21</f>
        <v>71574361.773382634</v>
      </c>
    </row>
    <row r="33" spans="2:5" x14ac:dyDescent="0.25">
      <c r="B33" s="233">
        <f t="shared" si="5"/>
        <v>33</v>
      </c>
      <c r="C33" s="36" t="s">
        <v>42</v>
      </c>
      <c r="D33" s="37">
        <v>0.21</v>
      </c>
      <c r="E33" s="103">
        <f>-E32*$D33</f>
        <v>-15030615.972410353</v>
      </c>
    </row>
    <row r="34" spans="2:5" x14ac:dyDescent="0.25">
      <c r="B34" s="233">
        <f t="shared" si="5"/>
        <v>34</v>
      </c>
      <c r="C34" s="36" t="s">
        <v>43</v>
      </c>
      <c r="D34" s="38"/>
      <c r="E34" s="102">
        <f>-E32-E33</f>
        <v>-56543745.800972283</v>
      </c>
    </row>
    <row r="35" spans="2:5" x14ac:dyDescent="0.25">
      <c r="B35" s="233">
        <f t="shared" si="5"/>
        <v>35</v>
      </c>
      <c r="C35" s="25" t="s">
        <v>44</v>
      </c>
      <c r="E35" s="32">
        <v>0.75322100000000003</v>
      </c>
    </row>
    <row r="36" spans="2:5" ht="15.75" thickBot="1" x14ac:dyDescent="0.3">
      <c r="B36" s="233">
        <f t="shared" si="5"/>
        <v>36</v>
      </c>
      <c r="C36" s="25" t="s">
        <v>45</v>
      </c>
      <c r="E36" s="104">
        <f>-E34/E35</f>
        <v>75069263.603872284</v>
      </c>
    </row>
    <row r="37" spans="2:5" ht="15.75" thickTop="1" x14ac:dyDescent="0.25">
      <c r="E37"/>
    </row>
    <row r="38" spans="2:5" x14ac:dyDescent="0.25">
      <c r="E38" s="195"/>
    </row>
    <row r="39" spans="2:5" x14ac:dyDescent="0.25">
      <c r="E39" s="195"/>
    </row>
    <row r="40" spans="2:5" x14ac:dyDescent="0.25">
      <c r="E40" s="196"/>
    </row>
    <row r="41" spans="2:5" x14ac:dyDescent="0.25">
      <c r="E41"/>
    </row>
  </sheetData>
  <pageMargins left="0.7" right="0.7" top="0.75" bottom="0.75" header="0.3" footer="0.3"/>
  <pageSetup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zoomScale="90" zoomScaleNormal="90" workbookViewId="0">
      <selection activeCell="A45" sqref="A45"/>
    </sheetView>
  </sheetViews>
  <sheetFormatPr defaultColWidth="9.140625" defaultRowHeight="15" x14ac:dyDescent="0.25"/>
  <cols>
    <col min="1" max="1" width="17.85546875" style="39" customWidth="1"/>
    <col min="2" max="4" width="11" style="39" bestFit="1" customWidth="1"/>
    <col min="5" max="6" width="12" style="39" bestFit="1" customWidth="1"/>
    <col min="7" max="13" width="12" style="39" customWidth="1"/>
    <col min="14" max="14" width="13.85546875" style="39" customWidth="1"/>
    <col min="15" max="16384" width="9.140625" style="39"/>
  </cols>
  <sheetData>
    <row r="1" spans="1:14" x14ac:dyDescent="0.25">
      <c r="A1" s="246" t="s">
        <v>0</v>
      </c>
      <c r="B1" s="246"/>
      <c r="C1" s="246"/>
      <c r="D1" s="246"/>
      <c r="E1" s="246"/>
      <c r="F1" s="246"/>
      <c r="G1" s="246"/>
      <c r="H1" s="246"/>
      <c r="I1" s="246"/>
      <c r="J1" s="246"/>
      <c r="K1" s="246"/>
      <c r="L1" s="246"/>
      <c r="M1" s="246"/>
      <c r="N1" s="246"/>
    </row>
    <row r="2" spans="1:14" x14ac:dyDescent="0.25">
      <c r="A2" s="253" t="str">
        <f>'Sch. 111 Charge Rates'!A2</f>
        <v>2024 Gas Schedule 111 Greenhouse Gas Emissions Cap and Invest Adjustment Filing</v>
      </c>
      <c r="B2" s="253"/>
      <c r="C2" s="253"/>
      <c r="D2" s="253"/>
      <c r="E2" s="253"/>
      <c r="F2" s="253"/>
      <c r="G2" s="253"/>
      <c r="H2" s="253"/>
      <c r="I2" s="253"/>
      <c r="J2" s="253"/>
      <c r="K2" s="253"/>
      <c r="L2" s="253"/>
      <c r="M2" s="253"/>
      <c r="N2" s="253"/>
    </row>
    <row r="3" spans="1:14" x14ac:dyDescent="0.25">
      <c r="A3" s="253" t="s">
        <v>231</v>
      </c>
      <c r="B3" s="253"/>
      <c r="C3" s="253"/>
      <c r="D3" s="253"/>
      <c r="E3" s="253"/>
      <c r="F3" s="253"/>
      <c r="G3" s="253"/>
      <c r="H3" s="253"/>
      <c r="I3" s="253"/>
      <c r="J3" s="253"/>
      <c r="K3" s="253"/>
      <c r="L3" s="253"/>
      <c r="M3" s="253"/>
      <c r="N3" s="253"/>
    </row>
    <row r="4" spans="1:14" x14ac:dyDescent="0.25">
      <c r="A4" s="254" t="str">
        <f>'F2023 Forecast'!A4:N4</f>
        <v>January 2024 - December 2024</v>
      </c>
      <c r="B4" s="253"/>
      <c r="C4" s="253"/>
      <c r="D4" s="253"/>
      <c r="E4" s="253"/>
      <c r="F4" s="253"/>
      <c r="G4" s="253"/>
      <c r="H4" s="253"/>
      <c r="I4" s="253"/>
      <c r="J4" s="253"/>
      <c r="K4" s="253"/>
      <c r="L4" s="253"/>
      <c r="M4" s="253"/>
      <c r="N4" s="253"/>
    </row>
    <row r="5" spans="1:14" x14ac:dyDescent="0.25">
      <c r="A5" s="40"/>
      <c r="B5" s="40"/>
      <c r="C5" s="40"/>
      <c r="D5" s="40"/>
      <c r="E5" s="40"/>
      <c r="F5" s="41"/>
      <c r="G5" s="41"/>
      <c r="H5" s="41"/>
      <c r="I5" s="41"/>
      <c r="J5" s="41"/>
      <c r="K5" s="41"/>
      <c r="L5" s="41"/>
      <c r="M5" s="41"/>
      <c r="N5" s="41"/>
    </row>
    <row r="6" spans="1:14" ht="17.25" x14ac:dyDescent="0.25">
      <c r="A6" s="88" t="s">
        <v>78</v>
      </c>
      <c r="B6" s="40"/>
      <c r="C6" s="40"/>
      <c r="D6" s="40"/>
      <c r="E6" s="40"/>
      <c r="F6" s="41"/>
      <c r="G6" s="41"/>
      <c r="H6" s="41"/>
      <c r="I6" s="41"/>
      <c r="J6" s="41"/>
      <c r="K6" s="41"/>
      <c r="L6" s="41"/>
      <c r="M6" s="41"/>
      <c r="N6" s="41"/>
    </row>
    <row r="7" spans="1:14" x14ac:dyDescent="0.25">
      <c r="A7" s="43" t="s">
        <v>51</v>
      </c>
      <c r="B7" s="44">
        <v>45292</v>
      </c>
      <c r="C7" s="45">
        <f>EDATE(B7,1)</f>
        <v>45323</v>
      </c>
      <c r="D7" s="45">
        <f t="shared" ref="D7:F7" si="0">EDATE(C7,1)</f>
        <v>45352</v>
      </c>
      <c r="E7" s="45">
        <f t="shared" si="0"/>
        <v>45383</v>
      </c>
      <c r="F7" s="45">
        <f t="shared" si="0"/>
        <v>45413</v>
      </c>
      <c r="G7" s="45">
        <f t="shared" ref="G7" si="1">EDATE(F7,1)</f>
        <v>45444</v>
      </c>
      <c r="H7" s="45">
        <f t="shared" ref="H7" si="2">EDATE(G7,1)</f>
        <v>45474</v>
      </c>
      <c r="I7" s="45">
        <f t="shared" ref="I7" si="3">EDATE(H7,1)</f>
        <v>45505</v>
      </c>
      <c r="J7" s="45">
        <f t="shared" ref="J7" si="4">EDATE(I7,1)</f>
        <v>45536</v>
      </c>
      <c r="K7" s="45">
        <f t="shared" ref="K7" si="5">EDATE(J7,1)</f>
        <v>45566</v>
      </c>
      <c r="L7" s="45">
        <f t="shared" ref="L7" si="6">EDATE(K7,1)</f>
        <v>45597</v>
      </c>
      <c r="M7" s="45">
        <f t="shared" ref="M7" si="7">EDATE(L7,1)</f>
        <v>45627</v>
      </c>
      <c r="N7" s="46" t="s">
        <v>2</v>
      </c>
    </row>
    <row r="8" spans="1:14" x14ac:dyDescent="0.25">
      <c r="A8" s="42">
        <v>16</v>
      </c>
      <c r="B8" s="47">
        <v>0</v>
      </c>
      <c r="C8" s="47">
        <v>0</v>
      </c>
      <c r="D8" s="47">
        <v>0</v>
      </c>
      <c r="E8" s="47">
        <v>0</v>
      </c>
      <c r="F8" s="47">
        <v>0</v>
      </c>
      <c r="G8" s="47">
        <v>0</v>
      </c>
      <c r="H8" s="47">
        <v>0</v>
      </c>
      <c r="I8" s="47">
        <v>0</v>
      </c>
      <c r="J8" s="47">
        <v>0</v>
      </c>
      <c r="K8" s="47">
        <v>0</v>
      </c>
      <c r="L8" s="47">
        <v>0</v>
      </c>
      <c r="M8" s="47">
        <v>0</v>
      </c>
      <c r="N8" s="48">
        <f>SUM(B8:M8)</f>
        <v>0</v>
      </c>
    </row>
    <row r="9" spans="1:14" x14ac:dyDescent="0.25">
      <c r="A9" s="42">
        <v>23</v>
      </c>
      <c r="B9" s="47">
        <v>7954045.7211932568</v>
      </c>
      <c r="C9" s="47">
        <v>8140668.8024163004</v>
      </c>
      <c r="D9" s="47">
        <v>6610394.2539434209</v>
      </c>
      <c r="E9" s="47">
        <v>3725193.4480609484</v>
      </c>
      <c r="F9" s="47">
        <v>2081023.3178793145</v>
      </c>
      <c r="G9" s="47">
        <v>1464823.5763553239</v>
      </c>
      <c r="H9" s="47">
        <v>1189011.0203726008</v>
      </c>
      <c r="I9" s="47">
        <v>1214161.7437638023</v>
      </c>
      <c r="J9" s="47">
        <v>1730330.2227481417</v>
      </c>
      <c r="K9" s="47">
        <v>5179388.6478583422</v>
      </c>
      <c r="L9" s="47">
        <v>8593856.9777070358</v>
      </c>
      <c r="M9" s="47">
        <v>9185972.0516180564</v>
      </c>
      <c r="N9" s="48">
        <f t="shared" ref="N9:N21" si="8">SUM(B9:M9)</f>
        <v>57068869.78391654</v>
      </c>
    </row>
    <row r="10" spans="1:14" x14ac:dyDescent="0.25">
      <c r="A10" s="42">
        <v>53</v>
      </c>
      <c r="B10" s="47">
        <v>0</v>
      </c>
      <c r="C10" s="47">
        <v>0</v>
      </c>
      <c r="D10" s="47">
        <v>0</v>
      </c>
      <c r="E10" s="47">
        <v>0</v>
      </c>
      <c r="F10" s="47">
        <v>0</v>
      </c>
      <c r="G10" s="47">
        <v>0</v>
      </c>
      <c r="H10" s="47">
        <v>0</v>
      </c>
      <c r="I10" s="47">
        <v>0</v>
      </c>
      <c r="J10" s="47">
        <v>0</v>
      </c>
      <c r="K10" s="47">
        <v>0</v>
      </c>
      <c r="L10" s="47">
        <v>0</v>
      </c>
      <c r="M10" s="47">
        <v>0</v>
      </c>
      <c r="N10" s="48">
        <f t="shared" si="8"/>
        <v>0</v>
      </c>
    </row>
    <row r="11" spans="1:14" x14ac:dyDescent="0.25">
      <c r="A11" s="42">
        <v>31</v>
      </c>
      <c r="B11" s="47">
        <v>0</v>
      </c>
      <c r="C11" s="47">
        <v>0</v>
      </c>
      <c r="D11" s="47">
        <v>0</v>
      </c>
      <c r="E11" s="47">
        <v>0</v>
      </c>
      <c r="F11" s="47">
        <v>0</v>
      </c>
      <c r="G11" s="47">
        <v>0</v>
      </c>
      <c r="H11" s="47">
        <v>0</v>
      </c>
      <c r="I11" s="47">
        <v>0</v>
      </c>
      <c r="J11" s="47">
        <v>0</v>
      </c>
      <c r="K11" s="47">
        <v>0</v>
      </c>
      <c r="L11" s="47">
        <v>0</v>
      </c>
      <c r="M11" s="47">
        <v>0</v>
      </c>
      <c r="N11" s="48">
        <f t="shared" si="8"/>
        <v>0</v>
      </c>
    </row>
    <row r="12" spans="1:14" x14ac:dyDescent="0.25">
      <c r="A12" s="42">
        <v>41</v>
      </c>
      <c r="B12" s="47">
        <v>0</v>
      </c>
      <c r="C12" s="47">
        <v>0</v>
      </c>
      <c r="D12" s="47">
        <v>0</v>
      </c>
      <c r="E12" s="47">
        <v>0</v>
      </c>
      <c r="F12" s="47">
        <v>0</v>
      </c>
      <c r="G12" s="47">
        <v>0</v>
      </c>
      <c r="H12" s="47">
        <v>0</v>
      </c>
      <c r="I12" s="47">
        <v>0</v>
      </c>
      <c r="J12" s="47">
        <v>0</v>
      </c>
      <c r="K12" s="47">
        <v>0</v>
      </c>
      <c r="L12" s="47">
        <v>0</v>
      </c>
      <c r="M12" s="47">
        <v>0</v>
      </c>
      <c r="N12" s="48">
        <f t="shared" si="8"/>
        <v>0</v>
      </c>
    </row>
    <row r="13" spans="1:14" x14ac:dyDescent="0.25">
      <c r="A13" s="42">
        <v>85</v>
      </c>
      <c r="B13" s="47">
        <v>0</v>
      </c>
      <c r="C13" s="47">
        <v>0</v>
      </c>
      <c r="D13" s="47">
        <v>0</v>
      </c>
      <c r="E13" s="47">
        <v>0</v>
      </c>
      <c r="F13" s="47">
        <v>0</v>
      </c>
      <c r="G13" s="47">
        <v>0</v>
      </c>
      <c r="H13" s="47">
        <v>0</v>
      </c>
      <c r="I13" s="47">
        <v>0</v>
      </c>
      <c r="J13" s="47">
        <v>0</v>
      </c>
      <c r="K13" s="47">
        <v>0</v>
      </c>
      <c r="L13" s="47">
        <v>0</v>
      </c>
      <c r="M13" s="47">
        <v>0</v>
      </c>
      <c r="N13" s="48">
        <f t="shared" si="8"/>
        <v>0</v>
      </c>
    </row>
    <row r="14" spans="1:14" x14ac:dyDescent="0.25">
      <c r="A14" s="42">
        <v>86</v>
      </c>
      <c r="B14" s="47">
        <v>0</v>
      </c>
      <c r="C14" s="47">
        <v>0</v>
      </c>
      <c r="D14" s="47">
        <v>0</v>
      </c>
      <c r="E14" s="47">
        <v>0</v>
      </c>
      <c r="F14" s="47">
        <v>0</v>
      </c>
      <c r="G14" s="47">
        <v>0</v>
      </c>
      <c r="H14" s="47">
        <v>0</v>
      </c>
      <c r="I14" s="47">
        <v>0</v>
      </c>
      <c r="J14" s="47">
        <v>0</v>
      </c>
      <c r="K14" s="47">
        <v>0</v>
      </c>
      <c r="L14" s="47">
        <v>0</v>
      </c>
      <c r="M14" s="47">
        <v>0</v>
      </c>
      <c r="N14" s="48">
        <f t="shared" si="8"/>
        <v>0</v>
      </c>
    </row>
    <row r="15" spans="1:14" x14ac:dyDescent="0.25">
      <c r="A15" s="42">
        <v>87</v>
      </c>
      <c r="B15" s="47">
        <v>0</v>
      </c>
      <c r="C15" s="47">
        <v>0</v>
      </c>
      <c r="D15" s="47">
        <v>0</v>
      </c>
      <c r="E15" s="47">
        <v>0</v>
      </c>
      <c r="F15" s="47">
        <v>0</v>
      </c>
      <c r="G15" s="47">
        <v>0</v>
      </c>
      <c r="H15" s="47">
        <v>0</v>
      </c>
      <c r="I15" s="47">
        <v>0</v>
      </c>
      <c r="J15" s="47">
        <v>0</v>
      </c>
      <c r="K15" s="47">
        <v>0</v>
      </c>
      <c r="L15" s="47">
        <v>0</v>
      </c>
      <c r="M15" s="47">
        <v>0</v>
      </c>
      <c r="N15" s="48">
        <f t="shared" si="8"/>
        <v>0</v>
      </c>
    </row>
    <row r="16" spans="1:14" x14ac:dyDescent="0.25">
      <c r="A16" s="42" t="s">
        <v>27</v>
      </c>
      <c r="B16" s="47">
        <v>0</v>
      </c>
      <c r="C16" s="47">
        <v>0</v>
      </c>
      <c r="D16" s="47">
        <v>0</v>
      </c>
      <c r="E16" s="47">
        <v>0</v>
      </c>
      <c r="F16" s="47">
        <v>0</v>
      </c>
      <c r="G16" s="47">
        <v>0</v>
      </c>
      <c r="H16" s="47">
        <v>0</v>
      </c>
      <c r="I16" s="47">
        <v>0</v>
      </c>
      <c r="J16" s="47">
        <v>0</v>
      </c>
      <c r="K16" s="47">
        <v>0</v>
      </c>
      <c r="L16" s="47">
        <v>0</v>
      </c>
      <c r="M16" s="47">
        <v>0</v>
      </c>
      <c r="N16" s="48">
        <f t="shared" si="8"/>
        <v>0</v>
      </c>
    </row>
    <row r="17" spans="1:14" x14ac:dyDescent="0.25">
      <c r="A17" s="42" t="s">
        <v>29</v>
      </c>
      <c r="B17" s="47">
        <v>0</v>
      </c>
      <c r="C17" s="47">
        <v>0</v>
      </c>
      <c r="D17" s="47">
        <v>0</v>
      </c>
      <c r="E17" s="47">
        <v>0</v>
      </c>
      <c r="F17" s="47">
        <v>0</v>
      </c>
      <c r="G17" s="47">
        <v>0</v>
      </c>
      <c r="H17" s="47">
        <v>0</v>
      </c>
      <c r="I17" s="47">
        <v>0</v>
      </c>
      <c r="J17" s="47">
        <v>0</v>
      </c>
      <c r="K17" s="47">
        <v>0</v>
      </c>
      <c r="L17" s="47">
        <v>0</v>
      </c>
      <c r="M17" s="47">
        <v>0</v>
      </c>
      <c r="N17" s="48">
        <f t="shared" si="8"/>
        <v>0</v>
      </c>
    </row>
    <row r="18" spans="1:14" x14ac:dyDescent="0.25">
      <c r="A18" s="42" t="s">
        <v>31</v>
      </c>
      <c r="B18" s="47">
        <v>0</v>
      </c>
      <c r="C18" s="47">
        <v>0</v>
      </c>
      <c r="D18" s="47">
        <v>0</v>
      </c>
      <c r="E18" s="47">
        <v>0</v>
      </c>
      <c r="F18" s="47">
        <v>0</v>
      </c>
      <c r="G18" s="47">
        <v>0</v>
      </c>
      <c r="H18" s="47">
        <v>0</v>
      </c>
      <c r="I18" s="47">
        <v>0</v>
      </c>
      <c r="J18" s="47">
        <v>0</v>
      </c>
      <c r="K18" s="47">
        <v>0</v>
      </c>
      <c r="L18" s="47">
        <v>0</v>
      </c>
      <c r="M18" s="47">
        <v>0</v>
      </c>
      <c r="N18" s="48">
        <f t="shared" si="8"/>
        <v>0</v>
      </c>
    </row>
    <row r="19" spans="1:14" x14ac:dyDescent="0.25">
      <c r="A19" s="42" t="s">
        <v>33</v>
      </c>
      <c r="B19" s="47">
        <v>0</v>
      </c>
      <c r="C19" s="47">
        <v>0</v>
      </c>
      <c r="D19" s="47">
        <v>0</v>
      </c>
      <c r="E19" s="47">
        <v>0</v>
      </c>
      <c r="F19" s="47">
        <v>0</v>
      </c>
      <c r="G19" s="47">
        <v>0</v>
      </c>
      <c r="H19" s="47">
        <v>0</v>
      </c>
      <c r="I19" s="47">
        <v>0</v>
      </c>
      <c r="J19" s="47">
        <v>0</v>
      </c>
      <c r="K19" s="47">
        <v>0</v>
      </c>
      <c r="L19" s="47">
        <v>0</v>
      </c>
      <c r="M19" s="47">
        <v>0</v>
      </c>
      <c r="N19" s="48">
        <f t="shared" si="8"/>
        <v>0</v>
      </c>
    </row>
    <row r="20" spans="1:14" x14ac:dyDescent="0.25">
      <c r="A20" s="42" t="s">
        <v>35</v>
      </c>
      <c r="B20" s="47">
        <v>0</v>
      </c>
      <c r="C20" s="47">
        <v>0</v>
      </c>
      <c r="D20" s="47">
        <v>0</v>
      </c>
      <c r="E20" s="47">
        <v>0</v>
      </c>
      <c r="F20" s="47">
        <v>0</v>
      </c>
      <c r="G20" s="47">
        <v>0</v>
      </c>
      <c r="H20" s="47">
        <v>0</v>
      </c>
      <c r="I20" s="47">
        <v>0</v>
      </c>
      <c r="J20" s="47">
        <v>0</v>
      </c>
      <c r="K20" s="47">
        <v>0</v>
      </c>
      <c r="L20" s="47">
        <v>0</v>
      </c>
      <c r="M20" s="47">
        <v>0</v>
      </c>
      <c r="N20" s="48">
        <f t="shared" si="8"/>
        <v>0</v>
      </c>
    </row>
    <row r="21" spans="1:14" x14ac:dyDescent="0.25">
      <c r="A21" s="49" t="s">
        <v>36</v>
      </c>
      <c r="B21" s="47">
        <v>0</v>
      </c>
      <c r="C21" s="47">
        <v>0</v>
      </c>
      <c r="D21" s="47">
        <v>0</v>
      </c>
      <c r="E21" s="47">
        <v>0</v>
      </c>
      <c r="F21" s="47">
        <v>0</v>
      </c>
      <c r="G21" s="47">
        <v>0</v>
      </c>
      <c r="H21" s="47">
        <v>0</v>
      </c>
      <c r="I21" s="47">
        <v>0</v>
      </c>
      <c r="J21" s="47">
        <v>0</v>
      </c>
      <c r="K21" s="47">
        <v>0</v>
      </c>
      <c r="L21" s="47">
        <v>0</v>
      </c>
      <c r="M21" s="47">
        <v>0</v>
      </c>
      <c r="N21" s="48">
        <f t="shared" si="8"/>
        <v>0</v>
      </c>
    </row>
    <row r="22" spans="1:14" x14ac:dyDescent="0.25">
      <c r="A22" s="50" t="s">
        <v>2</v>
      </c>
      <c r="B22" s="51">
        <f>SUM(B8:B21)</f>
        <v>7954045.7211932568</v>
      </c>
      <c r="C22" s="51">
        <f t="shared" ref="C22:N22" si="9">SUM(C8:C21)</f>
        <v>8140668.8024163004</v>
      </c>
      <c r="D22" s="51">
        <f t="shared" si="9"/>
        <v>6610394.2539434209</v>
      </c>
      <c r="E22" s="51">
        <f t="shared" si="9"/>
        <v>3725193.4480609484</v>
      </c>
      <c r="F22" s="51">
        <f t="shared" si="9"/>
        <v>2081023.3178793145</v>
      </c>
      <c r="G22" s="51">
        <f t="shared" si="9"/>
        <v>1464823.5763553239</v>
      </c>
      <c r="H22" s="51">
        <f t="shared" si="9"/>
        <v>1189011.0203726008</v>
      </c>
      <c r="I22" s="51">
        <f t="shared" si="9"/>
        <v>1214161.7437638023</v>
      </c>
      <c r="J22" s="51">
        <f t="shared" si="9"/>
        <v>1730330.2227481417</v>
      </c>
      <c r="K22" s="51">
        <f t="shared" si="9"/>
        <v>5179388.6478583422</v>
      </c>
      <c r="L22" s="51">
        <f t="shared" si="9"/>
        <v>8593856.9777070358</v>
      </c>
      <c r="M22" s="51">
        <f t="shared" si="9"/>
        <v>9185972.0516180564</v>
      </c>
      <c r="N22" s="51">
        <f t="shared" si="9"/>
        <v>57068869.78391654</v>
      </c>
    </row>
    <row r="23" spans="1:14" x14ac:dyDescent="0.25">
      <c r="A23" s="50"/>
      <c r="B23" s="52"/>
      <c r="C23" s="52"/>
      <c r="D23" s="52"/>
      <c r="E23" s="52"/>
      <c r="F23" s="52"/>
      <c r="G23" s="52"/>
      <c r="H23" s="52"/>
      <c r="I23" s="52"/>
      <c r="J23" s="52"/>
      <c r="K23" s="52"/>
      <c r="L23" s="52"/>
      <c r="M23" s="52"/>
      <c r="N23" s="52"/>
    </row>
    <row r="24" spans="1:14" ht="17.25" x14ac:dyDescent="0.25">
      <c r="A24" s="53" t="s">
        <v>230</v>
      </c>
    </row>
    <row r="25" spans="1:14" x14ac:dyDescent="0.25">
      <c r="A25" s="43" t="s">
        <v>51</v>
      </c>
      <c r="B25" s="45">
        <f>B7</f>
        <v>45292</v>
      </c>
      <c r="C25" s="45">
        <f t="shared" ref="C25:M25" si="10">C7</f>
        <v>45323</v>
      </c>
      <c r="D25" s="45">
        <f t="shared" si="10"/>
        <v>45352</v>
      </c>
      <c r="E25" s="45">
        <f t="shared" si="10"/>
        <v>45383</v>
      </c>
      <c r="F25" s="45">
        <f t="shared" si="10"/>
        <v>45413</v>
      </c>
      <c r="G25" s="45">
        <f t="shared" si="10"/>
        <v>45444</v>
      </c>
      <c r="H25" s="45">
        <f t="shared" si="10"/>
        <v>45474</v>
      </c>
      <c r="I25" s="45">
        <f t="shared" si="10"/>
        <v>45505</v>
      </c>
      <c r="J25" s="45">
        <f t="shared" si="10"/>
        <v>45536</v>
      </c>
      <c r="K25" s="45">
        <f t="shared" si="10"/>
        <v>45566</v>
      </c>
      <c r="L25" s="45">
        <f t="shared" si="10"/>
        <v>45597</v>
      </c>
      <c r="M25" s="45">
        <f t="shared" si="10"/>
        <v>45627</v>
      </c>
      <c r="N25" s="46" t="s">
        <v>2</v>
      </c>
    </row>
    <row r="26" spans="1:14" x14ac:dyDescent="0.25">
      <c r="A26" s="42">
        <v>16</v>
      </c>
      <c r="B26" s="47">
        <v>0</v>
      </c>
      <c r="C26" s="47">
        <v>0</v>
      </c>
      <c r="D26" s="47">
        <v>0</v>
      </c>
      <c r="E26" s="47">
        <v>0</v>
      </c>
      <c r="F26" s="47">
        <v>0</v>
      </c>
      <c r="G26" s="47">
        <v>0</v>
      </c>
      <c r="H26" s="47">
        <v>0</v>
      </c>
      <c r="I26" s="47">
        <v>0</v>
      </c>
      <c r="J26" s="47">
        <v>0</v>
      </c>
      <c r="K26" s="47">
        <v>0</v>
      </c>
      <c r="L26" s="47">
        <v>0</v>
      </c>
      <c r="M26" s="47">
        <v>0</v>
      </c>
      <c r="N26" s="48">
        <f>SUM(B26:M26)</f>
        <v>0</v>
      </c>
    </row>
    <row r="27" spans="1:14" x14ac:dyDescent="0.25">
      <c r="A27" s="42">
        <v>23</v>
      </c>
      <c r="B27" s="47">
        <v>70594.711359037858</v>
      </c>
      <c r="C27" s="47">
        <v>71183.000620363164</v>
      </c>
      <c r="D27" s="47">
        <v>71776.192292199514</v>
      </c>
      <c r="E27" s="47">
        <v>72374.327227967849</v>
      </c>
      <c r="F27" s="47">
        <v>72977.44662153424</v>
      </c>
      <c r="G27" s="47">
        <v>73585.592010047025</v>
      </c>
      <c r="H27" s="47">
        <v>74198.8052767974</v>
      </c>
      <c r="I27" s="47">
        <v>74817.128654104046</v>
      </c>
      <c r="J27" s="47">
        <v>75440.604726221587</v>
      </c>
      <c r="K27" s="47">
        <v>76069.276432273415</v>
      </c>
      <c r="L27" s="47">
        <v>76069.276432273415</v>
      </c>
      <c r="M27" s="47">
        <v>76069.276432273415</v>
      </c>
      <c r="N27" s="48">
        <f t="shared" ref="N27:N39" si="11">SUM(B27:M27)</f>
        <v>885155.63808509312</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x14ac:dyDescent="0.25">
      <c r="A29" s="42">
        <v>31</v>
      </c>
      <c r="B29" s="47">
        <v>0</v>
      </c>
      <c r="C29" s="47">
        <v>0</v>
      </c>
      <c r="D29" s="47">
        <v>0</v>
      </c>
      <c r="E29" s="47">
        <v>0</v>
      </c>
      <c r="F29" s="47">
        <v>0</v>
      </c>
      <c r="G29" s="47">
        <v>0</v>
      </c>
      <c r="H29" s="47">
        <v>0</v>
      </c>
      <c r="I29" s="47">
        <v>0</v>
      </c>
      <c r="J29" s="47">
        <v>0</v>
      </c>
      <c r="K29" s="47">
        <v>0</v>
      </c>
      <c r="L29" s="47">
        <v>0</v>
      </c>
      <c r="M29" s="47">
        <v>0</v>
      </c>
      <c r="N29" s="48">
        <f t="shared" si="11"/>
        <v>0</v>
      </c>
    </row>
    <row r="30" spans="1:14" x14ac:dyDescent="0.25">
      <c r="A30" s="42">
        <v>41</v>
      </c>
      <c r="B30" s="47">
        <v>0</v>
      </c>
      <c r="C30" s="47">
        <v>0</v>
      </c>
      <c r="D30" s="47">
        <v>0</v>
      </c>
      <c r="E30" s="47">
        <v>0</v>
      </c>
      <c r="F30" s="47">
        <v>0</v>
      </c>
      <c r="G30" s="47">
        <v>0</v>
      </c>
      <c r="H30" s="47">
        <v>0</v>
      </c>
      <c r="I30" s="47">
        <v>0</v>
      </c>
      <c r="J30" s="47">
        <v>0</v>
      </c>
      <c r="K30" s="47">
        <v>0</v>
      </c>
      <c r="L30" s="47">
        <v>0</v>
      </c>
      <c r="M30" s="47">
        <v>0</v>
      </c>
      <c r="N30" s="48">
        <f t="shared" si="11"/>
        <v>0</v>
      </c>
    </row>
    <row r="31" spans="1:14" x14ac:dyDescent="0.25">
      <c r="A31" s="42">
        <v>85</v>
      </c>
      <c r="B31" s="47">
        <v>0</v>
      </c>
      <c r="C31" s="47">
        <v>0</v>
      </c>
      <c r="D31" s="47">
        <v>0</v>
      </c>
      <c r="E31" s="47">
        <v>0</v>
      </c>
      <c r="F31" s="47">
        <v>0</v>
      </c>
      <c r="G31" s="47">
        <v>0</v>
      </c>
      <c r="H31" s="47">
        <v>0</v>
      </c>
      <c r="I31" s="47">
        <v>0</v>
      </c>
      <c r="J31" s="47">
        <v>0</v>
      </c>
      <c r="K31" s="47">
        <v>0</v>
      </c>
      <c r="L31" s="47">
        <v>0</v>
      </c>
      <c r="M31" s="47">
        <v>0</v>
      </c>
      <c r="N31" s="48">
        <f t="shared" si="11"/>
        <v>0</v>
      </c>
    </row>
    <row r="32" spans="1:14" x14ac:dyDescent="0.25">
      <c r="A32" s="42">
        <v>86</v>
      </c>
      <c r="B32" s="47">
        <v>0</v>
      </c>
      <c r="C32" s="47">
        <v>0</v>
      </c>
      <c r="D32" s="47">
        <v>0</v>
      </c>
      <c r="E32" s="47">
        <v>0</v>
      </c>
      <c r="F32" s="47">
        <v>0</v>
      </c>
      <c r="G32" s="47">
        <v>0</v>
      </c>
      <c r="H32" s="47">
        <v>0</v>
      </c>
      <c r="I32" s="47">
        <v>0</v>
      </c>
      <c r="J32" s="47">
        <v>0</v>
      </c>
      <c r="K32" s="47">
        <v>0</v>
      </c>
      <c r="L32" s="47">
        <v>0</v>
      </c>
      <c r="M32" s="47">
        <v>0</v>
      </c>
      <c r="N32" s="48">
        <f t="shared" si="11"/>
        <v>0</v>
      </c>
    </row>
    <row r="33" spans="1:14" x14ac:dyDescent="0.25">
      <c r="A33" s="42">
        <v>87</v>
      </c>
      <c r="B33" s="47">
        <v>0</v>
      </c>
      <c r="C33" s="47">
        <v>0</v>
      </c>
      <c r="D33" s="47">
        <v>0</v>
      </c>
      <c r="E33" s="47">
        <v>0</v>
      </c>
      <c r="F33" s="47">
        <v>0</v>
      </c>
      <c r="G33" s="47">
        <v>0</v>
      </c>
      <c r="H33" s="47">
        <v>0</v>
      </c>
      <c r="I33" s="47">
        <v>0</v>
      </c>
      <c r="J33" s="47">
        <v>0</v>
      </c>
      <c r="K33" s="47">
        <v>0</v>
      </c>
      <c r="L33" s="47">
        <v>0</v>
      </c>
      <c r="M33" s="47">
        <v>0</v>
      </c>
      <c r="N33" s="48">
        <f t="shared" si="11"/>
        <v>0</v>
      </c>
    </row>
    <row r="34" spans="1:14" x14ac:dyDescent="0.25">
      <c r="A34" s="42" t="s">
        <v>27</v>
      </c>
      <c r="B34" s="47">
        <v>0</v>
      </c>
      <c r="C34" s="47">
        <v>0</v>
      </c>
      <c r="D34" s="47">
        <v>0</v>
      </c>
      <c r="E34" s="47">
        <v>0</v>
      </c>
      <c r="F34" s="47">
        <v>0</v>
      </c>
      <c r="G34" s="47">
        <v>0</v>
      </c>
      <c r="H34" s="47">
        <v>0</v>
      </c>
      <c r="I34" s="47">
        <v>0</v>
      </c>
      <c r="J34" s="47">
        <v>0</v>
      </c>
      <c r="K34" s="47">
        <v>0</v>
      </c>
      <c r="L34" s="47">
        <v>0</v>
      </c>
      <c r="M34" s="47">
        <v>0</v>
      </c>
      <c r="N34" s="48">
        <f t="shared" si="11"/>
        <v>0</v>
      </c>
    </row>
    <row r="35" spans="1:14" x14ac:dyDescent="0.25">
      <c r="A35" s="42" t="s">
        <v>29</v>
      </c>
      <c r="B35" s="47">
        <v>0</v>
      </c>
      <c r="C35" s="47">
        <v>0</v>
      </c>
      <c r="D35" s="47">
        <v>0</v>
      </c>
      <c r="E35" s="47">
        <v>0</v>
      </c>
      <c r="F35" s="47">
        <v>0</v>
      </c>
      <c r="G35" s="47">
        <v>0</v>
      </c>
      <c r="H35" s="47">
        <v>0</v>
      </c>
      <c r="I35" s="47">
        <v>0</v>
      </c>
      <c r="J35" s="47">
        <v>0</v>
      </c>
      <c r="K35" s="47">
        <v>0</v>
      </c>
      <c r="L35" s="47">
        <v>0</v>
      </c>
      <c r="M35" s="47">
        <v>0</v>
      </c>
      <c r="N35" s="48">
        <f t="shared" si="11"/>
        <v>0</v>
      </c>
    </row>
    <row r="36" spans="1:14" x14ac:dyDescent="0.25">
      <c r="A36" s="42" t="s">
        <v>31</v>
      </c>
      <c r="B36" s="47">
        <v>0</v>
      </c>
      <c r="C36" s="47">
        <v>0</v>
      </c>
      <c r="D36" s="47">
        <v>0</v>
      </c>
      <c r="E36" s="47">
        <v>0</v>
      </c>
      <c r="F36" s="47">
        <v>0</v>
      </c>
      <c r="G36" s="47">
        <v>0</v>
      </c>
      <c r="H36" s="47">
        <v>0</v>
      </c>
      <c r="I36" s="47">
        <v>0</v>
      </c>
      <c r="J36" s="47">
        <v>0</v>
      </c>
      <c r="K36" s="47">
        <v>0</v>
      </c>
      <c r="L36" s="47">
        <v>0</v>
      </c>
      <c r="M36" s="47">
        <v>0</v>
      </c>
      <c r="N36" s="48">
        <f t="shared" si="11"/>
        <v>0</v>
      </c>
    </row>
    <row r="37" spans="1:14" x14ac:dyDescent="0.25">
      <c r="A37" s="42" t="s">
        <v>33</v>
      </c>
      <c r="B37" s="47">
        <v>0</v>
      </c>
      <c r="C37" s="47">
        <v>0</v>
      </c>
      <c r="D37" s="47">
        <v>0</v>
      </c>
      <c r="E37" s="47">
        <v>0</v>
      </c>
      <c r="F37" s="47">
        <v>0</v>
      </c>
      <c r="G37" s="47">
        <v>0</v>
      </c>
      <c r="H37" s="47">
        <v>0</v>
      </c>
      <c r="I37" s="47">
        <v>0</v>
      </c>
      <c r="J37" s="47">
        <v>0</v>
      </c>
      <c r="K37" s="47">
        <v>0</v>
      </c>
      <c r="L37" s="47">
        <v>0</v>
      </c>
      <c r="M37" s="47">
        <v>0</v>
      </c>
      <c r="N37" s="48">
        <f t="shared" si="11"/>
        <v>0</v>
      </c>
    </row>
    <row r="38" spans="1:14" x14ac:dyDescent="0.25">
      <c r="A38" s="42" t="s">
        <v>35</v>
      </c>
      <c r="B38" s="47">
        <v>0</v>
      </c>
      <c r="C38" s="47">
        <v>0</v>
      </c>
      <c r="D38" s="47">
        <v>0</v>
      </c>
      <c r="E38" s="47">
        <v>0</v>
      </c>
      <c r="F38" s="47">
        <v>0</v>
      </c>
      <c r="G38" s="47">
        <v>0</v>
      </c>
      <c r="H38" s="47">
        <v>0</v>
      </c>
      <c r="I38" s="47">
        <v>0</v>
      </c>
      <c r="J38" s="47">
        <v>0</v>
      </c>
      <c r="K38" s="47">
        <v>0</v>
      </c>
      <c r="L38" s="47">
        <v>0</v>
      </c>
      <c r="M38" s="47">
        <v>0</v>
      </c>
      <c r="N38" s="48">
        <f t="shared" si="11"/>
        <v>0</v>
      </c>
    </row>
    <row r="39" spans="1:14" x14ac:dyDescent="0.25">
      <c r="A39" s="49" t="s">
        <v>36</v>
      </c>
      <c r="B39" s="47">
        <v>0</v>
      </c>
      <c r="C39" s="47">
        <v>0</v>
      </c>
      <c r="D39" s="47">
        <v>0</v>
      </c>
      <c r="E39" s="47">
        <v>0</v>
      </c>
      <c r="F39" s="47">
        <v>0</v>
      </c>
      <c r="G39" s="47">
        <v>0</v>
      </c>
      <c r="H39" s="47">
        <v>0</v>
      </c>
      <c r="I39" s="47">
        <v>0</v>
      </c>
      <c r="J39" s="47">
        <v>0</v>
      </c>
      <c r="K39" s="47">
        <v>0</v>
      </c>
      <c r="L39" s="47">
        <v>0</v>
      </c>
      <c r="M39" s="47">
        <v>0</v>
      </c>
      <c r="N39" s="48">
        <f t="shared" si="11"/>
        <v>0</v>
      </c>
    </row>
    <row r="40" spans="1:14" x14ac:dyDescent="0.25">
      <c r="A40" s="50" t="s">
        <v>2</v>
      </c>
      <c r="B40" s="51">
        <f>SUM(B26:B39)</f>
        <v>70594.711359037858</v>
      </c>
      <c r="C40" s="51">
        <f t="shared" ref="C40:N40" si="12">SUM(C26:C39)</f>
        <v>71183.000620363164</v>
      </c>
      <c r="D40" s="51">
        <f t="shared" si="12"/>
        <v>71776.192292199514</v>
      </c>
      <c r="E40" s="51">
        <f t="shared" si="12"/>
        <v>72374.327227967849</v>
      </c>
      <c r="F40" s="51">
        <f t="shared" si="12"/>
        <v>72977.44662153424</v>
      </c>
      <c r="G40" s="51">
        <f t="shared" si="12"/>
        <v>73585.592010047025</v>
      </c>
      <c r="H40" s="51">
        <f t="shared" si="12"/>
        <v>74198.8052767974</v>
      </c>
      <c r="I40" s="51">
        <f t="shared" si="12"/>
        <v>74817.128654104046</v>
      </c>
      <c r="J40" s="51">
        <f t="shared" si="12"/>
        <v>75440.604726221587</v>
      </c>
      <c r="K40" s="51">
        <f t="shared" si="12"/>
        <v>76069.276432273415</v>
      </c>
      <c r="L40" s="51">
        <f t="shared" si="12"/>
        <v>76069.276432273415</v>
      </c>
      <c r="M40" s="51">
        <f t="shared" si="12"/>
        <v>76069.276432273415</v>
      </c>
      <c r="N40" s="51">
        <f t="shared" si="12"/>
        <v>885155.63808509312</v>
      </c>
    </row>
    <row r="41" spans="1:14" x14ac:dyDescent="0.25">
      <c r="A41" s="50"/>
      <c r="B41" s="181"/>
      <c r="C41" s="181"/>
      <c r="D41" s="181"/>
      <c r="E41" s="181"/>
      <c r="F41" s="181"/>
      <c r="G41" s="181"/>
      <c r="H41" s="181"/>
      <c r="I41" s="181"/>
      <c r="J41" s="181"/>
      <c r="K41" s="181"/>
      <c r="L41" s="181"/>
      <c r="M41" s="181"/>
      <c r="N41" s="181"/>
    </row>
    <row r="42" spans="1:14" x14ac:dyDescent="0.25">
      <c r="A42" s="249" t="s">
        <v>282</v>
      </c>
      <c r="B42" s="249"/>
      <c r="C42" s="249"/>
      <c r="D42" s="249"/>
      <c r="E42" s="249"/>
      <c r="F42" s="249"/>
      <c r="G42" s="249"/>
      <c r="H42" s="249"/>
      <c r="I42" s="249"/>
      <c r="J42" s="249"/>
      <c r="K42" s="249"/>
      <c r="L42" s="249"/>
      <c r="M42" s="249"/>
      <c r="N42" s="249"/>
    </row>
    <row r="43" spans="1:14" x14ac:dyDescent="0.25">
      <c r="A43" s="249"/>
      <c r="B43" s="249"/>
      <c r="C43" s="249"/>
      <c r="D43" s="249"/>
      <c r="E43" s="249"/>
      <c r="F43" s="249"/>
      <c r="G43" s="249"/>
      <c r="H43" s="249"/>
      <c r="I43" s="249"/>
      <c r="J43" s="249"/>
      <c r="K43" s="249"/>
      <c r="L43" s="249"/>
      <c r="M43" s="249"/>
      <c r="N43" s="249"/>
    </row>
    <row r="44" spans="1:14" ht="19.5" customHeight="1" x14ac:dyDescent="0.25">
      <c r="A44" s="249"/>
      <c r="B44" s="249"/>
      <c r="C44" s="249"/>
      <c r="D44" s="249"/>
      <c r="E44" s="249"/>
      <c r="F44" s="249"/>
      <c r="G44" s="249"/>
      <c r="H44" s="249"/>
      <c r="I44" s="249"/>
      <c r="J44" s="249"/>
      <c r="K44" s="249"/>
      <c r="L44" s="249"/>
      <c r="M44" s="249"/>
      <c r="N44" s="249"/>
    </row>
  </sheetData>
  <mergeCells count="5">
    <mergeCell ref="A1:N1"/>
    <mergeCell ref="A2:N2"/>
    <mergeCell ref="A3:N3"/>
    <mergeCell ref="A4:N4"/>
    <mergeCell ref="A42:N44"/>
  </mergeCells>
  <printOptions horizontalCentered="1"/>
  <pageMargins left="0.7" right="0.7" top="0.75" bottom="0.75" header="0.3" footer="0.3"/>
  <pageSetup scale="70" orientation="landscape" blackAndWhite="1" r:id="rId1"/>
  <headerFooter>
    <oddFooter>&amp;L&amp;F 
&amp;A&amp;C&amp;P&amp;R&amp;D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zoomScale="90" zoomScaleNormal="90" workbookViewId="0">
      <pane ySplit="4" topLeftCell="A85" activePane="bottomLeft" state="frozen"/>
      <selection activeCell="H33" sqref="H33"/>
      <selection pane="bottomLeft" activeCell="P115" sqref="P115"/>
    </sheetView>
  </sheetViews>
  <sheetFormatPr defaultColWidth="9.140625" defaultRowHeight="15" x14ac:dyDescent="0.25"/>
  <cols>
    <col min="1" max="1" width="17.85546875" style="39" customWidth="1"/>
    <col min="2" max="6" width="12" style="39" bestFit="1" customWidth="1"/>
    <col min="7" max="13" width="12" style="39" customWidth="1"/>
    <col min="14" max="14" width="13.85546875" style="39" customWidth="1"/>
    <col min="15" max="16384" width="9.140625" style="39"/>
  </cols>
  <sheetData>
    <row r="1" spans="1:14" x14ac:dyDescent="0.25">
      <c r="A1" s="246" t="s">
        <v>0</v>
      </c>
      <c r="B1" s="246"/>
      <c r="C1" s="246"/>
      <c r="D1" s="246"/>
      <c r="E1" s="246"/>
      <c r="F1" s="246"/>
      <c r="G1" s="246"/>
      <c r="H1" s="246"/>
      <c r="I1" s="246"/>
      <c r="J1" s="246"/>
      <c r="K1" s="246"/>
      <c r="L1" s="246"/>
      <c r="M1" s="246"/>
      <c r="N1" s="246"/>
    </row>
    <row r="2" spans="1:14" x14ac:dyDescent="0.25">
      <c r="A2" s="253" t="str">
        <f>'Sch. 111 Charge Rates'!A2</f>
        <v>2024 Gas Schedule 111 Greenhouse Gas Emissions Cap and Invest Adjustment Filing</v>
      </c>
      <c r="B2" s="253"/>
      <c r="C2" s="253"/>
      <c r="D2" s="253"/>
      <c r="E2" s="253"/>
      <c r="F2" s="253"/>
      <c r="G2" s="253"/>
      <c r="H2" s="253"/>
      <c r="I2" s="253"/>
      <c r="J2" s="253"/>
      <c r="K2" s="253"/>
      <c r="L2" s="253"/>
      <c r="M2" s="253"/>
      <c r="N2" s="253"/>
    </row>
    <row r="3" spans="1:14" x14ac:dyDescent="0.25">
      <c r="A3" s="253" t="s">
        <v>54</v>
      </c>
      <c r="B3" s="253"/>
      <c r="C3" s="253"/>
      <c r="D3" s="253"/>
      <c r="E3" s="253"/>
      <c r="F3" s="253"/>
      <c r="G3" s="253"/>
      <c r="H3" s="253"/>
      <c r="I3" s="253"/>
      <c r="J3" s="253"/>
      <c r="K3" s="253"/>
      <c r="L3" s="253"/>
      <c r="M3" s="253"/>
      <c r="N3" s="253"/>
    </row>
    <row r="4" spans="1:14" x14ac:dyDescent="0.25">
      <c r="A4" s="254" t="str">
        <f>'F2023 Forecast'!A4:N4</f>
        <v>January 2024 - December 2024</v>
      </c>
      <c r="B4" s="253"/>
      <c r="C4" s="253"/>
      <c r="D4" s="253"/>
      <c r="E4" s="253"/>
      <c r="F4" s="253"/>
      <c r="G4" s="253"/>
      <c r="H4" s="253"/>
      <c r="I4" s="253"/>
      <c r="J4" s="253"/>
      <c r="K4" s="253"/>
      <c r="L4" s="253"/>
      <c r="M4" s="253"/>
      <c r="N4" s="253"/>
    </row>
    <row r="5" spans="1:14" x14ac:dyDescent="0.25">
      <c r="A5" s="40"/>
      <c r="B5" s="40"/>
      <c r="C5" s="40"/>
      <c r="D5" s="40"/>
      <c r="E5" s="40"/>
      <c r="F5" s="41"/>
      <c r="G5" s="41"/>
      <c r="H5" s="41"/>
      <c r="I5" s="41"/>
      <c r="J5" s="41"/>
      <c r="K5" s="41"/>
      <c r="L5" s="41"/>
      <c r="M5" s="41"/>
      <c r="N5" s="41"/>
    </row>
    <row r="6" spans="1:14" x14ac:dyDescent="0.25">
      <c r="A6" s="92" t="s">
        <v>101</v>
      </c>
      <c r="B6" s="40"/>
      <c r="C6" s="40"/>
      <c r="D6" s="40"/>
      <c r="E6" s="40"/>
      <c r="F6" s="41"/>
      <c r="G6" s="41"/>
      <c r="H6" s="41"/>
      <c r="I6" s="41"/>
      <c r="J6" s="41"/>
      <c r="K6" s="41"/>
      <c r="L6" s="41"/>
      <c r="M6" s="41"/>
      <c r="N6" s="41"/>
    </row>
    <row r="7" spans="1:14" x14ac:dyDescent="0.25">
      <c r="A7" s="43" t="s">
        <v>51</v>
      </c>
      <c r="B7" s="44">
        <v>45292</v>
      </c>
      <c r="C7" s="45">
        <f>EDATE(B7,1)</f>
        <v>45323</v>
      </c>
      <c r="D7" s="45">
        <f t="shared" ref="D7:F7" si="0">EDATE(C7,1)</f>
        <v>45352</v>
      </c>
      <c r="E7" s="45">
        <f t="shared" si="0"/>
        <v>45383</v>
      </c>
      <c r="F7" s="45">
        <f t="shared" si="0"/>
        <v>45413</v>
      </c>
      <c r="G7" s="45">
        <f t="shared" ref="G7" si="1">EDATE(F7,1)</f>
        <v>45444</v>
      </c>
      <c r="H7" s="45">
        <f t="shared" ref="H7" si="2">EDATE(G7,1)</f>
        <v>45474</v>
      </c>
      <c r="I7" s="45">
        <f t="shared" ref="I7" si="3">EDATE(H7,1)</f>
        <v>45505</v>
      </c>
      <c r="J7" s="45">
        <f t="shared" ref="J7" si="4">EDATE(I7,1)</f>
        <v>45536</v>
      </c>
      <c r="K7" s="45">
        <f t="shared" ref="K7" si="5">EDATE(J7,1)</f>
        <v>45566</v>
      </c>
      <c r="L7" s="45">
        <f t="shared" ref="L7" si="6">EDATE(K7,1)</f>
        <v>45597</v>
      </c>
      <c r="M7" s="45">
        <f t="shared" ref="M7" si="7">EDATE(L7,1)</f>
        <v>45627</v>
      </c>
      <c r="N7" s="46" t="s">
        <v>2</v>
      </c>
    </row>
    <row r="8" spans="1:14" x14ac:dyDescent="0.25">
      <c r="A8" s="42">
        <v>16</v>
      </c>
      <c r="B8" s="54">
        <f>'F2023 Forecast'!B8</f>
        <v>583</v>
      </c>
      <c r="C8" s="54">
        <f>'F2023 Forecast'!C8</f>
        <v>583</v>
      </c>
      <c r="D8" s="54">
        <f>'F2023 Forecast'!D8</f>
        <v>583</v>
      </c>
      <c r="E8" s="54">
        <f>'F2023 Forecast'!E8</f>
        <v>583</v>
      </c>
      <c r="F8" s="54">
        <f>'F2023 Forecast'!F8</f>
        <v>583</v>
      </c>
      <c r="G8" s="54">
        <f>'F2023 Forecast'!G8</f>
        <v>583</v>
      </c>
      <c r="H8" s="54">
        <f>'F2023 Forecast'!H8</f>
        <v>583</v>
      </c>
      <c r="I8" s="54">
        <f>'F2023 Forecast'!I8</f>
        <v>583</v>
      </c>
      <c r="J8" s="54">
        <f>'F2023 Forecast'!J8</f>
        <v>583</v>
      </c>
      <c r="K8" s="54">
        <f>'F2023 Forecast'!K8</f>
        <v>583</v>
      </c>
      <c r="L8" s="54">
        <f>'F2023 Forecast'!L8</f>
        <v>583</v>
      </c>
      <c r="M8" s="54">
        <f>'F2023 Forecast'!M8</f>
        <v>583</v>
      </c>
      <c r="N8" s="48">
        <f>SUM(B8:M8)</f>
        <v>6996</v>
      </c>
    </row>
    <row r="9" spans="1:14" x14ac:dyDescent="0.25">
      <c r="A9" s="42">
        <v>23</v>
      </c>
      <c r="B9" s="54">
        <f>'F2023 Forecast'!B9</f>
        <v>85099134</v>
      </c>
      <c r="C9" s="54">
        <f>'F2023 Forecast'!C9</f>
        <v>74985418</v>
      </c>
      <c r="D9" s="54">
        <f>'F2023 Forecast'!D9</f>
        <v>68653480</v>
      </c>
      <c r="E9" s="54">
        <f>'F2023 Forecast'!E9</f>
        <v>46949280</v>
      </c>
      <c r="F9" s="54">
        <f>'F2023 Forecast'!F9</f>
        <v>27300857</v>
      </c>
      <c r="G9" s="54">
        <f>'F2023 Forecast'!G9</f>
        <v>18661784</v>
      </c>
      <c r="H9" s="54">
        <f>'F2023 Forecast'!H9</f>
        <v>14141387</v>
      </c>
      <c r="I9" s="54">
        <f>'F2023 Forecast'!I9</f>
        <v>13556472</v>
      </c>
      <c r="J9" s="54">
        <f>'F2023 Forecast'!J9</f>
        <v>17856721</v>
      </c>
      <c r="K9" s="54">
        <f>'F2023 Forecast'!K9</f>
        <v>38270559</v>
      </c>
      <c r="L9" s="54">
        <f>'F2023 Forecast'!L9</f>
        <v>64417242</v>
      </c>
      <c r="M9" s="54">
        <f>'F2023 Forecast'!M9</f>
        <v>85858146</v>
      </c>
      <c r="N9" s="48">
        <f t="shared" ref="N9:N21" si="8">SUM(B9:M9)</f>
        <v>555750480</v>
      </c>
    </row>
    <row r="10" spans="1:14" x14ac:dyDescent="0.25">
      <c r="A10" s="42">
        <v>53</v>
      </c>
      <c r="B10" s="54">
        <f>'F2023 Forecast'!B10</f>
        <v>0</v>
      </c>
      <c r="C10" s="54">
        <f>'F2023 Forecast'!C10</f>
        <v>0</v>
      </c>
      <c r="D10" s="54">
        <f>'F2023 Forecast'!D10</f>
        <v>0</v>
      </c>
      <c r="E10" s="54">
        <f>'F2023 Forecast'!E10</f>
        <v>0</v>
      </c>
      <c r="F10" s="54">
        <f>'F2023 Forecast'!F10</f>
        <v>0</v>
      </c>
      <c r="G10" s="54">
        <f>'F2023 Forecast'!G10</f>
        <v>0</v>
      </c>
      <c r="H10" s="54">
        <f>'F2023 Forecast'!H10</f>
        <v>0</v>
      </c>
      <c r="I10" s="54">
        <f>'F2023 Forecast'!I10</f>
        <v>0</v>
      </c>
      <c r="J10" s="54">
        <f>'F2023 Forecast'!J10</f>
        <v>0</v>
      </c>
      <c r="K10" s="54">
        <f>'F2023 Forecast'!K10</f>
        <v>0</v>
      </c>
      <c r="L10" s="54">
        <f>'F2023 Forecast'!L10</f>
        <v>0</v>
      </c>
      <c r="M10" s="54">
        <f>'F2023 Forecast'!M10</f>
        <v>0</v>
      </c>
      <c r="N10" s="48">
        <f t="shared" si="8"/>
        <v>0</v>
      </c>
    </row>
    <row r="11" spans="1:14" x14ac:dyDescent="0.25">
      <c r="A11" s="42">
        <v>31</v>
      </c>
      <c r="B11" s="54">
        <f>'F2023 Forecast'!B11</f>
        <v>29841444</v>
      </c>
      <c r="C11" s="54">
        <f>'F2023 Forecast'!C11</f>
        <v>26959612</v>
      </c>
      <c r="D11" s="54">
        <f>'F2023 Forecast'!D11</f>
        <v>23951671</v>
      </c>
      <c r="E11" s="54">
        <f>'F2023 Forecast'!E11</f>
        <v>17138745</v>
      </c>
      <c r="F11" s="54">
        <f>'F2023 Forecast'!F11</f>
        <v>12479173</v>
      </c>
      <c r="G11" s="54">
        <f>'F2023 Forecast'!G11</f>
        <v>10007332</v>
      </c>
      <c r="H11" s="54">
        <f>'F2023 Forecast'!H11</f>
        <v>8541920</v>
      </c>
      <c r="I11" s="54">
        <f>'F2023 Forecast'!I11</f>
        <v>9385859</v>
      </c>
      <c r="J11" s="54">
        <f>'F2023 Forecast'!J11</f>
        <v>11554178</v>
      </c>
      <c r="K11" s="54">
        <f>'F2023 Forecast'!K11</f>
        <v>19568944</v>
      </c>
      <c r="L11" s="54">
        <f>'F2023 Forecast'!L11</f>
        <v>27914349</v>
      </c>
      <c r="M11" s="54">
        <f>'F2023 Forecast'!M11</f>
        <v>33705294</v>
      </c>
      <c r="N11" s="48">
        <f t="shared" si="8"/>
        <v>231048521</v>
      </c>
    </row>
    <row r="12" spans="1:14" x14ac:dyDescent="0.25">
      <c r="A12" s="42">
        <v>41</v>
      </c>
      <c r="B12" s="54">
        <f>'F2023 Forecast'!B12</f>
        <v>7027771</v>
      </c>
      <c r="C12" s="54">
        <f>'F2023 Forecast'!C12</f>
        <v>6731689</v>
      </c>
      <c r="D12" s="54">
        <f>'F2023 Forecast'!D12</f>
        <v>6193338</v>
      </c>
      <c r="E12" s="54">
        <f>'F2023 Forecast'!E12</f>
        <v>4749198</v>
      </c>
      <c r="F12" s="54">
        <f>'F2023 Forecast'!F12</f>
        <v>3794892</v>
      </c>
      <c r="G12" s="54">
        <f>'F2023 Forecast'!G12</f>
        <v>3220044</v>
      </c>
      <c r="H12" s="54">
        <f>'F2023 Forecast'!H12</f>
        <v>2633383</v>
      </c>
      <c r="I12" s="54">
        <f>'F2023 Forecast'!I12</f>
        <v>2880961</v>
      </c>
      <c r="J12" s="54">
        <f>'F2023 Forecast'!J12</f>
        <v>3593806</v>
      </c>
      <c r="K12" s="54">
        <f>'F2023 Forecast'!K12</f>
        <v>5682283</v>
      </c>
      <c r="L12" s="54">
        <f>'F2023 Forecast'!L12</f>
        <v>7339009</v>
      </c>
      <c r="M12" s="54">
        <f>'F2023 Forecast'!M12</f>
        <v>7926928</v>
      </c>
      <c r="N12" s="48">
        <f t="shared" si="8"/>
        <v>61773302</v>
      </c>
    </row>
    <row r="13" spans="1:14" x14ac:dyDescent="0.25">
      <c r="A13" s="42">
        <v>85</v>
      </c>
      <c r="B13" s="54">
        <f>'F2023 Forecast'!B13</f>
        <v>1599575</v>
      </c>
      <c r="C13" s="54">
        <f>'F2023 Forecast'!C13</f>
        <v>1594052</v>
      </c>
      <c r="D13" s="54">
        <f>'F2023 Forecast'!D13</f>
        <v>1547353</v>
      </c>
      <c r="E13" s="54">
        <f>'F2023 Forecast'!E13</f>
        <v>1330588</v>
      </c>
      <c r="F13" s="54">
        <f>'F2023 Forecast'!F13</f>
        <v>1333543</v>
      </c>
      <c r="G13" s="54">
        <f>'F2023 Forecast'!G13</f>
        <v>1228915</v>
      </c>
      <c r="H13" s="54">
        <f>'F2023 Forecast'!H13</f>
        <v>1241425</v>
      </c>
      <c r="I13" s="54">
        <f>'F2023 Forecast'!I13</f>
        <v>1346578</v>
      </c>
      <c r="J13" s="54">
        <f>'F2023 Forecast'!J13</f>
        <v>1180877</v>
      </c>
      <c r="K13" s="54">
        <f>'F2023 Forecast'!K13</f>
        <v>1444713</v>
      </c>
      <c r="L13" s="54">
        <f>'F2023 Forecast'!L13</f>
        <v>1525808</v>
      </c>
      <c r="M13" s="54">
        <f>'F2023 Forecast'!M13</f>
        <v>1795961</v>
      </c>
      <c r="N13" s="48">
        <f t="shared" si="8"/>
        <v>17169388</v>
      </c>
    </row>
    <row r="14" spans="1:14" x14ac:dyDescent="0.25">
      <c r="A14" s="42">
        <v>86</v>
      </c>
      <c r="B14" s="54">
        <f>'F2023 Forecast'!B14</f>
        <v>702664</v>
      </c>
      <c r="C14" s="54">
        <f>'F2023 Forecast'!C14</f>
        <v>693062</v>
      </c>
      <c r="D14" s="54">
        <f>'F2023 Forecast'!D14</f>
        <v>665938</v>
      </c>
      <c r="E14" s="54">
        <f>'F2023 Forecast'!E14</f>
        <v>468531</v>
      </c>
      <c r="F14" s="54">
        <f>'F2023 Forecast'!F14</f>
        <v>388605</v>
      </c>
      <c r="G14" s="54">
        <f>'F2023 Forecast'!G14</f>
        <v>222624</v>
      </c>
      <c r="H14" s="54">
        <f>'F2023 Forecast'!H14</f>
        <v>99487</v>
      </c>
      <c r="I14" s="54">
        <f>'F2023 Forecast'!I14</f>
        <v>17695</v>
      </c>
      <c r="J14" s="54">
        <f>'F2023 Forecast'!J14</f>
        <v>47188</v>
      </c>
      <c r="K14" s="54">
        <f>'F2023 Forecast'!K14</f>
        <v>274533</v>
      </c>
      <c r="L14" s="54">
        <f>'F2023 Forecast'!L14</f>
        <v>503995</v>
      </c>
      <c r="M14" s="54">
        <f>'F2023 Forecast'!M14</f>
        <v>788250</v>
      </c>
      <c r="N14" s="48">
        <f t="shared" si="8"/>
        <v>4872572</v>
      </c>
    </row>
    <row r="15" spans="1:14" x14ac:dyDescent="0.25">
      <c r="A15" s="42">
        <v>87</v>
      </c>
      <c r="B15" s="54">
        <f>'F2023 Forecast'!B15</f>
        <v>1836059</v>
      </c>
      <c r="C15" s="54">
        <f>'F2023 Forecast'!C15</f>
        <v>1824391</v>
      </c>
      <c r="D15" s="54">
        <f>'F2023 Forecast'!D15</f>
        <v>1749044</v>
      </c>
      <c r="E15" s="54">
        <f>'F2023 Forecast'!E15</f>
        <v>1402353</v>
      </c>
      <c r="F15" s="54">
        <f>'F2023 Forecast'!F15</f>
        <v>1509483</v>
      </c>
      <c r="G15" s="54">
        <f>'F2023 Forecast'!G15</f>
        <v>1358291</v>
      </c>
      <c r="H15" s="54">
        <f>'F2023 Forecast'!H15</f>
        <v>1475182</v>
      </c>
      <c r="I15" s="54">
        <f>'F2023 Forecast'!I15</f>
        <v>1610634</v>
      </c>
      <c r="J15" s="54">
        <f>'F2023 Forecast'!J15</f>
        <v>1501333</v>
      </c>
      <c r="K15" s="54">
        <f>'F2023 Forecast'!K15</f>
        <v>2068873</v>
      </c>
      <c r="L15" s="54">
        <f>'F2023 Forecast'!L15</f>
        <v>1993956</v>
      </c>
      <c r="M15" s="54">
        <f>'F2023 Forecast'!M15</f>
        <v>2365281</v>
      </c>
      <c r="N15" s="48">
        <f t="shared" si="8"/>
        <v>20694880</v>
      </c>
    </row>
    <row r="16" spans="1:14" x14ac:dyDescent="0.25">
      <c r="A16" s="42" t="s">
        <v>27</v>
      </c>
      <c r="B16" s="54">
        <f>'F2023 Forecast'!B16</f>
        <v>528</v>
      </c>
      <c r="C16" s="54">
        <f>'F2023 Forecast'!C16</f>
        <v>61</v>
      </c>
      <c r="D16" s="54">
        <f>'F2023 Forecast'!D16</f>
        <v>0</v>
      </c>
      <c r="E16" s="54">
        <f>'F2023 Forecast'!E16</f>
        <v>0</v>
      </c>
      <c r="F16" s="54">
        <f>'F2023 Forecast'!F16</f>
        <v>0</v>
      </c>
      <c r="G16" s="54">
        <f>'F2023 Forecast'!G16</f>
        <v>0</v>
      </c>
      <c r="H16" s="54">
        <f>'F2023 Forecast'!H16</f>
        <v>0</v>
      </c>
      <c r="I16" s="54">
        <f>'F2023 Forecast'!I16</f>
        <v>0</v>
      </c>
      <c r="J16" s="54">
        <f>'F2023 Forecast'!J16</f>
        <v>219</v>
      </c>
      <c r="K16" s="54">
        <f>'F2023 Forecast'!K16</f>
        <v>15</v>
      </c>
      <c r="L16" s="54">
        <f>'F2023 Forecast'!L16</f>
        <v>1</v>
      </c>
      <c r="M16" s="54">
        <f>'F2023 Forecast'!M16</f>
        <v>128</v>
      </c>
      <c r="N16" s="48">
        <f t="shared" si="8"/>
        <v>952</v>
      </c>
    </row>
    <row r="17" spans="1:14" x14ac:dyDescent="0.25">
      <c r="A17" s="42" t="s">
        <v>29</v>
      </c>
      <c r="B17" s="54">
        <f>'F2023 Forecast'!B17</f>
        <v>1774331</v>
      </c>
      <c r="C17" s="54">
        <f>'F2023 Forecast'!C17</f>
        <v>2017130</v>
      </c>
      <c r="D17" s="54">
        <f>'F2023 Forecast'!D17</f>
        <v>1793236</v>
      </c>
      <c r="E17" s="54">
        <f>'F2023 Forecast'!E17</f>
        <v>1909641</v>
      </c>
      <c r="F17" s="54">
        <f>'F2023 Forecast'!F17</f>
        <v>1839584</v>
      </c>
      <c r="G17" s="54">
        <f>'F2023 Forecast'!G17</f>
        <v>1883319</v>
      </c>
      <c r="H17" s="54">
        <f>'F2023 Forecast'!H17</f>
        <v>1678682</v>
      </c>
      <c r="I17" s="54">
        <f>'F2023 Forecast'!I17</f>
        <v>1691880</v>
      </c>
      <c r="J17" s="54">
        <f>'F2023 Forecast'!J17</f>
        <v>1738088</v>
      </c>
      <c r="K17" s="54">
        <f>'F2023 Forecast'!K17</f>
        <v>1511046</v>
      </c>
      <c r="L17" s="54">
        <f>'F2023 Forecast'!L17</f>
        <v>1833376</v>
      </c>
      <c r="M17" s="54">
        <f>'F2023 Forecast'!M17</f>
        <v>1807052</v>
      </c>
      <c r="N17" s="48">
        <f t="shared" si="8"/>
        <v>21477365</v>
      </c>
    </row>
    <row r="18" spans="1:14" x14ac:dyDescent="0.25">
      <c r="A18" s="42" t="s">
        <v>31</v>
      </c>
      <c r="B18" s="54">
        <f>'F2023 Forecast'!B18</f>
        <v>5041670</v>
      </c>
      <c r="C18" s="54">
        <f>'F2023 Forecast'!C18</f>
        <v>5872492</v>
      </c>
      <c r="D18" s="54">
        <f>'F2023 Forecast'!D18</f>
        <v>5053847</v>
      </c>
      <c r="E18" s="54">
        <f>'F2023 Forecast'!E18</f>
        <v>5656126</v>
      </c>
      <c r="F18" s="54">
        <f>'F2023 Forecast'!F18</f>
        <v>5832342</v>
      </c>
      <c r="G18" s="54">
        <f>'F2023 Forecast'!G18</f>
        <v>5420147</v>
      </c>
      <c r="H18" s="54">
        <f>'F2023 Forecast'!H18</f>
        <v>4980768</v>
      </c>
      <c r="I18" s="54">
        <f>'F2023 Forecast'!I18</f>
        <v>4885851</v>
      </c>
      <c r="J18" s="54">
        <f>'F2023 Forecast'!J18</f>
        <v>5424449</v>
      </c>
      <c r="K18" s="54">
        <f>'F2023 Forecast'!K18</f>
        <v>4526473</v>
      </c>
      <c r="L18" s="54">
        <f>'F2023 Forecast'!L18</f>
        <v>5490229</v>
      </c>
      <c r="M18" s="54">
        <f>'F2023 Forecast'!M18</f>
        <v>5382296</v>
      </c>
      <c r="N18" s="48">
        <f t="shared" si="8"/>
        <v>63566690</v>
      </c>
    </row>
    <row r="19" spans="1:14" x14ac:dyDescent="0.25">
      <c r="A19" s="42" t="s">
        <v>33</v>
      </c>
      <c r="B19" s="54">
        <f>'F2023 Forecast'!B19</f>
        <v>97698</v>
      </c>
      <c r="C19" s="54">
        <f>'F2023 Forecast'!C19</f>
        <v>118656</v>
      </c>
      <c r="D19" s="54">
        <f>'F2023 Forecast'!D19</f>
        <v>101941</v>
      </c>
      <c r="E19" s="54">
        <f>'F2023 Forecast'!E19</f>
        <v>111179</v>
      </c>
      <c r="F19" s="54">
        <f>'F2023 Forecast'!F19</f>
        <v>104880</v>
      </c>
      <c r="G19" s="54">
        <f>'F2023 Forecast'!G19</f>
        <v>104204</v>
      </c>
      <c r="H19" s="54">
        <f>'F2023 Forecast'!H19</f>
        <v>90225</v>
      </c>
      <c r="I19" s="54">
        <f>'F2023 Forecast'!I19</f>
        <v>83370</v>
      </c>
      <c r="J19" s="54">
        <f>'F2023 Forecast'!J19</f>
        <v>96837</v>
      </c>
      <c r="K19" s="54">
        <f>'F2023 Forecast'!K19</f>
        <v>83739</v>
      </c>
      <c r="L19" s="54">
        <f>'F2023 Forecast'!L19</f>
        <v>105045</v>
      </c>
      <c r="M19" s="54">
        <f>'F2023 Forecast'!M19</f>
        <v>100884</v>
      </c>
      <c r="N19" s="48">
        <f t="shared" si="8"/>
        <v>1198658</v>
      </c>
    </row>
    <row r="20" spans="1:14" x14ac:dyDescent="0.25">
      <c r="A20" s="42" t="s">
        <v>35</v>
      </c>
      <c r="B20" s="54">
        <f>'F2023 Forecast'!B20</f>
        <v>8759343</v>
      </c>
      <c r="C20" s="54">
        <f>'F2023 Forecast'!C20</f>
        <v>10236860</v>
      </c>
      <c r="D20" s="54">
        <f>'F2023 Forecast'!D20</f>
        <v>8918493</v>
      </c>
      <c r="E20" s="54">
        <f>'F2023 Forecast'!E20</f>
        <v>9439582</v>
      </c>
      <c r="F20" s="54">
        <f>'F2023 Forecast'!F20</f>
        <v>10257828</v>
      </c>
      <c r="G20" s="54">
        <f>'F2023 Forecast'!G20</f>
        <v>11399495</v>
      </c>
      <c r="H20" s="54">
        <f>'F2023 Forecast'!H20</f>
        <v>11779346</v>
      </c>
      <c r="I20" s="54">
        <f>'F2023 Forecast'!I20</f>
        <v>11336188</v>
      </c>
      <c r="J20" s="54">
        <f>'F2023 Forecast'!J20</f>
        <v>11888460</v>
      </c>
      <c r="K20" s="54">
        <f>'F2023 Forecast'!K20</f>
        <v>10208495</v>
      </c>
      <c r="L20" s="54">
        <f>'F2023 Forecast'!L20</f>
        <v>9192922</v>
      </c>
      <c r="M20" s="54">
        <f>'F2023 Forecast'!M20</f>
        <v>9834705</v>
      </c>
      <c r="N20" s="48">
        <f t="shared" si="8"/>
        <v>123251717</v>
      </c>
    </row>
    <row r="21" spans="1:14" x14ac:dyDescent="0.25">
      <c r="A21" s="49" t="s">
        <v>36</v>
      </c>
      <c r="B21" s="54">
        <f>'F2023 Forecast'!B21</f>
        <v>3416838</v>
      </c>
      <c r="C21" s="54">
        <f>'F2023 Forecast'!C21</f>
        <v>4104572</v>
      </c>
      <c r="D21" s="54">
        <f>'F2023 Forecast'!D21</f>
        <v>2869624</v>
      </c>
      <c r="E21" s="54">
        <f>'F2023 Forecast'!E21</f>
        <v>2802981</v>
      </c>
      <c r="F21" s="54">
        <f>'F2023 Forecast'!F21</f>
        <v>2518324</v>
      </c>
      <c r="G21" s="54">
        <f>'F2023 Forecast'!G21</f>
        <v>1983662</v>
      </c>
      <c r="H21" s="54">
        <f>'F2023 Forecast'!H21</f>
        <v>1748321</v>
      </c>
      <c r="I21" s="54">
        <f>'F2023 Forecast'!I21</f>
        <v>1594116</v>
      </c>
      <c r="J21" s="54">
        <f>'F2023 Forecast'!J21</f>
        <v>1962548</v>
      </c>
      <c r="K21" s="54">
        <f>'F2023 Forecast'!K21</f>
        <v>2065335</v>
      </c>
      <c r="L21" s="54">
        <f>'F2023 Forecast'!L21</f>
        <v>3420878</v>
      </c>
      <c r="M21" s="54">
        <f>'F2023 Forecast'!M21</f>
        <v>3800407</v>
      </c>
      <c r="N21" s="48">
        <f t="shared" si="8"/>
        <v>32287606</v>
      </c>
    </row>
    <row r="22" spans="1:14" x14ac:dyDescent="0.25">
      <c r="A22" s="50" t="s">
        <v>2</v>
      </c>
      <c r="B22" s="51">
        <f>SUM(B8:B21)</f>
        <v>145197638</v>
      </c>
      <c r="C22" s="51">
        <f t="shared" ref="C22:N22" si="9">SUM(C8:C21)</f>
        <v>135138578</v>
      </c>
      <c r="D22" s="51">
        <f t="shared" si="9"/>
        <v>121498548</v>
      </c>
      <c r="E22" s="51">
        <f t="shared" si="9"/>
        <v>91958787</v>
      </c>
      <c r="F22" s="51">
        <f t="shared" si="9"/>
        <v>67360094</v>
      </c>
      <c r="G22" s="51">
        <f t="shared" si="9"/>
        <v>55490400</v>
      </c>
      <c r="H22" s="51">
        <f t="shared" si="9"/>
        <v>48410709</v>
      </c>
      <c r="I22" s="51">
        <f t="shared" si="9"/>
        <v>48390187</v>
      </c>
      <c r="J22" s="51">
        <f t="shared" si="9"/>
        <v>56845287</v>
      </c>
      <c r="K22" s="51">
        <f t="shared" si="9"/>
        <v>85705591</v>
      </c>
      <c r="L22" s="51">
        <f t="shared" si="9"/>
        <v>123737393</v>
      </c>
      <c r="M22" s="51">
        <f t="shared" si="9"/>
        <v>153365915</v>
      </c>
      <c r="N22" s="51">
        <f t="shared" si="9"/>
        <v>1133099127</v>
      </c>
    </row>
    <row r="23" spans="1:14" x14ac:dyDescent="0.25">
      <c r="A23" s="50"/>
      <c r="B23" s="52"/>
      <c r="C23" s="52"/>
      <c r="D23" s="52"/>
      <c r="E23" s="52"/>
      <c r="F23" s="52"/>
      <c r="G23" s="52"/>
      <c r="H23" s="52"/>
      <c r="I23" s="52"/>
      <c r="J23" s="52"/>
      <c r="K23" s="52"/>
      <c r="L23" s="52"/>
      <c r="M23" s="52"/>
      <c r="N23" s="52"/>
    </row>
    <row r="24" spans="1:14" ht="17.25" x14ac:dyDescent="0.25">
      <c r="A24" s="53" t="s">
        <v>87</v>
      </c>
    </row>
    <row r="25" spans="1:14" x14ac:dyDescent="0.25">
      <c r="A25" s="43" t="s">
        <v>51</v>
      </c>
      <c r="B25" s="45">
        <f>B7</f>
        <v>45292</v>
      </c>
      <c r="C25" s="45">
        <f t="shared" ref="C25:M25" si="10">C7</f>
        <v>45323</v>
      </c>
      <c r="D25" s="45">
        <f t="shared" si="10"/>
        <v>45352</v>
      </c>
      <c r="E25" s="45">
        <f t="shared" si="10"/>
        <v>45383</v>
      </c>
      <c r="F25" s="45">
        <f t="shared" si="10"/>
        <v>45413</v>
      </c>
      <c r="G25" s="45">
        <f t="shared" si="10"/>
        <v>45444</v>
      </c>
      <c r="H25" s="45">
        <f t="shared" si="10"/>
        <v>45474</v>
      </c>
      <c r="I25" s="45">
        <f t="shared" si="10"/>
        <v>45505</v>
      </c>
      <c r="J25" s="45">
        <f t="shared" si="10"/>
        <v>45536</v>
      </c>
      <c r="K25" s="45">
        <f t="shared" si="10"/>
        <v>45566</v>
      </c>
      <c r="L25" s="45">
        <f t="shared" si="10"/>
        <v>45597</v>
      </c>
      <c r="M25" s="45">
        <f t="shared" si="10"/>
        <v>45627</v>
      </c>
      <c r="N25" s="46" t="s">
        <v>2</v>
      </c>
    </row>
    <row r="26" spans="1:14" x14ac:dyDescent="0.25">
      <c r="A26" s="42">
        <v>16</v>
      </c>
      <c r="B26" s="47">
        <v>0</v>
      </c>
      <c r="C26" s="47">
        <v>0</v>
      </c>
      <c r="D26" s="47">
        <v>0</v>
      </c>
      <c r="E26" s="47">
        <v>0</v>
      </c>
      <c r="F26" s="47">
        <v>0</v>
      </c>
      <c r="G26" s="47">
        <v>0</v>
      </c>
      <c r="H26" s="47">
        <v>0</v>
      </c>
      <c r="I26" s="47">
        <v>0</v>
      </c>
      <c r="J26" s="47">
        <v>0</v>
      </c>
      <c r="K26" s="47">
        <v>0</v>
      </c>
      <c r="L26" s="47">
        <v>0</v>
      </c>
      <c r="M26" s="47">
        <v>0</v>
      </c>
      <c r="N26" s="48">
        <f>SUM(B26:M26)</f>
        <v>0</v>
      </c>
    </row>
    <row r="27" spans="1:14" x14ac:dyDescent="0.25">
      <c r="A27" s="42">
        <v>23</v>
      </c>
      <c r="B27" s="47">
        <v>0</v>
      </c>
      <c r="C27" s="47">
        <v>0</v>
      </c>
      <c r="D27" s="47">
        <v>0</v>
      </c>
      <c r="E27" s="47">
        <v>0</v>
      </c>
      <c r="F27" s="47">
        <v>0</v>
      </c>
      <c r="G27" s="47">
        <v>0</v>
      </c>
      <c r="H27" s="47">
        <v>0</v>
      </c>
      <c r="I27" s="47">
        <v>0</v>
      </c>
      <c r="J27" s="47">
        <v>0</v>
      </c>
      <c r="K27" s="47">
        <v>0</v>
      </c>
      <c r="L27" s="47">
        <v>0</v>
      </c>
      <c r="M27" s="47">
        <v>0</v>
      </c>
      <c r="N27" s="48">
        <f t="shared" ref="N27:N39" si="11">SUM(B27:M27)</f>
        <v>0</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x14ac:dyDescent="0.25">
      <c r="A29" s="42">
        <v>31</v>
      </c>
      <c r="B29" s="47">
        <v>26005.802227759446</v>
      </c>
      <c r="C29" s="47">
        <v>23494.383777444895</v>
      </c>
      <c r="D29" s="47">
        <v>20873.065628136537</v>
      </c>
      <c r="E29" s="47">
        <v>14935.832625994943</v>
      </c>
      <c r="F29" s="47">
        <v>10875.174304701728</v>
      </c>
      <c r="G29" s="47">
        <v>8721.0490490851716</v>
      </c>
      <c r="H29" s="47">
        <v>7443.9923941127972</v>
      </c>
      <c r="I29" s="47">
        <v>8179.45649317895</v>
      </c>
      <c r="J29" s="47">
        <v>10069.072661910368</v>
      </c>
      <c r="K29" s="47">
        <v>17053.668296684966</v>
      </c>
      <c r="L29" s="47">
        <v>24326.404560404473</v>
      </c>
      <c r="M29" s="47">
        <v>29373.015923508498</v>
      </c>
      <c r="N29" s="48">
        <f t="shared" si="11"/>
        <v>201350.91794292277</v>
      </c>
    </row>
    <row r="30" spans="1:14" x14ac:dyDescent="0.25">
      <c r="A30" s="42">
        <v>41</v>
      </c>
      <c r="B30" s="47">
        <v>13649.757158227356</v>
      </c>
      <c r="C30" s="47">
        <v>13074.688989540264</v>
      </c>
      <c r="D30" s="47">
        <v>12029.071479253023</v>
      </c>
      <c r="E30" s="47">
        <v>9224.1763990800282</v>
      </c>
      <c r="F30" s="47">
        <v>7370.6662100543299</v>
      </c>
      <c r="G30" s="47">
        <v>6254.1620435280338</v>
      </c>
      <c r="H30" s="47">
        <v>5114.7139618812607</v>
      </c>
      <c r="I30" s="47">
        <v>5595.5747608059291</v>
      </c>
      <c r="J30" s="47">
        <v>6980.1049541569328</v>
      </c>
      <c r="K30" s="47">
        <v>11036.469892704759</v>
      </c>
      <c r="L30" s="47">
        <v>14254.262216575496</v>
      </c>
      <c r="M30" s="47">
        <v>15396.153661061644</v>
      </c>
      <c r="N30" s="48">
        <f t="shared" si="11"/>
        <v>119979.80172686907</v>
      </c>
    </row>
    <row r="31" spans="1:14" x14ac:dyDescent="0.25">
      <c r="A31" s="42">
        <v>85</v>
      </c>
      <c r="B31" s="47">
        <v>0</v>
      </c>
      <c r="C31" s="47">
        <v>0</v>
      </c>
      <c r="D31" s="47">
        <v>0</v>
      </c>
      <c r="E31" s="47">
        <v>0</v>
      </c>
      <c r="F31" s="47">
        <v>0</v>
      </c>
      <c r="G31" s="47">
        <v>0</v>
      </c>
      <c r="H31" s="47">
        <v>0</v>
      </c>
      <c r="I31" s="47">
        <v>0</v>
      </c>
      <c r="J31" s="47">
        <v>0</v>
      </c>
      <c r="K31" s="47">
        <v>0</v>
      </c>
      <c r="L31" s="47">
        <v>0</v>
      </c>
      <c r="M31" s="47">
        <v>0</v>
      </c>
      <c r="N31" s="48">
        <f t="shared" si="11"/>
        <v>0</v>
      </c>
    </row>
    <row r="32" spans="1:14" x14ac:dyDescent="0.25">
      <c r="A32" s="42">
        <v>86</v>
      </c>
      <c r="B32" s="47">
        <v>0</v>
      </c>
      <c r="C32" s="47">
        <v>0</v>
      </c>
      <c r="D32" s="47">
        <v>0</v>
      </c>
      <c r="E32" s="47">
        <v>0</v>
      </c>
      <c r="F32" s="47">
        <v>0</v>
      </c>
      <c r="G32" s="47">
        <v>0</v>
      </c>
      <c r="H32" s="47">
        <v>0</v>
      </c>
      <c r="I32" s="47">
        <v>0</v>
      </c>
      <c r="J32" s="47">
        <v>0</v>
      </c>
      <c r="K32" s="47">
        <v>0</v>
      </c>
      <c r="L32" s="47">
        <v>0</v>
      </c>
      <c r="M32" s="47">
        <v>0</v>
      </c>
      <c r="N32" s="48">
        <f t="shared" si="11"/>
        <v>0</v>
      </c>
    </row>
    <row r="33" spans="1:14" x14ac:dyDescent="0.25">
      <c r="A33" s="42">
        <v>87</v>
      </c>
      <c r="B33" s="47">
        <v>1368045.8924093631</v>
      </c>
      <c r="C33" s="47">
        <v>1359352.0762124804</v>
      </c>
      <c r="D33" s="47">
        <v>1303211.0949829184</v>
      </c>
      <c r="E33" s="47">
        <v>1044891.9459330814</v>
      </c>
      <c r="F33" s="47">
        <v>1124714.4115803265</v>
      </c>
      <c r="G33" s="47">
        <v>1012061.3897737524</v>
      </c>
      <c r="H33" s="47">
        <v>1099156.7676508375</v>
      </c>
      <c r="I33" s="47">
        <v>1200081.9297608966</v>
      </c>
      <c r="J33" s="47">
        <v>1118641.8539865147</v>
      </c>
      <c r="K33" s="47">
        <v>1541515.3922431883</v>
      </c>
      <c r="L33" s="47">
        <v>1485694.8036228705</v>
      </c>
      <c r="M33" s="47">
        <v>1762368.7236869351</v>
      </c>
      <c r="N33" s="48">
        <f t="shared" si="11"/>
        <v>15419736.281843165</v>
      </c>
    </row>
    <row r="34" spans="1:14" x14ac:dyDescent="0.25">
      <c r="A34" s="42" t="s">
        <v>27</v>
      </c>
      <c r="B34" s="47">
        <v>0</v>
      </c>
      <c r="C34" s="47">
        <v>0</v>
      </c>
      <c r="D34" s="47">
        <v>0</v>
      </c>
      <c r="E34" s="47">
        <v>0</v>
      </c>
      <c r="F34" s="47">
        <v>0</v>
      </c>
      <c r="G34" s="47">
        <v>0</v>
      </c>
      <c r="H34" s="47">
        <v>0</v>
      </c>
      <c r="I34" s="47">
        <v>0</v>
      </c>
      <c r="J34" s="47">
        <v>0</v>
      </c>
      <c r="K34" s="47">
        <v>0</v>
      </c>
      <c r="L34" s="47">
        <v>0</v>
      </c>
      <c r="M34" s="47">
        <v>0</v>
      </c>
      <c r="N34" s="48">
        <f t="shared" si="11"/>
        <v>0</v>
      </c>
    </row>
    <row r="35" spans="1:14" x14ac:dyDescent="0.25">
      <c r="A35" s="42" t="s">
        <v>29</v>
      </c>
      <c r="B35" s="47">
        <v>0</v>
      </c>
      <c r="C35" s="47">
        <v>0</v>
      </c>
      <c r="D35" s="47">
        <v>0</v>
      </c>
      <c r="E35" s="47">
        <v>0</v>
      </c>
      <c r="F35" s="47">
        <v>0</v>
      </c>
      <c r="G35" s="47">
        <v>0</v>
      </c>
      <c r="H35" s="47">
        <v>0</v>
      </c>
      <c r="I35" s="47">
        <v>0</v>
      </c>
      <c r="J35" s="47">
        <v>0</v>
      </c>
      <c r="K35" s="47">
        <v>0</v>
      </c>
      <c r="L35" s="47">
        <v>0</v>
      </c>
      <c r="M35" s="47">
        <v>0</v>
      </c>
      <c r="N35" s="48">
        <f t="shared" si="11"/>
        <v>0</v>
      </c>
    </row>
    <row r="36" spans="1:14" x14ac:dyDescent="0.25">
      <c r="A36" s="42" t="s">
        <v>31</v>
      </c>
      <c r="B36" s="47">
        <v>380464.72219409124</v>
      </c>
      <c r="C36" s="47">
        <v>443161.89623022208</v>
      </c>
      <c r="D36" s="47">
        <v>381383.64765374205</v>
      </c>
      <c r="E36" s="47">
        <v>426834.04651331337</v>
      </c>
      <c r="F36" s="47">
        <v>440132.01553670329</v>
      </c>
      <c r="G36" s="47">
        <v>409026.12083022832</v>
      </c>
      <c r="H36" s="47">
        <v>375868.81200737448</v>
      </c>
      <c r="I36" s="47">
        <v>368705.99293423072</v>
      </c>
      <c r="J36" s="47">
        <v>409350.7670753969</v>
      </c>
      <c r="K36" s="47">
        <v>341585.88175427087</v>
      </c>
      <c r="L36" s="47">
        <v>414314.79078697006</v>
      </c>
      <c r="M36" s="47">
        <v>406169.73193532473</v>
      </c>
      <c r="N36" s="48">
        <f t="shared" si="11"/>
        <v>4796998.4254518682</v>
      </c>
    </row>
    <row r="37" spans="1:14" x14ac:dyDescent="0.25">
      <c r="A37" s="42" t="s">
        <v>33</v>
      </c>
      <c r="B37" s="47">
        <v>0</v>
      </c>
      <c r="C37" s="47">
        <v>0</v>
      </c>
      <c r="D37" s="47">
        <v>0</v>
      </c>
      <c r="E37" s="47">
        <v>0</v>
      </c>
      <c r="F37" s="47">
        <v>0</v>
      </c>
      <c r="G37" s="47">
        <v>0</v>
      </c>
      <c r="H37" s="47">
        <v>0</v>
      </c>
      <c r="I37" s="47">
        <v>0</v>
      </c>
      <c r="J37" s="47">
        <v>0</v>
      </c>
      <c r="K37" s="47">
        <v>0</v>
      </c>
      <c r="L37" s="47">
        <v>0</v>
      </c>
      <c r="M37" s="47">
        <v>0</v>
      </c>
      <c r="N37" s="48">
        <f t="shared" si="11"/>
        <v>0</v>
      </c>
    </row>
    <row r="38" spans="1:14" x14ac:dyDescent="0.25">
      <c r="A38" s="42" t="s">
        <v>35</v>
      </c>
      <c r="B38" s="47">
        <v>6170684.6868836945</v>
      </c>
      <c r="C38" s="47">
        <v>7211549.45568089</v>
      </c>
      <c r="D38" s="47">
        <v>6282800.911572868</v>
      </c>
      <c r="E38" s="47">
        <v>6649891.9037629832</v>
      </c>
      <c r="F38" s="47">
        <v>7226320.7594778277</v>
      </c>
      <c r="G38" s="47">
        <v>8030589.6497839205</v>
      </c>
      <c r="H38" s="47">
        <v>8298182.8641377212</v>
      </c>
      <c r="I38" s="47">
        <v>7985991.8374282978</v>
      </c>
      <c r="J38" s="47">
        <v>8375050.2831809781</v>
      </c>
      <c r="K38" s="47">
        <v>7191567.195465317</v>
      </c>
      <c r="L38" s="47">
        <v>6476127.6060449081</v>
      </c>
      <c r="M38" s="47">
        <v>6928243.7670860142</v>
      </c>
      <c r="N38" s="48">
        <f t="shared" si="11"/>
        <v>86827000.920505419</v>
      </c>
    </row>
    <row r="39" spans="1:14" x14ac:dyDescent="0.25">
      <c r="A39" s="49" t="s">
        <v>36</v>
      </c>
      <c r="B39" s="47">
        <v>2050277.8114318699</v>
      </c>
      <c r="C39" s="47">
        <v>2462953.4373665163</v>
      </c>
      <c r="D39" s="47">
        <v>1721921.3829723177</v>
      </c>
      <c r="E39" s="47">
        <v>1681932.1694985579</v>
      </c>
      <c r="F39" s="47">
        <v>1511123.3892845819</v>
      </c>
      <c r="G39" s="47">
        <v>1190298.8037421049</v>
      </c>
      <c r="H39" s="47">
        <v>1049082.1495079305</v>
      </c>
      <c r="I39" s="47">
        <v>956551.25108317309</v>
      </c>
      <c r="J39" s="47">
        <v>1177629.3222769101</v>
      </c>
      <c r="K39" s="47">
        <v>1239306.787056817</v>
      </c>
      <c r="L39" s="47">
        <v>2052702.0183618399</v>
      </c>
      <c r="M39" s="47">
        <v>2280438.8579471307</v>
      </c>
      <c r="N39" s="48">
        <f t="shared" si="11"/>
        <v>19374217.38052975</v>
      </c>
    </row>
    <row r="40" spans="1:14" x14ac:dyDescent="0.25">
      <c r="A40" s="50" t="s">
        <v>2</v>
      </c>
      <c r="B40" s="51">
        <f>SUM(B26:B39)</f>
        <v>10009128.672305007</v>
      </c>
      <c r="C40" s="51">
        <f t="shared" ref="C40:N40" si="12">SUM(C26:C39)</f>
        <v>11513585.938257094</v>
      </c>
      <c r="D40" s="51">
        <f t="shared" si="12"/>
        <v>9722219.1742892358</v>
      </c>
      <c r="E40" s="51">
        <f t="shared" si="12"/>
        <v>9827710.0747330114</v>
      </c>
      <c r="F40" s="51">
        <f t="shared" si="12"/>
        <v>10320536.416394196</v>
      </c>
      <c r="G40" s="51">
        <f t="shared" si="12"/>
        <v>10656951.175222619</v>
      </c>
      <c r="H40" s="51">
        <f t="shared" si="12"/>
        <v>10834849.299659858</v>
      </c>
      <c r="I40" s="51">
        <f t="shared" si="12"/>
        <v>10525106.042460583</v>
      </c>
      <c r="J40" s="51">
        <f t="shared" si="12"/>
        <v>11097721.404135868</v>
      </c>
      <c r="K40" s="51">
        <f t="shared" si="12"/>
        <v>10342065.394708982</v>
      </c>
      <c r="L40" s="51">
        <f t="shared" si="12"/>
        <v>10467419.885593569</v>
      </c>
      <c r="M40" s="51">
        <f t="shared" si="12"/>
        <v>11421990.250239976</v>
      </c>
      <c r="N40" s="51">
        <f t="shared" si="12"/>
        <v>126739283.72799999</v>
      </c>
    </row>
    <row r="42" spans="1:14" ht="17.25" x14ac:dyDescent="0.25">
      <c r="A42" s="53" t="s">
        <v>79</v>
      </c>
    </row>
    <row r="43" spans="1:14" x14ac:dyDescent="0.25">
      <c r="A43" s="43" t="s">
        <v>51</v>
      </c>
      <c r="B43" s="45">
        <f>B7</f>
        <v>45292</v>
      </c>
      <c r="C43" s="45">
        <f t="shared" ref="C43:M43" si="13">C7</f>
        <v>45323</v>
      </c>
      <c r="D43" s="45">
        <f t="shared" si="13"/>
        <v>45352</v>
      </c>
      <c r="E43" s="45">
        <f t="shared" si="13"/>
        <v>45383</v>
      </c>
      <c r="F43" s="45">
        <f t="shared" si="13"/>
        <v>45413</v>
      </c>
      <c r="G43" s="45">
        <f t="shared" si="13"/>
        <v>45444</v>
      </c>
      <c r="H43" s="45">
        <f t="shared" si="13"/>
        <v>45474</v>
      </c>
      <c r="I43" s="45">
        <f t="shared" si="13"/>
        <v>45505</v>
      </c>
      <c r="J43" s="45">
        <f t="shared" si="13"/>
        <v>45536</v>
      </c>
      <c r="K43" s="45">
        <f t="shared" si="13"/>
        <v>45566</v>
      </c>
      <c r="L43" s="45">
        <f t="shared" si="13"/>
        <v>45597</v>
      </c>
      <c r="M43" s="45">
        <f t="shared" si="13"/>
        <v>45627</v>
      </c>
      <c r="N43" s="46" t="s">
        <v>2</v>
      </c>
    </row>
    <row r="44" spans="1:14" x14ac:dyDescent="0.25">
      <c r="A44" s="42">
        <v>16</v>
      </c>
      <c r="B44" s="47">
        <v>0</v>
      </c>
      <c r="C44" s="47">
        <v>0</v>
      </c>
      <c r="D44" s="47">
        <v>0</v>
      </c>
      <c r="E44" s="47">
        <v>0</v>
      </c>
      <c r="F44" s="47">
        <v>0</v>
      </c>
      <c r="G44" s="47">
        <v>0</v>
      </c>
      <c r="H44" s="47">
        <v>0</v>
      </c>
      <c r="I44" s="47">
        <v>0</v>
      </c>
      <c r="J44" s="47">
        <v>0</v>
      </c>
      <c r="K44" s="47">
        <v>0</v>
      </c>
      <c r="L44" s="47">
        <v>0</v>
      </c>
      <c r="M44" s="47">
        <v>0</v>
      </c>
      <c r="N44" s="48">
        <f>SUM(B44:M44)</f>
        <v>0</v>
      </c>
    </row>
    <row r="45" spans="1:14" x14ac:dyDescent="0.25">
      <c r="A45" s="42">
        <v>23</v>
      </c>
      <c r="B45" s="47">
        <v>0</v>
      </c>
      <c r="C45" s="47">
        <v>0</v>
      </c>
      <c r="D45" s="47">
        <v>0</v>
      </c>
      <c r="E45" s="47">
        <v>0</v>
      </c>
      <c r="F45" s="47">
        <v>0</v>
      </c>
      <c r="G45" s="47">
        <v>0</v>
      </c>
      <c r="H45" s="47">
        <v>0</v>
      </c>
      <c r="I45" s="47">
        <v>0</v>
      </c>
      <c r="J45" s="47">
        <v>0</v>
      </c>
      <c r="K45" s="47">
        <v>0</v>
      </c>
      <c r="L45" s="47">
        <v>0</v>
      </c>
      <c r="M45" s="47">
        <v>0</v>
      </c>
      <c r="N45" s="48">
        <f t="shared" ref="N45:N57" si="14">SUM(B45:M45)</f>
        <v>0</v>
      </c>
    </row>
    <row r="46" spans="1:14" x14ac:dyDescent="0.25">
      <c r="A46" s="42">
        <v>53</v>
      </c>
      <c r="B46" s="47">
        <v>0</v>
      </c>
      <c r="C46" s="47">
        <v>0</v>
      </c>
      <c r="D46" s="47">
        <v>0</v>
      </c>
      <c r="E46" s="47">
        <v>0</v>
      </c>
      <c r="F46" s="47">
        <v>0</v>
      </c>
      <c r="G46" s="47">
        <v>0</v>
      </c>
      <c r="H46" s="47">
        <v>0</v>
      </c>
      <c r="I46" s="47">
        <v>0</v>
      </c>
      <c r="J46" s="47">
        <v>0</v>
      </c>
      <c r="K46" s="47">
        <v>0</v>
      </c>
      <c r="L46" s="47">
        <v>0</v>
      </c>
      <c r="M46" s="47">
        <v>0</v>
      </c>
      <c r="N46" s="48">
        <f t="shared" si="14"/>
        <v>0</v>
      </c>
    </row>
    <row r="47" spans="1:14" x14ac:dyDescent="0.25">
      <c r="A47" s="42">
        <v>31</v>
      </c>
      <c r="B47" s="47">
        <v>567966.68486656714</v>
      </c>
      <c r="C47" s="47">
        <v>513117.30936776788</v>
      </c>
      <c r="D47" s="47">
        <v>455867.72459418164</v>
      </c>
      <c r="E47" s="47">
        <v>326198.56399789004</v>
      </c>
      <c r="F47" s="47">
        <v>237513.79184889217</v>
      </c>
      <c r="G47" s="47">
        <v>190467.69923061071</v>
      </c>
      <c r="H47" s="47">
        <v>162576.78364342646</v>
      </c>
      <c r="I47" s="47">
        <v>178639.31855492757</v>
      </c>
      <c r="J47" s="47">
        <v>219908.53307963992</v>
      </c>
      <c r="K47" s="47">
        <v>372452.09213131573</v>
      </c>
      <c r="L47" s="47">
        <v>531288.64212262561</v>
      </c>
      <c r="M47" s="47">
        <v>641506.62734795921</v>
      </c>
      <c r="N47" s="48">
        <f t="shared" si="14"/>
        <v>4397503.7707858048</v>
      </c>
    </row>
    <row r="48" spans="1:14" x14ac:dyDescent="0.25">
      <c r="A48" s="42">
        <v>41</v>
      </c>
      <c r="B48" s="47">
        <v>0</v>
      </c>
      <c r="C48" s="47">
        <v>0</v>
      </c>
      <c r="D48" s="47">
        <v>0</v>
      </c>
      <c r="E48" s="47">
        <v>0</v>
      </c>
      <c r="F48" s="47">
        <v>0</v>
      </c>
      <c r="G48" s="47">
        <v>0</v>
      </c>
      <c r="H48" s="47">
        <v>0</v>
      </c>
      <c r="I48" s="47">
        <v>0</v>
      </c>
      <c r="J48" s="47">
        <v>0</v>
      </c>
      <c r="K48" s="47">
        <v>0</v>
      </c>
      <c r="L48" s="47">
        <v>0</v>
      </c>
      <c r="M48" s="47">
        <v>0</v>
      </c>
      <c r="N48" s="48">
        <f t="shared" si="14"/>
        <v>0</v>
      </c>
    </row>
    <row r="49" spans="1:14" x14ac:dyDescent="0.25">
      <c r="A49" s="42">
        <v>85</v>
      </c>
      <c r="B49" s="47">
        <v>266771.20648691885</v>
      </c>
      <c r="C49" s="47">
        <v>265850.1009598712</v>
      </c>
      <c r="D49" s="47">
        <v>258061.81433890457</v>
      </c>
      <c r="E49" s="47">
        <v>221910.54880016026</v>
      </c>
      <c r="F49" s="47">
        <v>222403.37277851006</v>
      </c>
      <c r="G49" s="47">
        <v>204953.9016425437</v>
      </c>
      <c r="H49" s="47">
        <v>207040.27320570979</v>
      </c>
      <c r="I49" s="47">
        <v>224577.3019012814</v>
      </c>
      <c r="J49" s="47">
        <v>196942.30155050763</v>
      </c>
      <c r="K49" s="47">
        <v>240943.89449531029</v>
      </c>
      <c r="L49" s="47">
        <v>254468.61886900751</v>
      </c>
      <c r="M49" s="47">
        <v>299523.73772624182</v>
      </c>
      <c r="N49" s="48">
        <f t="shared" si="14"/>
        <v>2863447.072754967</v>
      </c>
    </row>
    <row r="50" spans="1:14" x14ac:dyDescent="0.25">
      <c r="A50" s="42">
        <v>86</v>
      </c>
      <c r="B50" s="47">
        <v>0</v>
      </c>
      <c r="C50" s="47">
        <v>0</v>
      </c>
      <c r="D50" s="47">
        <v>0</v>
      </c>
      <c r="E50" s="47">
        <v>0</v>
      </c>
      <c r="F50" s="47">
        <v>0</v>
      </c>
      <c r="G50" s="47">
        <v>0</v>
      </c>
      <c r="H50" s="47">
        <v>0</v>
      </c>
      <c r="I50" s="47">
        <v>0</v>
      </c>
      <c r="J50" s="47">
        <v>0</v>
      </c>
      <c r="K50" s="47">
        <v>0</v>
      </c>
      <c r="L50" s="47">
        <v>0</v>
      </c>
      <c r="M50" s="47">
        <v>0</v>
      </c>
      <c r="N50" s="48">
        <f t="shared" si="14"/>
        <v>0</v>
      </c>
    </row>
    <row r="51" spans="1:14" x14ac:dyDescent="0.25">
      <c r="A51" s="42">
        <v>87</v>
      </c>
      <c r="B51" s="47">
        <v>330472.40679766092</v>
      </c>
      <c r="C51" s="47">
        <v>328372.28254102479</v>
      </c>
      <c r="D51" s="47">
        <v>314810.56996262545</v>
      </c>
      <c r="E51" s="47">
        <v>252409.62904237839</v>
      </c>
      <c r="F51" s="47">
        <v>271691.96634212387</v>
      </c>
      <c r="G51" s="47">
        <v>244478.90612534873</v>
      </c>
      <c r="H51" s="47">
        <v>265518.12659864803</v>
      </c>
      <c r="I51" s="47">
        <v>289898.14295191155</v>
      </c>
      <c r="J51" s="47">
        <v>270225.04718789144</v>
      </c>
      <c r="K51" s="47">
        <v>372376.6173465543</v>
      </c>
      <c r="L51" s="47">
        <v>358892.30050267279</v>
      </c>
      <c r="M51" s="47">
        <v>425727.11706038762</v>
      </c>
      <c r="N51" s="48">
        <f t="shared" si="14"/>
        <v>3724873.1124592274</v>
      </c>
    </row>
    <row r="52" spans="1:14" x14ac:dyDescent="0.25">
      <c r="A52" s="42" t="s">
        <v>27</v>
      </c>
      <c r="B52" s="47">
        <v>0</v>
      </c>
      <c r="C52" s="47">
        <v>0</v>
      </c>
      <c r="D52" s="47">
        <v>0</v>
      </c>
      <c r="E52" s="47">
        <v>0</v>
      </c>
      <c r="F52" s="47">
        <v>0</v>
      </c>
      <c r="G52" s="47">
        <v>0</v>
      </c>
      <c r="H52" s="47">
        <v>0</v>
      </c>
      <c r="I52" s="47">
        <v>0</v>
      </c>
      <c r="J52" s="47">
        <v>0</v>
      </c>
      <c r="K52" s="47">
        <v>0</v>
      </c>
      <c r="L52" s="47">
        <v>0</v>
      </c>
      <c r="M52" s="47">
        <v>0</v>
      </c>
      <c r="N52" s="48">
        <f t="shared" si="14"/>
        <v>0</v>
      </c>
    </row>
    <row r="53" spans="1:14" x14ac:dyDescent="0.25">
      <c r="A53" s="42" t="s">
        <v>29</v>
      </c>
      <c r="B53" s="47">
        <v>0</v>
      </c>
      <c r="C53" s="47">
        <v>0</v>
      </c>
      <c r="D53" s="47">
        <v>0</v>
      </c>
      <c r="E53" s="47">
        <v>0</v>
      </c>
      <c r="F53" s="47">
        <v>0</v>
      </c>
      <c r="G53" s="47">
        <v>0</v>
      </c>
      <c r="H53" s="47">
        <v>0</v>
      </c>
      <c r="I53" s="47">
        <v>0</v>
      </c>
      <c r="J53" s="47">
        <v>0</v>
      </c>
      <c r="K53" s="47">
        <v>0</v>
      </c>
      <c r="L53" s="47">
        <v>0</v>
      </c>
      <c r="M53" s="47">
        <v>0</v>
      </c>
      <c r="N53" s="48">
        <f t="shared" si="14"/>
        <v>0</v>
      </c>
    </row>
    <row r="54" spans="1:14" x14ac:dyDescent="0.25">
      <c r="A54" s="42" t="s">
        <v>31</v>
      </c>
      <c r="B54" s="47">
        <v>0</v>
      </c>
      <c r="C54" s="47">
        <v>0</v>
      </c>
      <c r="D54" s="47">
        <v>0</v>
      </c>
      <c r="E54" s="47">
        <v>0</v>
      </c>
      <c r="F54" s="47">
        <v>0</v>
      </c>
      <c r="G54" s="47">
        <v>0</v>
      </c>
      <c r="H54" s="47">
        <v>0</v>
      </c>
      <c r="I54" s="47">
        <v>0</v>
      </c>
      <c r="J54" s="47">
        <v>0</v>
      </c>
      <c r="K54" s="47">
        <v>0</v>
      </c>
      <c r="L54" s="47">
        <v>0</v>
      </c>
      <c r="M54" s="47">
        <v>0</v>
      </c>
      <c r="N54" s="48">
        <f t="shared" si="14"/>
        <v>0</v>
      </c>
    </row>
    <row r="55" spans="1:14" x14ac:dyDescent="0.25">
      <c r="A55" s="42" t="s">
        <v>33</v>
      </c>
      <c r="B55" s="47">
        <v>0</v>
      </c>
      <c r="C55" s="47">
        <v>0</v>
      </c>
      <c r="D55" s="47">
        <v>0</v>
      </c>
      <c r="E55" s="47">
        <v>0</v>
      </c>
      <c r="F55" s="47">
        <v>0</v>
      </c>
      <c r="G55" s="47">
        <v>0</v>
      </c>
      <c r="H55" s="47">
        <v>0</v>
      </c>
      <c r="I55" s="47">
        <v>0</v>
      </c>
      <c r="J55" s="47">
        <v>0</v>
      </c>
      <c r="K55" s="47">
        <v>0</v>
      </c>
      <c r="L55" s="47">
        <v>0</v>
      </c>
      <c r="M55" s="47">
        <v>0</v>
      </c>
      <c r="N55" s="48">
        <f t="shared" si="14"/>
        <v>0</v>
      </c>
    </row>
    <row r="56" spans="1:14" x14ac:dyDescent="0.25">
      <c r="A56" s="42" t="s">
        <v>35</v>
      </c>
      <c r="B56" s="47">
        <v>0</v>
      </c>
      <c r="C56" s="47">
        <v>0</v>
      </c>
      <c r="D56" s="47">
        <v>0</v>
      </c>
      <c r="E56" s="47">
        <v>0</v>
      </c>
      <c r="F56" s="47">
        <v>0</v>
      </c>
      <c r="G56" s="47">
        <v>0</v>
      </c>
      <c r="H56" s="47">
        <v>0</v>
      </c>
      <c r="I56" s="47">
        <v>0</v>
      </c>
      <c r="J56" s="47">
        <v>0</v>
      </c>
      <c r="K56" s="47">
        <v>0</v>
      </c>
      <c r="L56" s="47">
        <v>0</v>
      </c>
      <c r="M56" s="47">
        <v>0</v>
      </c>
      <c r="N56" s="48">
        <f t="shared" si="14"/>
        <v>0</v>
      </c>
    </row>
    <row r="57" spans="1:14" x14ac:dyDescent="0.25">
      <c r="A57" s="49" t="s">
        <v>36</v>
      </c>
      <c r="B57" s="47">
        <v>0</v>
      </c>
      <c r="C57" s="47">
        <v>0</v>
      </c>
      <c r="D57" s="47">
        <v>0</v>
      </c>
      <c r="E57" s="47">
        <v>0</v>
      </c>
      <c r="F57" s="47">
        <v>0</v>
      </c>
      <c r="G57" s="47">
        <v>0</v>
      </c>
      <c r="H57" s="47">
        <v>0</v>
      </c>
      <c r="I57" s="47">
        <v>0</v>
      </c>
      <c r="J57" s="47">
        <v>0</v>
      </c>
      <c r="K57" s="47">
        <v>0</v>
      </c>
      <c r="L57" s="47">
        <v>0</v>
      </c>
      <c r="M57" s="47">
        <v>0</v>
      </c>
      <c r="N57" s="48">
        <f t="shared" si="14"/>
        <v>0</v>
      </c>
    </row>
    <row r="58" spans="1:14" x14ac:dyDescent="0.25">
      <c r="A58" s="50" t="s">
        <v>2</v>
      </c>
      <c r="B58" s="51">
        <f>SUM(B44:B57)</f>
        <v>1165210.2981511469</v>
      </c>
      <c r="C58" s="51">
        <f t="shared" ref="C58:N58" si="15">SUM(C44:C57)</f>
        <v>1107339.6928686639</v>
      </c>
      <c r="D58" s="51">
        <f t="shared" si="15"/>
        <v>1028740.1088957116</v>
      </c>
      <c r="E58" s="51">
        <f t="shared" si="15"/>
        <v>800518.74184042867</v>
      </c>
      <c r="F58" s="51">
        <f t="shared" si="15"/>
        <v>731609.13096952601</v>
      </c>
      <c r="G58" s="51">
        <f t="shared" si="15"/>
        <v>639900.50699850312</v>
      </c>
      <c r="H58" s="51">
        <f t="shared" si="15"/>
        <v>635135.18344778428</v>
      </c>
      <c r="I58" s="51">
        <f t="shared" si="15"/>
        <v>693114.76340812049</v>
      </c>
      <c r="J58" s="51">
        <f t="shared" si="15"/>
        <v>687075.88181803899</v>
      </c>
      <c r="K58" s="51">
        <f t="shared" si="15"/>
        <v>985772.60397318029</v>
      </c>
      <c r="L58" s="51">
        <f t="shared" si="15"/>
        <v>1144649.561494306</v>
      </c>
      <c r="M58" s="51">
        <f t="shared" si="15"/>
        <v>1366757.4821345885</v>
      </c>
      <c r="N58" s="51">
        <f t="shared" si="15"/>
        <v>10985823.956</v>
      </c>
    </row>
    <row r="60" spans="1:14" ht="17.25" x14ac:dyDescent="0.25">
      <c r="A60" s="53" t="s">
        <v>80</v>
      </c>
    </row>
    <row r="61" spans="1:14" x14ac:dyDescent="0.25">
      <c r="A61" s="43" t="s">
        <v>51</v>
      </c>
      <c r="B61" s="45">
        <f>B7</f>
        <v>45292</v>
      </c>
      <c r="C61" s="45">
        <f t="shared" ref="C61:M61" si="16">C7</f>
        <v>45323</v>
      </c>
      <c r="D61" s="45">
        <f t="shared" si="16"/>
        <v>45352</v>
      </c>
      <c r="E61" s="45">
        <f t="shared" si="16"/>
        <v>45383</v>
      </c>
      <c r="F61" s="45">
        <f t="shared" si="16"/>
        <v>45413</v>
      </c>
      <c r="G61" s="45">
        <f t="shared" si="16"/>
        <v>45444</v>
      </c>
      <c r="H61" s="45">
        <f t="shared" si="16"/>
        <v>45474</v>
      </c>
      <c r="I61" s="45">
        <f t="shared" si="16"/>
        <v>45505</v>
      </c>
      <c r="J61" s="45">
        <f t="shared" si="16"/>
        <v>45536</v>
      </c>
      <c r="K61" s="45">
        <f t="shared" si="16"/>
        <v>45566</v>
      </c>
      <c r="L61" s="45">
        <f t="shared" si="16"/>
        <v>45597</v>
      </c>
      <c r="M61" s="45">
        <f t="shared" si="16"/>
        <v>45627</v>
      </c>
      <c r="N61" s="46" t="s">
        <v>2</v>
      </c>
    </row>
    <row r="62" spans="1:14" x14ac:dyDescent="0.25">
      <c r="A62" s="42">
        <v>16</v>
      </c>
      <c r="B62" s="47">
        <v>0</v>
      </c>
      <c r="C62" s="47">
        <v>0</v>
      </c>
      <c r="D62" s="47">
        <v>0</v>
      </c>
      <c r="E62" s="47">
        <v>0</v>
      </c>
      <c r="F62" s="47">
        <v>0</v>
      </c>
      <c r="G62" s="47">
        <v>0</v>
      </c>
      <c r="H62" s="47">
        <v>0</v>
      </c>
      <c r="I62" s="47">
        <v>0</v>
      </c>
      <c r="J62" s="47">
        <v>0</v>
      </c>
      <c r="K62" s="47">
        <v>0</v>
      </c>
      <c r="L62" s="47">
        <v>0</v>
      </c>
      <c r="M62" s="47">
        <v>0</v>
      </c>
      <c r="N62" s="48">
        <f>SUM(B62:M62)</f>
        <v>0</v>
      </c>
    </row>
    <row r="63" spans="1:14" x14ac:dyDescent="0.25">
      <c r="A63" s="42">
        <v>23</v>
      </c>
      <c r="B63" s="47">
        <v>0</v>
      </c>
      <c r="C63" s="47">
        <v>0</v>
      </c>
      <c r="D63" s="47">
        <v>0</v>
      </c>
      <c r="E63" s="47">
        <v>0</v>
      </c>
      <c r="F63" s="47">
        <v>0</v>
      </c>
      <c r="G63" s="47">
        <v>0</v>
      </c>
      <c r="H63" s="47">
        <v>0</v>
      </c>
      <c r="I63" s="47">
        <v>0</v>
      </c>
      <c r="J63" s="47">
        <v>0</v>
      </c>
      <c r="K63" s="47">
        <v>0</v>
      </c>
      <c r="L63" s="47">
        <v>0</v>
      </c>
      <c r="M63" s="47">
        <v>0</v>
      </c>
      <c r="N63" s="48">
        <f t="shared" ref="N63:N75" si="17">SUM(B63:M63)</f>
        <v>0</v>
      </c>
    </row>
    <row r="64" spans="1:14" x14ac:dyDescent="0.25">
      <c r="A64" s="42">
        <v>53</v>
      </c>
      <c r="B64" s="47">
        <v>0</v>
      </c>
      <c r="C64" s="47">
        <v>0</v>
      </c>
      <c r="D64" s="47">
        <v>0</v>
      </c>
      <c r="E64" s="47">
        <v>0</v>
      </c>
      <c r="F64" s="47">
        <v>0</v>
      </c>
      <c r="G64" s="47">
        <v>0</v>
      </c>
      <c r="H64" s="47">
        <v>0</v>
      </c>
      <c r="I64" s="47">
        <v>0</v>
      </c>
      <c r="J64" s="47">
        <v>0</v>
      </c>
      <c r="K64" s="47">
        <v>0</v>
      </c>
      <c r="L64" s="47">
        <v>0</v>
      </c>
      <c r="M64" s="47">
        <v>0</v>
      </c>
      <c r="N64" s="48">
        <f t="shared" si="17"/>
        <v>0</v>
      </c>
    </row>
    <row r="65" spans="1:14" x14ac:dyDescent="0.25">
      <c r="A65" s="42">
        <v>31</v>
      </c>
      <c r="B65" s="47">
        <v>0</v>
      </c>
      <c r="C65" s="47">
        <v>0</v>
      </c>
      <c r="D65" s="47">
        <v>0</v>
      </c>
      <c r="E65" s="47">
        <v>0</v>
      </c>
      <c r="F65" s="47">
        <v>0</v>
      </c>
      <c r="G65" s="47">
        <v>0</v>
      </c>
      <c r="H65" s="47">
        <v>0</v>
      </c>
      <c r="I65" s="47">
        <v>0</v>
      </c>
      <c r="J65" s="47">
        <v>0</v>
      </c>
      <c r="K65" s="47">
        <v>0</v>
      </c>
      <c r="L65" s="47">
        <v>0</v>
      </c>
      <c r="M65" s="47">
        <v>0</v>
      </c>
      <c r="N65" s="48">
        <f t="shared" si="17"/>
        <v>0</v>
      </c>
    </row>
    <row r="66" spans="1:14" x14ac:dyDescent="0.25">
      <c r="A66" s="42">
        <v>41</v>
      </c>
      <c r="B66" s="47">
        <v>0</v>
      </c>
      <c r="C66" s="47">
        <v>0</v>
      </c>
      <c r="D66" s="47">
        <v>0</v>
      </c>
      <c r="E66" s="47">
        <v>0</v>
      </c>
      <c r="F66" s="47">
        <v>0</v>
      </c>
      <c r="G66" s="47">
        <v>0</v>
      </c>
      <c r="H66" s="47">
        <v>0</v>
      </c>
      <c r="I66" s="47">
        <v>0</v>
      </c>
      <c r="J66" s="47">
        <v>0</v>
      </c>
      <c r="K66" s="47">
        <v>0</v>
      </c>
      <c r="L66" s="47">
        <v>0</v>
      </c>
      <c r="M66" s="47">
        <v>0</v>
      </c>
      <c r="N66" s="48">
        <f t="shared" si="17"/>
        <v>0</v>
      </c>
    </row>
    <row r="67" spans="1:14" x14ac:dyDescent="0.25">
      <c r="A67" s="42">
        <v>85</v>
      </c>
      <c r="B67" s="47">
        <v>0</v>
      </c>
      <c r="C67" s="47">
        <v>0</v>
      </c>
      <c r="D67" s="47">
        <v>0</v>
      </c>
      <c r="E67" s="47">
        <v>0</v>
      </c>
      <c r="F67" s="47">
        <v>0</v>
      </c>
      <c r="G67" s="47">
        <v>0</v>
      </c>
      <c r="H67" s="47">
        <v>0</v>
      </c>
      <c r="I67" s="47">
        <v>0</v>
      </c>
      <c r="J67" s="47">
        <v>0</v>
      </c>
      <c r="K67" s="47">
        <v>0</v>
      </c>
      <c r="L67" s="47">
        <v>0</v>
      </c>
      <c r="M67" s="47">
        <v>0</v>
      </c>
      <c r="N67" s="48">
        <f t="shared" si="17"/>
        <v>0</v>
      </c>
    </row>
    <row r="68" spans="1:14" x14ac:dyDescent="0.25">
      <c r="A68" s="42">
        <v>86</v>
      </c>
      <c r="B68" s="47">
        <v>0</v>
      </c>
      <c r="C68" s="47">
        <v>0</v>
      </c>
      <c r="D68" s="47">
        <v>0</v>
      </c>
      <c r="E68" s="47">
        <v>0</v>
      </c>
      <c r="F68" s="47">
        <v>0</v>
      </c>
      <c r="G68" s="47">
        <v>0</v>
      </c>
      <c r="H68" s="47">
        <v>0</v>
      </c>
      <c r="I68" s="47">
        <v>0</v>
      </c>
      <c r="J68" s="47">
        <v>0</v>
      </c>
      <c r="K68" s="47">
        <v>0</v>
      </c>
      <c r="L68" s="47">
        <v>0</v>
      </c>
      <c r="M68" s="47">
        <v>0</v>
      </c>
      <c r="N68" s="48">
        <f t="shared" si="17"/>
        <v>0</v>
      </c>
    </row>
    <row r="69" spans="1:14" x14ac:dyDescent="0.25">
      <c r="A69" s="42">
        <v>87</v>
      </c>
      <c r="B69" s="47">
        <v>0</v>
      </c>
      <c r="C69" s="47">
        <v>0</v>
      </c>
      <c r="D69" s="47">
        <v>0</v>
      </c>
      <c r="E69" s="47">
        <v>0</v>
      </c>
      <c r="F69" s="47">
        <v>0</v>
      </c>
      <c r="G69" s="47">
        <v>0</v>
      </c>
      <c r="H69" s="47">
        <v>0</v>
      </c>
      <c r="I69" s="47">
        <v>0</v>
      </c>
      <c r="J69" s="47">
        <v>0</v>
      </c>
      <c r="K69" s="47">
        <v>0</v>
      </c>
      <c r="L69" s="47">
        <v>0</v>
      </c>
      <c r="M69" s="47">
        <v>0</v>
      </c>
      <c r="N69" s="48">
        <f t="shared" si="17"/>
        <v>0</v>
      </c>
    </row>
    <row r="70" spans="1:14" x14ac:dyDescent="0.25">
      <c r="A70" s="42" t="s">
        <v>27</v>
      </c>
      <c r="B70" s="47">
        <v>0</v>
      </c>
      <c r="C70" s="47">
        <v>0</v>
      </c>
      <c r="D70" s="47">
        <v>0</v>
      </c>
      <c r="E70" s="47">
        <v>0</v>
      </c>
      <c r="F70" s="47">
        <v>0</v>
      </c>
      <c r="G70" s="47">
        <v>0</v>
      </c>
      <c r="H70" s="47">
        <v>0</v>
      </c>
      <c r="I70" s="47">
        <v>0</v>
      </c>
      <c r="J70" s="47">
        <v>0</v>
      </c>
      <c r="K70" s="47">
        <v>0</v>
      </c>
      <c r="L70" s="47">
        <v>0</v>
      </c>
      <c r="M70" s="47">
        <v>0</v>
      </c>
      <c r="N70" s="48">
        <f t="shared" si="17"/>
        <v>0</v>
      </c>
    </row>
    <row r="71" spans="1:14" x14ac:dyDescent="0.25">
      <c r="A71" s="42" t="s">
        <v>29</v>
      </c>
      <c r="B71" s="47">
        <v>0</v>
      </c>
      <c r="C71" s="47">
        <v>0</v>
      </c>
      <c r="D71" s="47">
        <v>0</v>
      </c>
      <c r="E71" s="47">
        <v>0</v>
      </c>
      <c r="F71" s="47">
        <v>0</v>
      </c>
      <c r="G71" s="47">
        <v>0</v>
      </c>
      <c r="H71" s="47">
        <v>0</v>
      </c>
      <c r="I71" s="47">
        <v>0</v>
      </c>
      <c r="J71" s="47">
        <v>0</v>
      </c>
      <c r="K71" s="47">
        <v>0</v>
      </c>
      <c r="L71" s="47">
        <v>0</v>
      </c>
      <c r="M71" s="47">
        <v>0</v>
      </c>
      <c r="N71" s="48">
        <f t="shared" si="17"/>
        <v>0</v>
      </c>
    </row>
    <row r="72" spans="1:14" x14ac:dyDescent="0.25">
      <c r="A72" s="42" t="s">
        <v>31</v>
      </c>
      <c r="B72" s="47">
        <v>0</v>
      </c>
      <c r="C72" s="47">
        <v>0</v>
      </c>
      <c r="D72" s="47">
        <v>0</v>
      </c>
      <c r="E72" s="47">
        <v>0</v>
      </c>
      <c r="F72" s="47">
        <v>0</v>
      </c>
      <c r="G72" s="47">
        <v>0</v>
      </c>
      <c r="H72" s="47">
        <v>0</v>
      </c>
      <c r="I72" s="47">
        <v>0</v>
      </c>
      <c r="J72" s="47">
        <v>0</v>
      </c>
      <c r="K72" s="47">
        <v>0</v>
      </c>
      <c r="L72" s="47">
        <v>0</v>
      </c>
      <c r="M72" s="47">
        <v>0</v>
      </c>
      <c r="N72" s="48">
        <f t="shared" si="17"/>
        <v>0</v>
      </c>
    </row>
    <row r="73" spans="1:14" x14ac:dyDescent="0.25">
      <c r="A73" s="42" t="s">
        <v>33</v>
      </c>
      <c r="B73" s="47">
        <v>0</v>
      </c>
      <c r="C73" s="47">
        <v>0</v>
      </c>
      <c r="D73" s="47">
        <v>0</v>
      </c>
      <c r="E73" s="47">
        <v>0</v>
      </c>
      <c r="F73" s="47">
        <v>0</v>
      </c>
      <c r="G73" s="47">
        <v>0</v>
      </c>
      <c r="H73" s="47">
        <v>0</v>
      </c>
      <c r="I73" s="47">
        <v>0</v>
      </c>
      <c r="J73" s="47">
        <v>0</v>
      </c>
      <c r="K73" s="47">
        <v>0</v>
      </c>
      <c r="L73" s="47">
        <v>0</v>
      </c>
      <c r="M73" s="47">
        <v>0</v>
      </c>
      <c r="N73" s="48">
        <f t="shared" si="17"/>
        <v>0</v>
      </c>
    </row>
    <row r="74" spans="1:14" x14ac:dyDescent="0.25">
      <c r="A74" s="42" t="s">
        <v>35</v>
      </c>
      <c r="B74" s="47">
        <v>0</v>
      </c>
      <c r="C74" s="47">
        <v>0</v>
      </c>
      <c r="D74" s="47">
        <v>0</v>
      </c>
      <c r="E74" s="47">
        <v>0</v>
      </c>
      <c r="F74" s="47">
        <v>0</v>
      </c>
      <c r="G74" s="47">
        <v>0</v>
      </c>
      <c r="H74" s="47">
        <v>0</v>
      </c>
      <c r="I74" s="47">
        <v>0</v>
      </c>
      <c r="J74" s="47">
        <v>0</v>
      </c>
      <c r="K74" s="47">
        <v>0</v>
      </c>
      <c r="L74" s="47">
        <v>0</v>
      </c>
      <c r="M74" s="47">
        <v>0</v>
      </c>
      <c r="N74" s="48">
        <f t="shared" si="17"/>
        <v>0</v>
      </c>
    </row>
    <row r="75" spans="1:14" x14ac:dyDescent="0.25">
      <c r="A75" s="49" t="s">
        <v>36</v>
      </c>
      <c r="B75" s="47">
        <v>0</v>
      </c>
      <c r="C75" s="47">
        <v>0</v>
      </c>
      <c r="D75" s="47">
        <v>0</v>
      </c>
      <c r="E75" s="47">
        <v>0</v>
      </c>
      <c r="F75" s="47">
        <v>0</v>
      </c>
      <c r="G75" s="47">
        <v>0</v>
      </c>
      <c r="H75" s="47">
        <v>0</v>
      </c>
      <c r="I75" s="47">
        <v>0</v>
      </c>
      <c r="J75" s="47">
        <v>0</v>
      </c>
      <c r="K75" s="47">
        <v>0</v>
      </c>
      <c r="L75" s="47">
        <v>0</v>
      </c>
      <c r="M75" s="47">
        <v>0</v>
      </c>
      <c r="N75" s="48">
        <f t="shared" si="17"/>
        <v>0</v>
      </c>
    </row>
    <row r="76" spans="1:14" x14ac:dyDescent="0.25">
      <c r="A76" s="50" t="s">
        <v>2</v>
      </c>
      <c r="B76" s="51">
        <f>SUM(B62:B75)</f>
        <v>0</v>
      </c>
      <c r="C76" s="51">
        <f t="shared" ref="C76:N76" si="18">SUM(C62:C75)</f>
        <v>0</v>
      </c>
      <c r="D76" s="51">
        <f t="shared" si="18"/>
        <v>0</v>
      </c>
      <c r="E76" s="51">
        <f t="shared" si="18"/>
        <v>0</v>
      </c>
      <c r="F76" s="51">
        <f t="shared" si="18"/>
        <v>0</v>
      </c>
      <c r="G76" s="51">
        <f t="shared" si="18"/>
        <v>0</v>
      </c>
      <c r="H76" s="51">
        <f t="shared" si="18"/>
        <v>0</v>
      </c>
      <c r="I76" s="51">
        <f t="shared" si="18"/>
        <v>0</v>
      </c>
      <c r="J76" s="51">
        <f t="shared" si="18"/>
        <v>0</v>
      </c>
      <c r="K76" s="51">
        <f t="shared" si="18"/>
        <v>0</v>
      </c>
      <c r="L76" s="51">
        <f t="shared" si="18"/>
        <v>0</v>
      </c>
      <c r="M76" s="51">
        <f t="shared" si="18"/>
        <v>0</v>
      </c>
      <c r="N76" s="51">
        <f t="shared" si="18"/>
        <v>0</v>
      </c>
    </row>
    <row r="78" spans="1:14" ht="17.25" x14ac:dyDescent="0.25">
      <c r="A78" s="53" t="s">
        <v>292</v>
      </c>
    </row>
    <row r="79" spans="1:14" x14ac:dyDescent="0.25">
      <c r="A79" s="43" t="s">
        <v>51</v>
      </c>
      <c r="B79" s="45">
        <f>B25</f>
        <v>45292</v>
      </c>
      <c r="C79" s="45">
        <f t="shared" ref="C79:M79" si="19">C25</f>
        <v>45323</v>
      </c>
      <c r="D79" s="45">
        <f t="shared" si="19"/>
        <v>45352</v>
      </c>
      <c r="E79" s="45">
        <f t="shared" si="19"/>
        <v>45383</v>
      </c>
      <c r="F79" s="45">
        <f t="shared" si="19"/>
        <v>45413</v>
      </c>
      <c r="G79" s="45">
        <f t="shared" si="19"/>
        <v>45444</v>
      </c>
      <c r="H79" s="45">
        <f t="shared" si="19"/>
        <v>45474</v>
      </c>
      <c r="I79" s="45">
        <f t="shared" si="19"/>
        <v>45505</v>
      </c>
      <c r="J79" s="45">
        <f t="shared" si="19"/>
        <v>45536</v>
      </c>
      <c r="K79" s="45">
        <f t="shared" si="19"/>
        <v>45566</v>
      </c>
      <c r="L79" s="45">
        <f t="shared" si="19"/>
        <v>45597</v>
      </c>
      <c r="M79" s="45">
        <f t="shared" si="19"/>
        <v>45627</v>
      </c>
      <c r="N79" s="46" t="s">
        <v>2</v>
      </c>
    </row>
    <row r="80" spans="1:14" x14ac:dyDescent="0.25">
      <c r="A80" s="42">
        <v>16</v>
      </c>
      <c r="B80" s="47">
        <v>0</v>
      </c>
      <c r="C80" s="47">
        <v>0</v>
      </c>
      <c r="D80" s="47">
        <v>0</v>
      </c>
      <c r="E80" s="47">
        <v>0</v>
      </c>
      <c r="F80" s="47">
        <v>0</v>
      </c>
      <c r="G80" s="47">
        <v>0</v>
      </c>
      <c r="H80" s="47">
        <v>0</v>
      </c>
      <c r="I80" s="47">
        <v>0</v>
      </c>
      <c r="J80" s="47">
        <v>0</v>
      </c>
      <c r="K80" s="47">
        <v>0</v>
      </c>
      <c r="L80" s="47">
        <v>0</v>
      </c>
      <c r="M80" s="47">
        <v>0</v>
      </c>
      <c r="N80" s="48">
        <f>SUM(B80:M80)</f>
        <v>0</v>
      </c>
    </row>
    <row r="81" spans="1:14" x14ac:dyDescent="0.25">
      <c r="A81" s="42">
        <v>23</v>
      </c>
      <c r="B81" s="47">
        <v>0</v>
      </c>
      <c r="C81" s="47">
        <v>0</v>
      </c>
      <c r="D81" s="47">
        <v>0</v>
      </c>
      <c r="E81" s="47">
        <v>0</v>
      </c>
      <c r="F81" s="47">
        <v>0</v>
      </c>
      <c r="G81" s="47">
        <v>0</v>
      </c>
      <c r="H81" s="47">
        <v>0</v>
      </c>
      <c r="I81" s="47">
        <v>0</v>
      </c>
      <c r="J81" s="47">
        <v>0</v>
      </c>
      <c r="K81" s="47">
        <v>0</v>
      </c>
      <c r="L81" s="47">
        <v>0</v>
      </c>
      <c r="M81" s="47">
        <v>0</v>
      </c>
      <c r="N81" s="48">
        <f t="shared" ref="N81:N93" si="20">SUM(B81:M81)</f>
        <v>0</v>
      </c>
    </row>
    <row r="82" spans="1:14" x14ac:dyDescent="0.25">
      <c r="A82" s="42">
        <v>53</v>
      </c>
      <c r="B82" s="47">
        <v>0</v>
      </c>
      <c r="C82" s="47">
        <v>0</v>
      </c>
      <c r="D82" s="47">
        <v>0</v>
      </c>
      <c r="E82" s="47">
        <v>0</v>
      </c>
      <c r="F82" s="47">
        <v>0</v>
      </c>
      <c r="G82" s="47">
        <v>0</v>
      </c>
      <c r="H82" s="47">
        <v>0</v>
      </c>
      <c r="I82" s="47">
        <v>0</v>
      </c>
      <c r="J82" s="47">
        <v>0</v>
      </c>
      <c r="K82" s="47">
        <v>0</v>
      </c>
      <c r="L82" s="47">
        <v>0</v>
      </c>
      <c r="M82" s="47">
        <v>0</v>
      </c>
      <c r="N82" s="48">
        <f t="shared" si="20"/>
        <v>0</v>
      </c>
    </row>
    <row r="83" spans="1:14" x14ac:dyDescent="0.25">
      <c r="A83" s="42">
        <v>31</v>
      </c>
      <c r="B83" s="47">
        <v>0</v>
      </c>
      <c r="C83" s="47">
        <v>0</v>
      </c>
      <c r="D83" s="47">
        <v>0</v>
      </c>
      <c r="E83" s="47">
        <v>0</v>
      </c>
      <c r="F83" s="47">
        <v>0</v>
      </c>
      <c r="G83" s="47">
        <v>0</v>
      </c>
      <c r="H83" s="47">
        <v>0</v>
      </c>
      <c r="I83" s="47">
        <v>0</v>
      </c>
      <c r="J83" s="47">
        <v>0</v>
      </c>
      <c r="K83" s="47">
        <v>0</v>
      </c>
      <c r="L83" s="47">
        <v>0</v>
      </c>
      <c r="M83" s="47">
        <v>0</v>
      </c>
      <c r="N83" s="48">
        <f t="shared" si="20"/>
        <v>0</v>
      </c>
    </row>
    <row r="84" spans="1:14" x14ac:dyDescent="0.25">
      <c r="A84" s="42">
        <v>41</v>
      </c>
      <c r="B84" s="47">
        <v>0</v>
      </c>
      <c r="C84" s="47">
        <v>0</v>
      </c>
      <c r="D84" s="47">
        <v>0</v>
      </c>
      <c r="E84" s="47">
        <v>0</v>
      </c>
      <c r="F84" s="47">
        <v>0</v>
      </c>
      <c r="G84" s="47">
        <v>0</v>
      </c>
      <c r="H84" s="47">
        <v>0</v>
      </c>
      <c r="I84" s="47">
        <v>0</v>
      </c>
      <c r="J84" s="47">
        <v>0</v>
      </c>
      <c r="K84" s="47">
        <v>0</v>
      </c>
      <c r="L84" s="47">
        <v>0</v>
      </c>
      <c r="M84" s="47">
        <v>0</v>
      </c>
      <c r="N84" s="48">
        <f t="shared" si="20"/>
        <v>0</v>
      </c>
    </row>
    <row r="85" spans="1:14" x14ac:dyDescent="0.25">
      <c r="A85" s="42">
        <v>85</v>
      </c>
      <c r="B85" s="47">
        <v>0</v>
      </c>
      <c r="C85" s="47">
        <v>0</v>
      </c>
      <c r="D85" s="47">
        <v>0</v>
      </c>
      <c r="E85" s="47">
        <v>0</v>
      </c>
      <c r="F85" s="47">
        <v>0</v>
      </c>
      <c r="G85" s="47">
        <v>0</v>
      </c>
      <c r="H85" s="47">
        <v>0</v>
      </c>
      <c r="I85" s="47">
        <v>0</v>
      </c>
      <c r="J85" s="47">
        <v>0</v>
      </c>
      <c r="K85" s="47">
        <v>0</v>
      </c>
      <c r="L85" s="47">
        <v>0</v>
      </c>
      <c r="M85" s="47">
        <v>0</v>
      </c>
      <c r="N85" s="48">
        <f t="shared" si="20"/>
        <v>0</v>
      </c>
    </row>
    <row r="86" spans="1:14" x14ac:dyDescent="0.25">
      <c r="A86" s="42">
        <v>86</v>
      </c>
      <c r="B86" s="47">
        <v>0</v>
      </c>
      <c r="C86" s="47">
        <v>0</v>
      </c>
      <c r="D86" s="47">
        <v>0</v>
      </c>
      <c r="E86" s="47">
        <v>0</v>
      </c>
      <c r="F86" s="47">
        <v>0</v>
      </c>
      <c r="G86" s="47">
        <v>0</v>
      </c>
      <c r="H86" s="47">
        <v>0</v>
      </c>
      <c r="I86" s="47">
        <v>0</v>
      </c>
      <c r="J86" s="47">
        <v>0</v>
      </c>
      <c r="K86" s="47">
        <v>0</v>
      </c>
      <c r="L86" s="47">
        <v>0</v>
      </c>
      <c r="M86" s="47">
        <v>0</v>
      </c>
      <c r="N86" s="48">
        <f t="shared" si="20"/>
        <v>0</v>
      </c>
    </row>
    <row r="87" spans="1:14" x14ac:dyDescent="0.25">
      <c r="A87" s="42">
        <v>87</v>
      </c>
      <c r="B87" s="47">
        <v>0</v>
      </c>
      <c r="C87" s="47">
        <v>0</v>
      </c>
      <c r="D87" s="47">
        <v>0</v>
      </c>
      <c r="E87" s="47">
        <v>0</v>
      </c>
      <c r="F87" s="47">
        <v>0</v>
      </c>
      <c r="G87" s="47">
        <v>0</v>
      </c>
      <c r="H87" s="47">
        <v>0</v>
      </c>
      <c r="I87" s="47">
        <v>0</v>
      </c>
      <c r="J87" s="47">
        <v>0</v>
      </c>
      <c r="K87" s="47">
        <v>0</v>
      </c>
      <c r="L87" s="47">
        <v>0</v>
      </c>
      <c r="M87" s="47">
        <v>0</v>
      </c>
      <c r="N87" s="48">
        <f t="shared" si="20"/>
        <v>0</v>
      </c>
    </row>
    <row r="88" spans="1:14" x14ac:dyDescent="0.25">
      <c r="A88" s="42" t="s">
        <v>27</v>
      </c>
      <c r="B88" s="47">
        <v>0</v>
      </c>
      <c r="C88" s="47">
        <v>0</v>
      </c>
      <c r="D88" s="47">
        <v>0</v>
      </c>
      <c r="E88" s="47">
        <v>0</v>
      </c>
      <c r="F88" s="47">
        <v>0</v>
      </c>
      <c r="G88" s="47">
        <v>0</v>
      </c>
      <c r="H88" s="47">
        <v>0</v>
      </c>
      <c r="I88" s="47">
        <v>0</v>
      </c>
      <c r="J88" s="47">
        <v>0</v>
      </c>
      <c r="K88" s="47">
        <v>0</v>
      </c>
      <c r="L88" s="47">
        <v>0</v>
      </c>
      <c r="M88" s="47">
        <v>0</v>
      </c>
      <c r="N88" s="48">
        <f t="shared" si="20"/>
        <v>0</v>
      </c>
    </row>
    <row r="89" spans="1:14" x14ac:dyDescent="0.25">
      <c r="A89" s="42" t="s">
        <v>29</v>
      </c>
      <c r="B89" s="47">
        <v>0</v>
      </c>
      <c r="C89" s="47">
        <v>0</v>
      </c>
      <c r="D89" s="47">
        <v>0</v>
      </c>
      <c r="E89" s="47">
        <v>0</v>
      </c>
      <c r="F89" s="47">
        <v>0</v>
      </c>
      <c r="G89" s="47">
        <v>0</v>
      </c>
      <c r="H89" s="47">
        <v>0</v>
      </c>
      <c r="I89" s="47">
        <v>0</v>
      </c>
      <c r="J89" s="47">
        <v>0</v>
      </c>
      <c r="K89" s="47">
        <v>0</v>
      </c>
      <c r="L89" s="47">
        <v>0</v>
      </c>
      <c r="M89" s="47">
        <v>0</v>
      </c>
      <c r="N89" s="48">
        <f t="shared" si="20"/>
        <v>0</v>
      </c>
    </row>
    <row r="90" spans="1:14" x14ac:dyDescent="0.25">
      <c r="A90" s="42" t="s">
        <v>31</v>
      </c>
      <c r="B90" s="47">
        <v>0</v>
      </c>
      <c r="C90" s="47">
        <v>0</v>
      </c>
      <c r="D90" s="47">
        <v>0</v>
      </c>
      <c r="E90" s="47">
        <v>0</v>
      </c>
      <c r="F90" s="47">
        <v>0</v>
      </c>
      <c r="G90" s="47">
        <v>0</v>
      </c>
      <c r="H90" s="47">
        <v>0</v>
      </c>
      <c r="I90" s="47">
        <v>0</v>
      </c>
      <c r="J90" s="47">
        <v>0</v>
      </c>
      <c r="K90" s="47">
        <v>0</v>
      </c>
      <c r="L90" s="47">
        <v>0</v>
      </c>
      <c r="M90" s="47">
        <v>0</v>
      </c>
      <c r="N90" s="48">
        <f t="shared" si="20"/>
        <v>0</v>
      </c>
    </row>
    <row r="91" spans="1:14" x14ac:dyDescent="0.25">
      <c r="A91" s="42" t="s">
        <v>33</v>
      </c>
      <c r="B91" s="47">
        <v>0</v>
      </c>
      <c r="C91" s="47">
        <v>0</v>
      </c>
      <c r="D91" s="47">
        <v>0</v>
      </c>
      <c r="E91" s="47">
        <v>0</v>
      </c>
      <c r="F91" s="47">
        <v>0</v>
      </c>
      <c r="G91" s="47">
        <v>0</v>
      </c>
      <c r="H91" s="47">
        <v>0</v>
      </c>
      <c r="I91" s="47">
        <v>0</v>
      </c>
      <c r="J91" s="47">
        <v>0</v>
      </c>
      <c r="K91" s="47">
        <v>0</v>
      </c>
      <c r="L91" s="47">
        <v>0</v>
      </c>
      <c r="M91" s="47">
        <v>0</v>
      </c>
      <c r="N91" s="48">
        <f t="shared" si="20"/>
        <v>0</v>
      </c>
    </row>
    <row r="92" spans="1:14" x14ac:dyDescent="0.25">
      <c r="A92" s="42" t="s">
        <v>35</v>
      </c>
      <c r="B92" s="47">
        <v>1633612</v>
      </c>
      <c r="C92" s="47">
        <v>1475522</v>
      </c>
      <c r="D92" s="47">
        <v>1633612</v>
      </c>
      <c r="E92" s="47">
        <v>1580916</v>
      </c>
      <c r="F92" s="47">
        <v>1633612</v>
      </c>
      <c r="G92" s="47">
        <v>3466648</v>
      </c>
      <c r="H92" s="47">
        <v>3582204</v>
      </c>
      <c r="I92" s="47">
        <v>3582204</v>
      </c>
      <c r="J92" s="47">
        <v>3466648</v>
      </c>
      <c r="K92" s="47">
        <v>3582204</v>
      </c>
      <c r="L92" s="47">
        <v>1580916</v>
      </c>
      <c r="M92" s="47">
        <v>1633612</v>
      </c>
      <c r="N92" s="48">
        <f t="shared" si="20"/>
        <v>28851710</v>
      </c>
    </row>
    <row r="93" spans="1:14" x14ac:dyDescent="0.25">
      <c r="A93" s="49" t="s">
        <v>36</v>
      </c>
      <c r="B93" s="47">
        <v>0</v>
      </c>
      <c r="C93" s="47">
        <v>0</v>
      </c>
      <c r="D93" s="47">
        <v>0</v>
      </c>
      <c r="E93" s="47">
        <v>0</v>
      </c>
      <c r="F93" s="47">
        <v>0</v>
      </c>
      <c r="G93" s="47">
        <v>0</v>
      </c>
      <c r="H93" s="47">
        <v>0</v>
      </c>
      <c r="I93" s="47">
        <v>0</v>
      </c>
      <c r="J93" s="47">
        <v>0</v>
      </c>
      <c r="K93" s="47">
        <v>0</v>
      </c>
      <c r="L93" s="47">
        <v>0</v>
      </c>
      <c r="M93" s="47">
        <v>0</v>
      </c>
      <c r="N93" s="48">
        <f t="shared" si="20"/>
        <v>0</v>
      </c>
    </row>
    <row r="94" spans="1:14" x14ac:dyDescent="0.25">
      <c r="A94" s="50" t="s">
        <v>2</v>
      </c>
      <c r="B94" s="51">
        <f>SUM(B80:B93)</f>
        <v>1633612</v>
      </c>
      <c r="C94" s="51">
        <f t="shared" ref="C94:N94" si="21">SUM(C80:C93)</f>
        <v>1475522</v>
      </c>
      <c r="D94" s="51">
        <f t="shared" si="21"/>
        <v>1633612</v>
      </c>
      <c r="E94" s="51">
        <f t="shared" si="21"/>
        <v>1580916</v>
      </c>
      <c r="F94" s="51">
        <f t="shared" si="21"/>
        <v>1633612</v>
      </c>
      <c r="G94" s="51">
        <f t="shared" si="21"/>
        <v>3466648</v>
      </c>
      <c r="H94" s="51">
        <f t="shared" si="21"/>
        <v>3582204</v>
      </c>
      <c r="I94" s="51">
        <f t="shared" si="21"/>
        <v>3582204</v>
      </c>
      <c r="J94" s="51">
        <f t="shared" si="21"/>
        <v>3466648</v>
      </c>
      <c r="K94" s="51">
        <f t="shared" si="21"/>
        <v>3582204</v>
      </c>
      <c r="L94" s="51">
        <f t="shared" si="21"/>
        <v>1580916</v>
      </c>
      <c r="M94" s="51">
        <f t="shared" si="21"/>
        <v>1633612</v>
      </c>
      <c r="N94" s="51">
        <f t="shared" si="21"/>
        <v>28851710</v>
      </c>
    </row>
    <row r="95" spans="1:14" x14ac:dyDescent="0.25">
      <c r="A95" s="50"/>
      <c r="B95" s="181"/>
      <c r="C95" s="181"/>
      <c r="D95" s="181"/>
      <c r="E95" s="181"/>
      <c r="F95" s="181"/>
      <c r="G95" s="181"/>
      <c r="H95" s="181"/>
      <c r="I95" s="181"/>
      <c r="J95" s="181"/>
      <c r="K95" s="181"/>
      <c r="L95" s="181"/>
      <c r="M95" s="181"/>
      <c r="N95" s="181"/>
    </row>
    <row r="96" spans="1:14" x14ac:dyDescent="0.25">
      <c r="A96" s="53" t="s">
        <v>55</v>
      </c>
    </row>
    <row r="97" spans="1:14" x14ac:dyDescent="0.25">
      <c r="A97" s="43" t="s">
        <v>51</v>
      </c>
      <c r="B97" s="45">
        <f>B7</f>
        <v>45292</v>
      </c>
      <c r="C97" s="45">
        <f t="shared" ref="C97:M97" si="22">C7</f>
        <v>45323</v>
      </c>
      <c r="D97" s="45">
        <f t="shared" si="22"/>
        <v>45352</v>
      </c>
      <c r="E97" s="45">
        <f t="shared" si="22"/>
        <v>45383</v>
      </c>
      <c r="F97" s="45">
        <f t="shared" si="22"/>
        <v>45413</v>
      </c>
      <c r="G97" s="45">
        <f t="shared" si="22"/>
        <v>45444</v>
      </c>
      <c r="H97" s="45">
        <f t="shared" si="22"/>
        <v>45474</v>
      </c>
      <c r="I97" s="45">
        <f t="shared" si="22"/>
        <v>45505</v>
      </c>
      <c r="J97" s="45">
        <f t="shared" si="22"/>
        <v>45536</v>
      </c>
      <c r="K97" s="45">
        <f t="shared" si="22"/>
        <v>45566</v>
      </c>
      <c r="L97" s="45">
        <f t="shared" si="22"/>
        <v>45597</v>
      </c>
      <c r="M97" s="45">
        <f t="shared" si="22"/>
        <v>45627</v>
      </c>
      <c r="N97" s="46" t="s">
        <v>2</v>
      </c>
    </row>
    <row r="98" spans="1:14" x14ac:dyDescent="0.25">
      <c r="A98" s="42">
        <v>16</v>
      </c>
      <c r="B98" s="48">
        <f t="shared" ref="B98:B111" si="23">B8-B26-B44-B62-B80</f>
        <v>583</v>
      </c>
      <c r="C98" s="48">
        <f t="shared" ref="C98:M98" si="24">C8-C26-C44-C62-C80</f>
        <v>583</v>
      </c>
      <c r="D98" s="48">
        <f t="shared" si="24"/>
        <v>583</v>
      </c>
      <c r="E98" s="48">
        <f t="shared" si="24"/>
        <v>583</v>
      </c>
      <c r="F98" s="48">
        <f t="shared" si="24"/>
        <v>583</v>
      </c>
      <c r="G98" s="48">
        <f t="shared" si="24"/>
        <v>583</v>
      </c>
      <c r="H98" s="48">
        <f t="shared" si="24"/>
        <v>583</v>
      </c>
      <c r="I98" s="48">
        <f t="shared" si="24"/>
        <v>583</v>
      </c>
      <c r="J98" s="48">
        <f t="shared" si="24"/>
        <v>583</v>
      </c>
      <c r="K98" s="48">
        <f t="shared" si="24"/>
        <v>583</v>
      </c>
      <c r="L98" s="48">
        <f t="shared" si="24"/>
        <v>583</v>
      </c>
      <c r="M98" s="48">
        <f t="shared" si="24"/>
        <v>583</v>
      </c>
      <c r="N98" s="48">
        <f>SUM(B98:M98)</f>
        <v>6996</v>
      </c>
    </row>
    <row r="99" spans="1:14" x14ac:dyDescent="0.25">
      <c r="A99" s="42">
        <v>23</v>
      </c>
      <c r="B99" s="48">
        <f t="shared" si="23"/>
        <v>85099134</v>
      </c>
      <c r="C99" s="48">
        <f t="shared" ref="C99:M99" si="25">C9-C27-C45-C63-C81</f>
        <v>74985418</v>
      </c>
      <c r="D99" s="48">
        <f t="shared" si="25"/>
        <v>68653480</v>
      </c>
      <c r="E99" s="48">
        <f t="shared" si="25"/>
        <v>46949280</v>
      </c>
      <c r="F99" s="48">
        <f t="shared" si="25"/>
        <v>27300857</v>
      </c>
      <c r="G99" s="48">
        <f t="shared" si="25"/>
        <v>18661784</v>
      </c>
      <c r="H99" s="48">
        <f t="shared" si="25"/>
        <v>14141387</v>
      </c>
      <c r="I99" s="48">
        <f t="shared" si="25"/>
        <v>13556472</v>
      </c>
      <c r="J99" s="48">
        <f t="shared" si="25"/>
        <v>17856721</v>
      </c>
      <c r="K99" s="48">
        <f t="shared" si="25"/>
        <v>38270559</v>
      </c>
      <c r="L99" s="48">
        <f t="shared" si="25"/>
        <v>64417242</v>
      </c>
      <c r="M99" s="48">
        <f t="shared" si="25"/>
        <v>85858146</v>
      </c>
      <c r="N99" s="48">
        <f t="shared" ref="N99:N111" si="26">SUM(B99:M99)</f>
        <v>555750480</v>
      </c>
    </row>
    <row r="100" spans="1:14" x14ac:dyDescent="0.25">
      <c r="A100" s="42">
        <v>53</v>
      </c>
      <c r="B100" s="48">
        <f t="shared" si="23"/>
        <v>0</v>
      </c>
      <c r="C100" s="48">
        <f t="shared" ref="C100:M100" si="27">C10-C28-C46-C64-C82</f>
        <v>0</v>
      </c>
      <c r="D100" s="48">
        <f t="shared" si="27"/>
        <v>0</v>
      </c>
      <c r="E100" s="48">
        <f t="shared" si="27"/>
        <v>0</v>
      </c>
      <c r="F100" s="48">
        <f t="shared" si="27"/>
        <v>0</v>
      </c>
      <c r="G100" s="48">
        <f t="shared" si="27"/>
        <v>0</v>
      </c>
      <c r="H100" s="48">
        <f t="shared" si="27"/>
        <v>0</v>
      </c>
      <c r="I100" s="48">
        <f t="shared" si="27"/>
        <v>0</v>
      </c>
      <c r="J100" s="48">
        <f t="shared" si="27"/>
        <v>0</v>
      </c>
      <c r="K100" s="48">
        <f t="shared" si="27"/>
        <v>0</v>
      </c>
      <c r="L100" s="48">
        <f t="shared" si="27"/>
        <v>0</v>
      </c>
      <c r="M100" s="48">
        <f t="shared" si="27"/>
        <v>0</v>
      </c>
      <c r="N100" s="48">
        <f t="shared" si="26"/>
        <v>0</v>
      </c>
    </row>
    <row r="101" spans="1:14" x14ac:dyDescent="0.25">
      <c r="A101" s="42">
        <v>31</v>
      </c>
      <c r="B101" s="48">
        <f t="shared" si="23"/>
        <v>29247471.512905676</v>
      </c>
      <c r="C101" s="48">
        <f t="shared" ref="C101:M101" si="28">C11-C29-C47-C65-C83</f>
        <v>26423000.306854788</v>
      </c>
      <c r="D101" s="48">
        <f t="shared" si="28"/>
        <v>23474930.209777679</v>
      </c>
      <c r="E101" s="48">
        <f t="shared" si="28"/>
        <v>16797610.603376113</v>
      </c>
      <c r="F101" s="48">
        <f t="shared" si="28"/>
        <v>12230784.033846406</v>
      </c>
      <c r="G101" s="48">
        <f t="shared" si="28"/>
        <v>9808143.2517203037</v>
      </c>
      <c r="H101" s="48">
        <f t="shared" si="28"/>
        <v>8371899.2239624616</v>
      </c>
      <c r="I101" s="48">
        <f t="shared" si="28"/>
        <v>9199040.224951895</v>
      </c>
      <c r="J101" s="48">
        <f t="shared" si="28"/>
        <v>11324200.394258451</v>
      </c>
      <c r="K101" s="48">
        <f t="shared" si="28"/>
        <v>19179438.239572</v>
      </c>
      <c r="L101" s="48">
        <f t="shared" si="28"/>
        <v>27358733.953316968</v>
      </c>
      <c r="M101" s="48">
        <f t="shared" si="28"/>
        <v>33034414.356728531</v>
      </c>
      <c r="N101" s="48">
        <f t="shared" si="26"/>
        <v>226449666.31127122</v>
      </c>
    </row>
    <row r="102" spans="1:14" x14ac:dyDescent="0.25">
      <c r="A102" s="42">
        <v>41</v>
      </c>
      <c r="B102" s="48">
        <f t="shared" si="23"/>
        <v>7014121.2428417727</v>
      </c>
      <c r="C102" s="48">
        <f t="shared" ref="C102:M102" si="29">C12-C30-C48-C66-C84</f>
        <v>6718614.3110104594</v>
      </c>
      <c r="D102" s="48">
        <f t="shared" si="29"/>
        <v>6181308.9285207465</v>
      </c>
      <c r="E102" s="48">
        <f t="shared" si="29"/>
        <v>4739973.8236009199</v>
      </c>
      <c r="F102" s="48">
        <f t="shared" si="29"/>
        <v>3787521.3337899456</v>
      </c>
      <c r="G102" s="48">
        <f t="shared" si="29"/>
        <v>3213789.8379564718</v>
      </c>
      <c r="H102" s="48">
        <f t="shared" si="29"/>
        <v>2628268.2860381189</v>
      </c>
      <c r="I102" s="48">
        <f t="shared" si="29"/>
        <v>2875365.4252391942</v>
      </c>
      <c r="J102" s="48">
        <f t="shared" si="29"/>
        <v>3586825.895045843</v>
      </c>
      <c r="K102" s="48">
        <f t="shared" si="29"/>
        <v>5671246.5301072951</v>
      </c>
      <c r="L102" s="48">
        <f t="shared" si="29"/>
        <v>7324754.7377834246</v>
      </c>
      <c r="M102" s="48">
        <f t="shared" si="29"/>
        <v>7911531.846338938</v>
      </c>
      <c r="N102" s="48">
        <f t="shared" si="26"/>
        <v>61653322.19827313</v>
      </c>
    </row>
    <row r="103" spans="1:14" x14ac:dyDescent="0.25">
      <c r="A103" s="42">
        <v>85</v>
      </c>
      <c r="B103" s="48">
        <f t="shared" si="23"/>
        <v>1332803.793513081</v>
      </c>
      <c r="C103" s="48">
        <f t="shared" ref="C103:M103" si="30">C13-C31-C49-C67-C85</f>
        <v>1328201.8990401288</v>
      </c>
      <c r="D103" s="48">
        <f t="shared" si="30"/>
        <v>1289291.1856610954</v>
      </c>
      <c r="E103" s="48">
        <f t="shared" si="30"/>
        <v>1108677.4511998398</v>
      </c>
      <c r="F103" s="48">
        <f t="shared" si="30"/>
        <v>1111139.62722149</v>
      </c>
      <c r="G103" s="48">
        <f t="shared" si="30"/>
        <v>1023961.0983574563</v>
      </c>
      <c r="H103" s="48">
        <f t="shared" si="30"/>
        <v>1034384.7267942902</v>
      </c>
      <c r="I103" s="48">
        <f t="shared" si="30"/>
        <v>1122000.6980987187</v>
      </c>
      <c r="J103" s="48">
        <f t="shared" si="30"/>
        <v>983934.69844949234</v>
      </c>
      <c r="K103" s="48">
        <f t="shared" si="30"/>
        <v>1203769.1055046897</v>
      </c>
      <c r="L103" s="48">
        <f t="shared" si="30"/>
        <v>1271339.3811309924</v>
      </c>
      <c r="M103" s="48">
        <f t="shared" si="30"/>
        <v>1496437.2622737582</v>
      </c>
      <c r="N103" s="48">
        <f t="shared" si="26"/>
        <v>14305940.927245032</v>
      </c>
    </row>
    <row r="104" spans="1:14" x14ac:dyDescent="0.25">
      <c r="A104" s="42">
        <v>86</v>
      </c>
      <c r="B104" s="48">
        <f t="shared" si="23"/>
        <v>702664</v>
      </c>
      <c r="C104" s="48">
        <f t="shared" ref="C104:M104" si="31">C14-C32-C50-C68-C86</f>
        <v>693062</v>
      </c>
      <c r="D104" s="48">
        <f t="shared" si="31"/>
        <v>665938</v>
      </c>
      <c r="E104" s="48">
        <f t="shared" si="31"/>
        <v>468531</v>
      </c>
      <c r="F104" s="48">
        <f t="shared" si="31"/>
        <v>388605</v>
      </c>
      <c r="G104" s="48">
        <f t="shared" si="31"/>
        <v>222624</v>
      </c>
      <c r="H104" s="48">
        <f t="shared" si="31"/>
        <v>99487</v>
      </c>
      <c r="I104" s="48">
        <f t="shared" si="31"/>
        <v>17695</v>
      </c>
      <c r="J104" s="48">
        <f t="shared" si="31"/>
        <v>47188</v>
      </c>
      <c r="K104" s="48">
        <f t="shared" si="31"/>
        <v>274533</v>
      </c>
      <c r="L104" s="48">
        <f t="shared" si="31"/>
        <v>503995</v>
      </c>
      <c r="M104" s="48">
        <f t="shared" si="31"/>
        <v>788250</v>
      </c>
      <c r="N104" s="48">
        <f t="shared" si="26"/>
        <v>4872572</v>
      </c>
    </row>
    <row r="105" spans="1:14" x14ac:dyDescent="0.25">
      <c r="A105" s="42">
        <v>87</v>
      </c>
      <c r="B105" s="48">
        <f t="shared" si="23"/>
        <v>137540.70079297601</v>
      </c>
      <c r="C105" s="48">
        <f t="shared" ref="C105:M105" si="32">C15-C33-C51-C69-C87</f>
        <v>136666.64124649478</v>
      </c>
      <c r="D105" s="48">
        <f t="shared" si="32"/>
        <v>131022.3350544562</v>
      </c>
      <c r="E105" s="48">
        <f t="shared" si="32"/>
        <v>105051.42502454016</v>
      </c>
      <c r="F105" s="48">
        <f t="shared" si="32"/>
        <v>113076.62207754963</v>
      </c>
      <c r="G105" s="48">
        <f t="shared" si="32"/>
        <v>101750.70410089885</v>
      </c>
      <c r="H105" s="48">
        <f t="shared" si="32"/>
        <v>110507.10575051443</v>
      </c>
      <c r="I105" s="48">
        <f t="shared" si="32"/>
        <v>120653.92728719185</v>
      </c>
      <c r="J105" s="48">
        <f t="shared" si="32"/>
        <v>112466.09882559383</v>
      </c>
      <c r="K105" s="48">
        <f t="shared" si="32"/>
        <v>154980.99041025736</v>
      </c>
      <c r="L105" s="48">
        <f t="shared" si="32"/>
        <v>149368.89587445674</v>
      </c>
      <c r="M105" s="48">
        <f t="shared" si="32"/>
        <v>177185.15925267723</v>
      </c>
      <c r="N105" s="48">
        <f t="shared" si="26"/>
        <v>1550270.6056976072</v>
      </c>
    </row>
    <row r="106" spans="1:14" x14ac:dyDescent="0.25">
      <c r="A106" s="42" t="s">
        <v>27</v>
      </c>
      <c r="B106" s="48">
        <f t="shared" si="23"/>
        <v>528</v>
      </c>
      <c r="C106" s="48">
        <f t="shared" ref="C106:M106" si="33">C16-C34-C52-C70-C88</f>
        <v>61</v>
      </c>
      <c r="D106" s="48">
        <f t="shared" si="33"/>
        <v>0</v>
      </c>
      <c r="E106" s="48">
        <f t="shared" si="33"/>
        <v>0</v>
      </c>
      <c r="F106" s="48">
        <f t="shared" si="33"/>
        <v>0</v>
      </c>
      <c r="G106" s="48">
        <f t="shared" si="33"/>
        <v>0</v>
      </c>
      <c r="H106" s="48">
        <f t="shared" si="33"/>
        <v>0</v>
      </c>
      <c r="I106" s="48">
        <f t="shared" si="33"/>
        <v>0</v>
      </c>
      <c r="J106" s="48">
        <f t="shared" si="33"/>
        <v>219</v>
      </c>
      <c r="K106" s="48">
        <f t="shared" si="33"/>
        <v>15</v>
      </c>
      <c r="L106" s="48">
        <f t="shared" si="33"/>
        <v>1</v>
      </c>
      <c r="M106" s="48">
        <f t="shared" si="33"/>
        <v>128</v>
      </c>
      <c r="N106" s="48">
        <f t="shared" si="26"/>
        <v>952</v>
      </c>
    </row>
    <row r="107" spans="1:14" x14ac:dyDescent="0.25">
      <c r="A107" s="42" t="s">
        <v>29</v>
      </c>
      <c r="B107" s="48">
        <f t="shared" si="23"/>
        <v>1774331</v>
      </c>
      <c r="C107" s="48">
        <f t="shared" ref="C107:M107" si="34">C17-C35-C53-C71-C89</f>
        <v>2017130</v>
      </c>
      <c r="D107" s="48">
        <f t="shared" si="34"/>
        <v>1793236</v>
      </c>
      <c r="E107" s="48">
        <f t="shared" si="34"/>
        <v>1909641</v>
      </c>
      <c r="F107" s="48">
        <f t="shared" si="34"/>
        <v>1839584</v>
      </c>
      <c r="G107" s="48">
        <f t="shared" si="34"/>
        <v>1883319</v>
      </c>
      <c r="H107" s="48">
        <f t="shared" si="34"/>
        <v>1678682</v>
      </c>
      <c r="I107" s="48">
        <f t="shared" si="34"/>
        <v>1691880</v>
      </c>
      <c r="J107" s="48">
        <f t="shared" si="34"/>
        <v>1738088</v>
      </c>
      <c r="K107" s="48">
        <f t="shared" si="34"/>
        <v>1511046</v>
      </c>
      <c r="L107" s="48">
        <f t="shared" si="34"/>
        <v>1833376</v>
      </c>
      <c r="M107" s="48">
        <f t="shared" si="34"/>
        <v>1807052</v>
      </c>
      <c r="N107" s="48">
        <f t="shared" si="26"/>
        <v>21477365</v>
      </c>
    </row>
    <row r="108" spans="1:14" x14ac:dyDescent="0.25">
      <c r="A108" s="42" t="s">
        <v>31</v>
      </c>
      <c r="B108" s="48">
        <f t="shared" si="23"/>
        <v>4661205.2778059086</v>
      </c>
      <c r="C108" s="48">
        <f t="shared" ref="C108:M108" si="35">C18-C36-C54-C72-C90</f>
        <v>5429330.1037697783</v>
      </c>
      <c r="D108" s="48">
        <f t="shared" si="35"/>
        <v>4672463.3523462582</v>
      </c>
      <c r="E108" s="48">
        <f t="shared" si="35"/>
        <v>5229291.9534866866</v>
      </c>
      <c r="F108" s="48">
        <f t="shared" si="35"/>
        <v>5392209.9844632968</v>
      </c>
      <c r="G108" s="48">
        <f t="shared" si="35"/>
        <v>5011120.8791697714</v>
      </c>
      <c r="H108" s="48">
        <f t="shared" si="35"/>
        <v>4604899.1879926259</v>
      </c>
      <c r="I108" s="48">
        <f t="shared" si="35"/>
        <v>4517145.0070657693</v>
      </c>
      <c r="J108" s="48">
        <f t="shared" si="35"/>
        <v>5015098.2329246029</v>
      </c>
      <c r="K108" s="48">
        <f t="shared" si="35"/>
        <v>4184887.1182457292</v>
      </c>
      <c r="L108" s="48">
        <f t="shared" si="35"/>
        <v>5075914.2092130296</v>
      </c>
      <c r="M108" s="48">
        <f t="shared" si="35"/>
        <v>4976126.2680646749</v>
      </c>
      <c r="N108" s="48">
        <f t="shared" si="26"/>
        <v>58769691.57454814</v>
      </c>
    </row>
    <row r="109" spans="1:14" x14ac:dyDescent="0.25">
      <c r="A109" s="42" t="s">
        <v>33</v>
      </c>
      <c r="B109" s="48">
        <f t="shared" si="23"/>
        <v>97698</v>
      </c>
      <c r="C109" s="48">
        <f t="shared" ref="C109:M109" si="36">C19-C37-C55-C73-C91</f>
        <v>118656</v>
      </c>
      <c r="D109" s="48">
        <f t="shared" si="36"/>
        <v>101941</v>
      </c>
      <c r="E109" s="48">
        <f t="shared" si="36"/>
        <v>111179</v>
      </c>
      <c r="F109" s="48">
        <f t="shared" si="36"/>
        <v>104880</v>
      </c>
      <c r="G109" s="48">
        <f t="shared" si="36"/>
        <v>104204</v>
      </c>
      <c r="H109" s="48">
        <f t="shared" si="36"/>
        <v>90225</v>
      </c>
      <c r="I109" s="48">
        <f t="shared" si="36"/>
        <v>83370</v>
      </c>
      <c r="J109" s="48">
        <f t="shared" si="36"/>
        <v>96837</v>
      </c>
      <c r="K109" s="48">
        <f t="shared" si="36"/>
        <v>83739</v>
      </c>
      <c r="L109" s="48">
        <f t="shared" si="36"/>
        <v>105045</v>
      </c>
      <c r="M109" s="48">
        <f t="shared" si="36"/>
        <v>100884</v>
      </c>
      <c r="N109" s="48">
        <f t="shared" si="26"/>
        <v>1198658</v>
      </c>
    </row>
    <row r="110" spans="1:14" x14ac:dyDescent="0.25">
      <c r="A110" s="42" t="s">
        <v>35</v>
      </c>
      <c r="B110" s="48">
        <f t="shared" si="23"/>
        <v>955046.31311630551</v>
      </c>
      <c r="C110" s="48">
        <f t="shared" ref="C110:M110" si="37">C20-C38-C56-C74-C92</f>
        <v>1549788.54431911</v>
      </c>
      <c r="D110" s="48">
        <f t="shared" si="37"/>
        <v>1002080.088427132</v>
      </c>
      <c r="E110" s="48">
        <f t="shared" si="37"/>
        <v>1208774.0962370168</v>
      </c>
      <c r="F110" s="48">
        <f t="shared" si="37"/>
        <v>1397895.2405221723</v>
      </c>
      <c r="G110" s="48">
        <f t="shared" si="37"/>
        <v>-97742.649783920497</v>
      </c>
      <c r="H110" s="48">
        <f t="shared" si="37"/>
        <v>-101040.86413772125</v>
      </c>
      <c r="I110" s="48">
        <f t="shared" si="37"/>
        <v>-232007.83742829785</v>
      </c>
      <c r="J110" s="48">
        <f t="shared" si="37"/>
        <v>46761.716819021851</v>
      </c>
      <c r="K110" s="48">
        <f t="shared" si="37"/>
        <v>-565276.195465317</v>
      </c>
      <c r="L110" s="48">
        <f t="shared" si="37"/>
        <v>1135878.3939550919</v>
      </c>
      <c r="M110" s="48">
        <f t="shared" si="37"/>
        <v>1272849.2329139858</v>
      </c>
      <c r="N110" s="48">
        <f t="shared" si="26"/>
        <v>7573006.0794945797</v>
      </c>
    </row>
    <row r="111" spans="1:14" x14ac:dyDescent="0.25">
      <c r="A111" s="49" t="s">
        <v>36</v>
      </c>
      <c r="B111" s="48">
        <f t="shared" si="23"/>
        <v>1366560.1885681301</v>
      </c>
      <c r="C111" s="48">
        <f t="shared" ref="C111:M111" si="38">C21-C39-C57-C75-C93</f>
        <v>1641618.5626334837</v>
      </c>
      <c r="D111" s="48">
        <f t="shared" si="38"/>
        <v>1147702.6170276823</v>
      </c>
      <c r="E111" s="48">
        <f t="shared" si="38"/>
        <v>1121048.8305014421</v>
      </c>
      <c r="F111" s="48">
        <f t="shared" si="38"/>
        <v>1007200.6107154181</v>
      </c>
      <c r="G111" s="48">
        <f t="shared" si="38"/>
        <v>793363.19625789509</v>
      </c>
      <c r="H111" s="48">
        <f t="shared" si="38"/>
        <v>699238.8504920695</v>
      </c>
      <c r="I111" s="48">
        <f t="shared" si="38"/>
        <v>637564.74891682691</v>
      </c>
      <c r="J111" s="48">
        <f t="shared" si="38"/>
        <v>784918.67772308993</v>
      </c>
      <c r="K111" s="48">
        <f t="shared" si="38"/>
        <v>826028.21294318303</v>
      </c>
      <c r="L111" s="48">
        <f t="shared" si="38"/>
        <v>1368175.9816381601</v>
      </c>
      <c r="M111" s="48">
        <f t="shared" si="38"/>
        <v>1519968.1420528693</v>
      </c>
      <c r="N111" s="48">
        <f t="shared" si="26"/>
        <v>12913388.61947025</v>
      </c>
    </row>
    <row r="112" spans="1:14" x14ac:dyDescent="0.25">
      <c r="A112" s="50" t="s">
        <v>2</v>
      </c>
      <c r="B112" s="51">
        <f>SUM(B98:B111)</f>
        <v>132389687.02954385</v>
      </c>
      <c r="C112" s="51">
        <f t="shared" ref="C112:N112" si="39">SUM(C98:C111)</f>
        <v>121042130.36887425</v>
      </c>
      <c r="D112" s="51">
        <f t="shared" si="39"/>
        <v>109113976.71681504</v>
      </c>
      <c r="E112" s="51">
        <f t="shared" si="39"/>
        <v>79749642.183426559</v>
      </c>
      <c r="F112" s="51">
        <f t="shared" si="39"/>
        <v>54674336.452636272</v>
      </c>
      <c r="G112" s="51">
        <f t="shared" si="39"/>
        <v>40726900.317778878</v>
      </c>
      <c r="H112" s="51">
        <f t="shared" si="39"/>
        <v>33358520.516892366</v>
      </c>
      <c r="I112" s="51">
        <f t="shared" si="39"/>
        <v>33589762.194131292</v>
      </c>
      <c r="J112" s="51">
        <f t="shared" si="39"/>
        <v>41593841.714046098</v>
      </c>
      <c r="K112" s="51">
        <f t="shared" si="39"/>
        <v>70795549.001317859</v>
      </c>
      <c r="L112" s="51">
        <f t="shared" si="39"/>
        <v>110544407.55291213</v>
      </c>
      <c r="M112" s="51">
        <f t="shared" si="39"/>
        <v>138943555.26762542</v>
      </c>
      <c r="N112" s="51">
        <f t="shared" si="39"/>
        <v>966522309.31599998</v>
      </c>
    </row>
    <row r="113" spans="1:14" x14ac:dyDescent="0.25">
      <c r="A113" s="95" t="s">
        <v>112</v>
      </c>
      <c r="B113" s="96">
        <f>B22-B40-B58-B76-B94-B112</f>
        <v>0</v>
      </c>
      <c r="C113" s="96">
        <f t="shared" ref="C113:N113" si="40">C22-C40-C58-C76-C94-C112</f>
        <v>0</v>
      </c>
      <c r="D113" s="96">
        <f t="shared" si="40"/>
        <v>0</v>
      </c>
      <c r="E113" s="96">
        <f t="shared" si="40"/>
        <v>0</v>
      </c>
      <c r="F113" s="96">
        <f t="shared" si="40"/>
        <v>0</v>
      </c>
      <c r="G113" s="96">
        <f t="shared" si="40"/>
        <v>0</v>
      </c>
      <c r="H113" s="96">
        <f t="shared" si="40"/>
        <v>0</v>
      </c>
      <c r="I113" s="96">
        <f t="shared" si="40"/>
        <v>0</v>
      </c>
      <c r="J113" s="96">
        <f t="shared" si="40"/>
        <v>0</v>
      </c>
      <c r="K113" s="96">
        <f t="shared" si="40"/>
        <v>0</v>
      </c>
      <c r="L113" s="96">
        <f t="shared" si="40"/>
        <v>0</v>
      </c>
      <c r="M113" s="96">
        <f t="shared" si="40"/>
        <v>0</v>
      </c>
      <c r="N113" s="96">
        <f t="shared" si="40"/>
        <v>0</v>
      </c>
    </row>
    <row r="115" spans="1:14" x14ac:dyDescent="0.25">
      <c r="A115" s="50" t="s">
        <v>288</v>
      </c>
      <c r="B115" s="48">
        <v>1907231</v>
      </c>
      <c r="C115" s="48">
        <v>1722661</v>
      </c>
      <c r="D115" s="48">
        <v>1907231</v>
      </c>
      <c r="E115" s="48">
        <v>1845708</v>
      </c>
      <c r="F115" s="48">
        <v>1907231</v>
      </c>
      <c r="G115" s="48">
        <v>4047287</v>
      </c>
      <c r="H115" s="48">
        <v>4182197</v>
      </c>
      <c r="I115" s="48">
        <v>4182197</v>
      </c>
      <c r="J115" s="48">
        <v>4047287</v>
      </c>
      <c r="K115" s="48">
        <v>4182197</v>
      </c>
      <c r="L115" s="48">
        <v>1845708</v>
      </c>
      <c r="M115" s="48">
        <v>1907231</v>
      </c>
      <c r="N115" s="48">
        <f>SUM(B115:M115)</f>
        <v>33684166</v>
      </c>
    </row>
    <row r="116" spans="1:14" x14ac:dyDescent="0.25">
      <c r="A116" s="50" t="s">
        <v>289</v>
      </c>
      <c r="B116" s="48">
        <v>1633612</v>
      </c>
      <c r="C116" s="48">
        <v>1475522</v>
      </c>
      <c r="D116" s="48">
        <v>1633612</v>
      </c>
      <c r="E116" s="48">
        <v>1580916</v>
      </c>
      <c r="F116" s="48">
        <v>1633612</v>
      </c>
      <c r="G116" s="48">
        <v>3466648</v>
      </c>
      <c r="H116" s="48">
        <v>3582204</v>
      </c>
      <c r="I116" s="48">
        <v>3582204</v>
      </c>
      <c r="J116" s="48">
        <v>3466648</v>
      </c>
      <c r="K116" s="48">
        <v>3582204</v>
      </c>
      <c r="L116" s="48">
        <v>1580916</v>
      </c>
      <c r="M116" s="48">
        <v>1633612</v>
      </c>
      <c r="N116" s="48">
        <f t="shared" ref="N116:N117" si="41">SUM(B116:M116)</f>
        <v>28851710</v>
      </c>
    </row>
    <row r="117" spans="1:14" x14ac:dyDescent="0.25">
      <c r="A117" s="50" t="s">
        <v>290</v>
      </c>
      <c r="B117" s="48">
        <v>273619</v>
      </c>
      <c r="C117" s="48">
        <v>247139</v>
      </c>
      <c r="D117" s="48">
        <v>273619</v>
      </c>
      <c r="E117" s="48">
        <v>264792</v>
      </c>
      <c r="F117" s="48">
        <v>273619</v>
      </c>
      <c r="G117" s="48">
        <v>580639</v>
      </c>
      <c r="H117" s="48">
        <v>599993</v>
      </c>
      <c r="I117" s="48">
        <v>599993</v>
      </c>
      <c r="J117" s="48">
        <v>580639</v>
      </c>
      <c r="K117" s="48">
        <v>599993</v>
      </c>
      <c r="L117" s="48">
        <v>264792</v>
      </c>
      <c r="M117" s="48">
        <v>273619</v>
      </c>
      <c r="N117" s="48">
        <f t="shared" si="41"/>
        <v>4832456</v>
      </c>
    </row>
    <row r="119" spans="1:14" ht="17.25" x14ac:dyDescent="0.25">
      <c r="A119" s="39" t="s">
        <v>235</v>
      </c>
    </row>
    <row r="120" spans="1:14" ht="17.25" x14ac:dyDescent="0.25">
      <c r="A120" s="39" t="s">
        <v>236</v>
      </c>
    </row>
    <row r="121" spans="1:14" ht="17.25" x14ac:dyDescent="0.25">
      <c r="A121" s="39" t="s">
        <v>237</v>
      </c>
    </row>
    <row r="122" spans="1:14" ht="17.25" x14ac:dyDescent="0.25">
      <c r="A122" s="39" t="s">
        <v>293</v>
      </c>
    </row>
  </sheetData>
  <mergeCells count="4">
    <mergeCell ref="A1:N1"/>
    <mergeCell ref="A2:N2"/>
    <mergeCell ref="A3:N3"/>
    <mergeCell ref="A4:N4"/>
  </mergeCells>
  <printOptions horizontalCentered="1"/>
  <pageMargins left="0.7" right="0.7" top="0.75" bottom="0.75" header="0.3" footer="0.3"/>
  <pageSetup scale="68" fitToHeight="3" orientation="landscape" blackAndWhite="1" r:id="rId1"/>
  <headerFooter>
    <oddFooter>&amp;L&amp;F 
&amp;A&amp;C&amp;P&amp;R&amp;D</oddFooter>
  </headerFooter>
  <rowBreaks count="2" manualBreakCount="2">
    <brk id="40" max="13" man="1"/>
    <brk id="76"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zoomScale="90" zoomScaleNormal="90" workbookViewId="0">
      <pane ySplit="4" topLeftCell="A115" activePane="bottomLeft" state="frozen"/>
      <selection activeCell="H33" sqref="H33"/>
      <selection pane="bottomLeft" activeCell="M145" sqref="M145"/>
    </sheetView>
  </sheetViews>
  <sheetFormatPr defaultColWidth="9.140625" defaultRowHeight="15" x14ac:dyDescent="0.25"/>
  <cols>
    <col min="1" max="1" width="17.85546875" style="39" customWidth="1"/>
    <col min="2" max="4" width="11" style="39" bestFit="1" customWidth="1"/>
    <col min="5" max="6" width="12" style="39" bestFit="1" customWidth="1"/>
    <col min="7" max="13" width="12" style="39" customWidth="1"/>
    <col min="14" max="14" width="13.85546875" style="39" customWidth="1"/>
    <col min="15" max="16384" width="9.140625" style="39"/>
  </cols>
  <sheetData>
    <row r="1" spans="1:14" x14ac:dyDescent="0.25">
      <c r="A1" s="246" t="s">
        <v>0</v>
      </c>
      <c r="B1" s="246"/>
      <c r="C1" s="246"/>
      <c r="D1" s="246"/>
      <c r="E1" s="246"/>
      <c r="F1" s="246"/>
      <c r="G1" s="246"/>
      <c r="H1" s="246"/>
      <c r="I1" s="246"/>
      <c r="J1" s="246"/>
      <c r="K1" s="246"/>
      <c r="L1" s="246"/>
      <c r="M1" s="246"/>
      <c r="N1" s="246"/>
    </row>
    <row r="2" spans="1:14" x14ac:dyDescent="0.25">
      <c r="A2" s="253" t="str">
        <f>'Sch. 111 Charge Rates'!A2</f>
        <v>2024 Gas Schedule 111 Greenhouse Gas Emissions Cap and Invest Adjustment Filing</v>
      </c>
      <c r="B2" s="253"/>
      <c r="C2" s="253"/>
      <c r="D2" s="253"/>
      <c r="E2" s="253"/>
      <c r="F2" s="253"/>
      <c r="G2" s="253"/>
      <c r="H2" s="253"/>
      <c r="I2" s="253"/>
      <c r="J2" s="253"/>
      <c r="K2" s="253"/>
      <c r="L2" s="253"/>
      <c r="M2" s="253"/>
      <c r="N2" s="253"/>
    </row>
    <row r="3" spans="1:14" x14ac:dyDescent="0.25">
      <c r="A3" s="253" t="s">
        <v>56</v>
      </c>
      <c r="B3" s="253"/>
      <c r="C3" s="253"/>
      <c r="D3" s="253"/>
      <c r="E3" s="253"/>
      <c r="F3" s="253"/>
      <c r="G3" s="253"/>
      <c r="H3" s="253"/>
      <c r="I3" s="253"/>
      <c r="J3" s="253"/>
      <c r="K3" s="253"/>
      <c r="L3" s="253"/>
      <c r="M3" s="253"/>
      <c r="N3" s="253"/>
    </row>
    <row r="4" spans="1:14" x14ac:dyDescent="0.25">
      <c r="A4" s="254" t="str">
        <f>'F2023 Forecast'!A4:N4</f>
        <v>January 2024 - December 2024</v>
      </c>
      <c r="B4" s="253"/>
      <c r="C4" s="253"/>
      <c r="D4" s="253"/>
      <c r="E4" s="253"/>
      <c r="F4" s="253"/>
      <c r="G4" s="253"/>
      <c r="H4" s="253"/>
      <c r="I4" s="253"/>
      <c r="J4" s="253"/>
      <c r="K4" s="253"/>
      <c r="L4" s="253"/>
      <c r="M4" s="253"/>
      <c r="N4" s="253"/>
    </row>
    <row r="5" spans="1:14" x14ac:dyDescent="0.25">
      <c r="A5" s="40"/>
      <c r="B5" s="40"/>
      <c r="C5" s="40"/>
      <c r="D5" s="40"/>
      <c r="E5" s="40"/>
      <c r="F5" s="41"/>
      <c r="G5" s="41"/>
      <c r="H5" s="41"/>
      <c r="I5" s="41"/>
      <c r="J5" s="41"/>
      <c r="K5" s="41"/>
      <c r="L5" s="41"/>
      <c r="M5" s="41"/>
      <c r="N5" s="41"/>
    </row>
    <row r="6" spans="1:14" x14ac:dyDescent="0.25">
      <c r="A6" s="92" t="s">
        <v>101</v>
      </c>
      <c r="B6" s="40"/>
      <c r="C6" s="40"/>
      <c r="D6" s="40"/>
      <c r="E6" s="40"/>
      <c r="F6" s="41"/>
      <c r="G6" s="41"/>
      <c r="H6" s="41"/>
      <c r="I6" s="41"/>
      <c r="J6" s="41"/>
      <c r="K6" s="41"/>
      <c r="L6" s="41"/>
      <c r="M6" s="41"/>
      <c r="N6" s="41"/>
    </row>
    <row r="7" spans="1:14" x14ac:dyDescent="0.25">
      <c r="A7" s="43" t="s">
        <v>51</v>
      </c>
      <c r="B7" s="44">
        <v>45292</v>
      </c>
      <c r="C7" s="45">
        <f>EDATE(B7,1)</f>
        <v>45323</v>
      </c>
      <c r="D7" s="45">
        <f t="shared" ref="D7:F7" si="0">EDATE(C7,1)</f>
        <v>45352</v>
      </c>
      <c r="E7" s="45">
        <f t="shared" si="0"/>
        <v>45383</v>
      </c>
      <c r="F7" s="45">
        <f t="shared" si="0"/>
        <v>45413</v>
      </c>
      <c r="G7" s="45">
        <f t="shared" ref="G7" si="1">EDATE(F7,1)</f>
        <v>45444</v>
      </c>
      <c r="H7" s="45">
        <f t="shared" ref="H7" si="2">EDATE(G7,1)</f>
        <v>45474</v>
      </c>
      <c r="I7" s="45">
        <f t="shared" ref="I7" si="3">EDATE(H7,1)</f>
        <v>45505</v>
      </c>
      <c r="J7" s="45">
        <f t="shared" ref="J7" si="4">EDATE(I7,1)</f>
        <v>45536</v>
      </c>
      <c r="K7" s="45">
        <f t="shared" ref="K7" si="5">EDATE(J7,1)</f>
        <v>45566</v>
      </c>
      <c r="L7" s="45">
        <f t="shared" ref="L7" si="6">EDATE(K7,1)</f>
        <v>45597</v>
      </c>
      <c r="M7" s="45">
        <f t="shared" ref="M7" si="7">EDATE(L7,1)</f>
        <v>45627</v>
      </c>
      <c r="N7" s="46" t="s">
        <v>2</v>
      </c>
    </row>
    <row r="8" spans="1:14" x14ac:dyDescent="0.25">
      <c r="A8" s="42">
        <v>16</v>
      </c>
      <c r="B8" s="54">
        <f>'F2023 Forecast'!B26</f>
        <v>4</v>
      </c>
      <c r="C8" s="54">
        <f>'F2023 Forecast'!C26</f>
        <v>4</v>
      </c>
      <c r="D8" s="54">
        <f>'F2023 Forecast'!D26</f>
        <v>4</v>
      </c>
      <c r="E8" s="54">
        <f>'F2023 Forecast'!E26</f>
        <v>4</v>
      </c>
      <c r="F8" s="54">
        <f>'F2023 Forecast'!F26</f>
        <v>4</v>
      </c>
      <c r="G8" s="54">
        <f>'F2023 Forecast'!G26</f>
        <v>4</v>
      </c>
      <c r="H8" s="54">
        <f>'F2023 Forecast'!H26</f>
        <v>4</v>
      </c>
      <c r="I8" s="54">
        <f>'F2023 Forecast'!I26</f>
        <v>4</v>
      </c>
      <c r="J8" s="54">
        <f>'F2023 Forecast'!J26</f>
        <v>4</v>
      </c>
      <c r="K8" s="54">
        <f>'F2023 Forecast'!K26</f>
        <v>4</v>
      </c>
      <c r="L8" s="54">
        <f>'F2023 Forecast'!L26</f>
        <v>4</v>
      </c>
      <c r="M8" s="54">
        <f>'F2023 Forecast'!M26</f>
        <v>4</v>
      </c>
      <c r="N8" s="48">
        <f>SUM(B8:M8)</f>
        <v>48</v>
      </c>
    </row>
    <row r="9" spans="1:14" x14ac:dyDescent="0.25">
      <c r="A9" s="42">
        <v>23</v>
      </c>
      <c r="B9" s="54">
        <f>'F2023 Forecast'!B27</f>
        <v>818788</v>
      </c>
      <c r="C9" s="54">
        <f>'F2023 Forecast'!C27</f>
        <v>818788</v>
      </c>
      <c r="D9" s="54">
        <f>'F2023 Forecast'!D27</f>
        <v>818788</v>
      </c>
      <c r="E9" s="54">
        <f>'F2023 Forecast'!E27</f>
        <v>818788</v>
      </c>
      <c r="F9" s="54">
        <f>'F2023 Forecast'!F27</f>
        <v>818788</v>
      </c>
      <c r="G9" s="54">
        <f>'F2023 Forecast'!G27</f>
        <v>818788</v>
      </c>
      <c r="H9" s="54">
        <f>'F2023 Forecast'!H27</f>
        <v>818788</v>
      </c>
      <c r="I9" s="54">
        <f>'F2023 Forecast'!I27</f>
        <v>818788</v>
      </c>
      <c r="J9" s="54">
        <f>'F2023 Forecast'!J27</f>
        <v>818788</v>
      </c>
      <c r="K9" s="54">
        <f>'F2023 Forecast'!K27</f>
        <v>818788</v>
      </c>
      <c r="L9" s="54">
        <f>'F2023 Forecast'!L27</f>
        <v>818788</v>
      </c>
      <c r="M9" s="54">
        <f>'F2023 Forecast'!M27</f>
        <v>818788</v>
      </c>
      <c r="N9" s="48">
        <f t="shared" ref="N9:N21" si="8">SUM(B9:M9)</f>
        <v>9825456</v>
      </c>
    </row>
    <row r="10" spans="1:14" x14ac:dyDescent="0.25">
      <c r="A10" s="42">
        <v>53</v>
      </c>
      <c r="B10" s="54">
        <f>'F2023 Forecast'!B28</f>
        <v>0</v>
      </c>
      <c r="C10" s="54">
        <f>'F2023 Forecast'!C28</f>
        <v>0</v>
      </c>
      <c r="D10" s="54">
        <f>'F2023 Forecast'!D28</f>
        <v>0</v>
      </c>
      <c r="E10" s="54">
        <f>'F2023 Forecast'!E28</f>
        <v>0</v>
      </c>
      <c r="F10" s="54">
        <f>'F2023 Forecast'!F28</f>
        <v>0</v>
      </c>
      <c r="G10" s="54">
        <f>'F2023 Forecast'!G28</f>
        <v>0</v>
      </c>
      <c r="H10" s="54">
        <f>'F2023 Forecast'!H28</f>
        <v>0</v>
      </c>
      <c r="I10" s="54">
        <f>'F2023 Forecast'!I28</f>
        <v>0</v>
      </c>
      <c r="J10" s="54">
        <f>'F2023 Forecast'!J28</f>
        <v>0</v>
      </c>
      <c r="K10" s="54">
        <f>'F2023 Forecast'!K28</f>
        <v>0</v>
      </c>
      <c r="L10" s="54">
        <f>'F2023 Forecast'!L28</f>
        <v>0</v>
      </c>
      <c r="M10" s="54">
        <f>'F2023 Forecast'!M28</f>
        <v>0</v>
      </c>
      <c r="N10" s="48">
        <f t="shared" si="8"/>
        <v>0</v>
      </c>
    </row>
    <row r="11" spans="1:14" x14ac:dyDescent="0.25">
      <c r="A11" s="42">
        <v>31</v>
      </c>
      <c r="B11" s="54">
        <f>'F2023 Forecast'!B29</f>
        <v>58212</v>
      </c>
      <c r="C11" s="54">
        <f>'F2023 Forecast'!C29</f>
        <v>58237</v>
      </c>
      <c r="D11" s="54">
        <f>'F2023 Forecast'!D29</f>
        <v>58256</v>
      </c>
      <c r="E11" s="54">
        <f>'F2023 Forecast'!E29</f>
        <v>58272</v>
      </c>
      <c r="F11" s="54">
        <f>'F2023 Forecast'!F29</f>
        <v>58293</v>
      </c>
      <c r="G11" s="54">
        <f>'F2023 Forecast'!G29</f>
        <v>58309</v>
      </c>
      <c r="H11" s="54">
        <f>'F2023 Forecast'!H29</f>
        <v>58331</v>
      </c>
      <c r="I11" s="54">
        <f>'F2023 Forecast'!I29</f>
        <v>58353</v>
      </c>
      <c r="J11" s="54">
        <f>'F2023 Forecast'!J29</f>
        <v>58368</v>
      </c>
      <c r="K11" s="54">
        <f>'F2023 Forecast'!K29</f>
        <v>58387</v>
      </c>
      <c r="L11" s="54">
        <f>'F2023 Forecast'!L29</f>
        <v>58406</v>
      </c>
      <c r="M11" s="54">
        <f>'F2023 Forecast'!M29</f>
        <v>58436</v>
      </c>
      <c r="N11" s="48">
        <f t="shared" si="8"/>
        <v>699860</v>
      </c>
    </row>
    <row r="12" spans="1:14" x14ac:dyDescent="0.25">
      <c r="A12" s="42">
        <v>41</v>
      </c>
      <c r="B12" s="54">
        <f>'F2023 Forecast'!B30</f>
        <v>1249</v>
      </c>
      <c r="C12" s="54">
        <f>'F2023 Forecast'!C30</f>
        <v>1245</v>
      </c>
      <c r="D12" s="54">
        <f>'F2023 Forecast'!D30</f>
        <v>1246</v>
      </c>
      <c r="E12" s="54">
        <f>'F2023 Forecast'!E30</f>
        <v>1245</v>
      </c>
      <c r="F12" s="54">
        <f>'F2023 Forecast'!F30</f>
        <v>1242</v>
      </c>
      <c r="G12" s="54">
        <f>'F2023 Forecast'!G30</f>
        <v>1239</v>
      </c>
      <c r="H12" s="54">
        <f>'F2023 Forecast'!H30</f>
        <v>1236</v>
      </c>
      <c r="I12" s="54">
        <f>'F2023 Forecast'!I30</f>
        <v>1234</v>
      </c>
      <c r="J12" s="54">
        <f>'F2023 Forecast'!J30</f>
        <v>1237</v>
      </c>
      <c r="K12" s="54">
        <f>'F2023 Forecast'!K30</f>
        <v>1239</v>
      </c>
      <c r="L12" s="54">
        <f>'F2023 Forecast'!L30</f>
        <v>1239</v>
      </c>
      <c r="M12" s="54">
        <f>'F2023 Forecast'!M30</f>
        <v>1235</v>
      </c>
      <c r="N12" s="48">
        <f t="shared" si="8"/>
        <v>14886</v>
      </c>
    </row>
    <row r="13" spans="1:14" x14ac:dyDescent="0.25">
      <c r="A13" s="42">
        <v>85</v>
      </c>
      <c r="B13" s="54">
        <f>'F2023 Forecast'!B31</f>
        <v>35</v>
      </c>
      <c r="C13" s="54">
        <f>'F2023 Forecast'!C31</f>
        <v>35</v>
      </c>
      <c r="D13" s="54">
        <f>'F2023 Forecast'!D31</f>
        <v>35</v>
      </c>
      <c r="E13" s="54">
        <f>'F2023 Forecast'!E31</f>
        <v>35</v>
      </c>
      <c r="F13" s="54">
        <f>'F2023 Forecast'!F31</f>
        <v>35</v>
      </c>
      <c r="G13" s="54">
        <f>'F2023 Forecast'!G31</f>
        <v>35</v>
      </c>
      <c r="H13" s="54">
        <f>'F2023 Forecast'!H31</f>
        <v>35</v>
      </c>
      <c r="I13" s="54">
        <f>'F2023 Forecast'!I31</f>
        <v>35</v>
      </c>
      <c r="J13" s="54">
        <f>'F2023 Forecast'!J31</f>
        <v>35</v>
      </c>
      <c r="K13" s="54">
        <f>'F2023 Forecast'!K31</f>
        <v>35</v>
      </c>
      <c r="L13" s="54">
        <f>'F2023 Forecast'!L31</f>
        <v>35</v>
      </c>
      <c r="M13" s="54">
        <f>'F2023 Forecast'!M31</f>
        <v>35</v>
      </c>
      <c r="N13" s="48">
        <f t="shared" si="8"/>
        <v>420</v>
      </c>
    </row>
    <row r="14" spans="1:14" x14ac:dyDescent="0.25">
      <c r="A14" s="42">
        <v>86</v>
      </c>
      <c r="B14" s="54">
        <f>'F2023 Forecast'!B32</f>
        <v>102</v>
      </c>
      <c r="C14" s="54">
        <f>'F2023 Forecast'!C32</f>
        <v>101</v>
      </c>
      <c r="D14" s="54">
        <f>'F2023 Forecast'!D32</f>
        <v>101</v>
      </c>
      <c r="E14" s="54">
        <f>'F2023 Forecast'!E32</f>
        <v>101</v>
      </c>
      <c r="F14" s="54">
        <f>'F2023 Forecast'!F32</f>
        <v>100</v>
      </c>
      <c r="G14" s="54">
        <f>'F2023 Forecast'!G32</f>
        <v>100</v>
      </c>
      <c r="H14" s="54">
        <f>'F2023 Forecast'!H32</f>
        <v>100</v>
      </c>
      <c r="I14" s="54">
        <f>'F2023 Forecast'!I32</f>
        <v>99</v>
      </c>
      <c r="J14" s="54">
        <f>'F2023 Forecast'!J32</f>
        <v>99</v>
      </c>
      <c r="K14" s="54">
        <f>'F2023 Forecast'!K32</f>
        <v>99</v>
      </c>
      <c r="L14" s="54">
        <f>'F2023 Forecast'!L32</f>
        <v>98</v>
      </c>
      <c r="M14" s="54">
        <f>'F2023 Forecast'!M32</f>
        <v>98</v>
      </c>
      <c r="N14" s="48">
        <f t="shared" si="8"/>
        <v>1198</v>
      </c>
    </row>
    <row r="15" spans="1:14" x14ac:dyDescent="0.25">
      <c r="A15" s="42">
        <v>87</v>
      </c>
      <c r="B15" s="54">
        <f>'F2023 Forecast'!B33</f>
        <v>4</v>
      </c>
      <c r="C15" s="54">
        <f>'F2023 Forecast'!C33</f>
        <v>4</v>
      </c>
      <c r="D15" s="54">
        <f>'F2023 Forecast'!D33</f>
        <v>4</v>
      </c>
      <c r="E15" s="54">
        <f>'F2023 Forecast'!E33</f>
        <v>4</v>
      </c>
      <c r="F15" s="54">
        <f>'F2023 Forecast'!F33</f>
        <v>4</v>
      </c>
      <c r="G15" s="54">
        <f>'F2023 Forecast'!G33</f>
        <v>4</v>
      </c>
      <c r="H15" s="54">
        <f>'F2023 Forecast'!H33</f>
        <v>4</v>
      </c>
      <c r="I15" s="54">
        <f>'F2023 Forecast'!I33</f>
        <v>4</v>
      </c>
      <c r="J15" s="54">
        <f>'F2023 Forecast'!J33</f>
        <v>4</v>
      </c>
      <c r="K15" s="54">
        <f>'F2023 Forecast'!K33</f>
        <v>4</v>
      </c>
      <c r="L15" s="54">
        <f>'F2023 Forecast'!L33</f>
        <v>4</v>
      </c>
      <c r="M15" s="54">
        <f>'F2023 Forecast'!M33</f>
        <v>4</v>
      </c>
      <c r="N15" s="48">
        <f t="shared" si="8"/>
        <v>48</v>
      </c>
    </row>
    <row r="16" spans="1:14" x14ac:dyDescent="0.25">
      <c r="A16" s="42" t="s">
        <v>27</v>
      </c>
      <c r="B16" s="54">
        <f>'F2023 Forecast'!B34</f>
        <v>1</v>
      </c>
      <c r="C16" s="54">
        <f>'F2023 Forecast'!C34</f>
        <v>1</v>
      </c>
      <c r="D16" s="54">
        <f>'F2023 Forecast'!D34</f>
        <v>1</v>
      </c>
      <c r="E16" s="54">
        <f>'F2023 Forecast'!E34</f>
        <v>1</v>
      </c>
      <c r="F16" s="54">
        <f>'F2023 Forecast'!F34</f>
        <v>1</v>
      </c>
      <c r="G16" s="54">
        <f>'F2023 Forecast'!G34</f>
        <v>1</v>
      </c>
      <c r="H16" s="54">
        <f>'F2023 Forecast'!H34</f>
        <v>1</v>
      </c>
      <c r="I16" s="54">
        <f>'F2023 Forecast'!I34</f>
        <v>1</v>
      </c>
      <c r="J16" s="54">
        <f>'F2023 Forecast'!J34</f>
        <v>1</v>
      </c>
      <c r="K16" s="54">
        <f>'F2023 Forecast'!K34</f>
        <v>1</v>
      </c>
      <c r="L16" s="54">
        <f>'F2023 Forecast'!L34</f>
        <v>1</v>
      </c>
      <c r="M16" s="54">
        <f>'F2023 Forecast'!M34</f>
        <v>1</v>
      </c>
      <c r="N16" s="48">
        <f t="shared" si="8"/>
        <v>12</v>
      </c>
    </row>
    <row r="17" spans="1:14" x14ac:dyDescent="0.25">
      <c r="A17" s="42" t="s">
        <v>29</v>
      </c>
      <c r="B17" s="54">
        <f>'F2023 Forecast'!B35</f>
        <v>94</v>
      </c>
      <c r="C17" s="54">
        <f>'F2023 Forecast'!C35</f>
        <v>94</v>
      </c>
      <c r="D17" s="54">
        <f>'F2023 Forecast'!D35</f>
        <v>94</v>
      </c>
      <c r="E17" s="54">
        <f>'F2023 Forecast'!E35</f>
        <v>94</v>
      </c>
      <c r="F17" s="54">
        <f>'F2023 Forecast'!F35</f>
        <v>94</v>
      </c>
      <c r="G17" s="54">
        <f>'F2023 Forecast'!G35</f>
        <v>94</v>
      </c>
      <c r="H17" s="54">
        <f>'F2023 Forecast'!H35</f>
        <v>94</v>
      </c>
      <c r="I17" s="54">
        <f>'F2023 Forecast'!I35</f>
        <v>94</v>
      </c>
      <c r="J17" s="54">
        <f>'F2023 Forecast'!J35</f>
        <v>94</v>
      </c>
      <c r="K17" s="54">
        <f>'F2023 Forecast'!K35</f>
        <v>94</v>
      </c>
      <c r="L17" s="54">
        <f>'F2023 Forecast'!L35</f>
        <v>94</v>
      </c>
      <c r="M17" s="54">
        <f>'F2023 Forecast'!M35</f>
        <v>94</v>
      </c>
      <c r="N17" s="48">
        <f t="shared" si="8"/>
        <v>1128</v>
      </c>
    </row>
    <row r="18" spans="1:14" x14ac:dyDescent="0.25">
      <c r="A18" s="42" t="s">
        <v>31</v>
      </c>
      <c r="B18" s="54">
        <f>'F2023 Forecast'!B36</f>
        <v>83</v>
      </c>
      <c r="C18" s="54">
        <f>'F2023 Forecast'!C36</f>
        <v>83</v>
      </c>
      <c r="D18" s="54">
        <f>'F2023 Forecast'!D36</f>
        <v>83</v>
      </c>
      <c r="E18" s="54">
        <f>'F2023 Forecast'!E36</f>
        <v>83</v>
      </c>
      <c r="F18" s="54">
        <f>'F2023 Forecast'!F36</f>
        <v>83</v>
      </c>
      <c r="G18" s="54">
        <f>'F2023 Forecast'!G36</f>
        <v>83</v>
      </c>
      <c r="H18" s="54">
        <f>'F2023 Forecast'!H36</f>
        <v>83</v>
      </c>
      <c r="I18" s="54">
        <f>'F2023 Forecast'!I36</f>
        <v>83</v>
      </c>
      <c r="J18" s="54">
        <f>'F2023 Forecast'!J36</f>
        <v>83</v>
      </c>
      <c r="K18" s="54">
        <f>'F2023 Forecast'!K36</f>
        <v>83</v>
      </c>
      <c r="L18" s="54">
        <f>'F2023 Forecast'!L36</f>
        <v>83</v>
      </c>
      <c r="M18" s="54">
        <f>'F2023 Forecast'!M36</f>
        <v>83</v>
      </c>
      <c r="N18" s="48">
        <f t="shared" si="8"/>
        <v>996</v>
      </c>
    </row>
    <row r="19" spans="1:14" x14ac:dyDescent="0.25">
      <c r="A19" s="42" t="s">
        <v>33</v>
      </c>
      <c r="B19" s="54">
        <f>'F2023 Forecast'!B37</f>
        <v>7</v>
      </c>
      <c r="C19" s="54">
        <f>'F2023 Forecast'!C37</f>
        <v>7</v>
      </c>
      <c r="D19" s="54">
        <f>'F2023 Forecast'!D37</f>
        <v>7</v>
      </c>
      <c r="E19" s="54">
        <f>'F2023 Forecast'!E37</f>
        <v>7</v>
      </c>
      <c r="F19" s="54">
        <f>'F2023 Forecast'!F37</f>
        <v>7</v>
      </c>
      <c r="G19" s="54">
        <f>'F2023 Forecast'!G37</f>
        <v>7</v>
      </c>
      <c r="H19" s="54">
        <f>'F2023 Forecast'!H37</f>
        <v>7</v>
      </c>
      <c r="I19" s="54">
        <f>'F2023 Forecast'!I37</f>
        <v>7</v>
      </c>
      <c r="J19" s="54">
        <f>'F2023 Forecast'!J37</f>
        <v>7</v>
      </c>
      <c r="K19" s="54">
        <f>'F2023 Forecast'!K37</f>
        <v>7</v>
      </c>
      <c r="L19" s="54">
        <f>'F2023 Forecast'!L37</f>
        <v>7</v>
      </c>
      <c r="M19" s="54">
        <f>'F2023 Forecast'!M37</f>
        <v>7</v>
      </c>
      <c r="N19" s="48">
        <f t="shared" si="8"/>
        <v>84</v>
      </c>
    </row>
    <row r="20" spans="1:14" x14ac:dyDescent="0.25">
      <c r="A20" s="42" t="s">
        <v>35</v>
      </c>
      <c r="B20" s="54">
        <f>'F2023 Forecast'!B38</f>
        <v>11</v>
      </c>
      <c r="C20" s="54">
        <f>'F2023 Forecast'!C38</f>
        <v>11</v>
      </c>
      <c r="D20" s="54">
        <f>'F2023 Forecast'!D38</f>
        <v>11</v>
      </c>
      <c r="E20" s="54">
        <f>'F2023 Forecast'!E38</f>
        <v>11</v>
      </c>
      <c r="F20" s="54">
        <f>'F2023 Forecast'!F38</f>
        <v>11</v>
      </c>
      <c r="G20" s="54">
        <f>'F2023 Forecast'!G38</f>
        <v>11</v>
      </c>
      <c r="H20" s="54">
        <f>'F2023 Forecast'!H38</f>
        <v>11</v>
      </c>
      <c r="I20" s="54">
        <f>'F2023 Forecast'!I38</f>
        <v>11</v>
      </c>
      <c r="J20" s="54">
        <f>'F2023 Forecast'!J38</f>
        <v>11</v>
      </c>
      <c r="K20" s="54">
        <f>'F2023 Forecast'!K38</f>
        <v>11</v>
      </c>
      <c r="L20" s="54">
        <f>'F2023 Forecast'!L38</f>
        <v>11</v>
      </c>
      <c r="M20" s="54">
        <f>'F2023 Forecast'!M38</f>
        <v>11</v>
      </c>
      <c r="N20" s="48">
        <f t="shared" si="8"/>
        <v>132</v>
      </c>
    </row>
    <row r="21" spans="1:14" x14ac:dyDescent="0.25">
      <c r="A21" s="49" t="s">
        <v>36</v>
      </c>
      <c r="B21" s="54">
        <f>'F2023 Forecast'!B39</f>
        <v>9</v>
      </c>
      <c r="C21" s="54">
        <f>'F2023 Forecast'!C39</f>
        <v>9</v>
      </c>
      <c r="D21" s="54">
        <f>'F2023 Forecast'!D39</f>
        <v>9</v>
      </c>
      <c r="E21" s="54">
        <f>'F2023 Forecast'!E39</f>
        <v>9</v>
      </c>
      <c r="F21" s="54">
        <f>'F2023 Forecast'!F39</f>
        <v>9</v>
      </c>
      <c r="G21" s="54">
        <f>'F2023 Forecast'!G39</f>
        <v>9</v>
      </c>
      <c r="H21" s="54">
        <f>'F2023 Forecast'!H39</f>
        <v>9</v>
      </c>
      <c r="I21" s="54">
        <f>'F2023 Forecast'!I39</f>
        <v>9</v>
      </c>
      <c r="J21" s="54">
        <f>'F2023 Forecast'!J39</f>
        <v>9</v>
      </c>
      <c r="K21" s="54">
        <f>'F2023 Forecast'!K39</f>
        <v>9</v>
      </c>
      <c r="L21" s="54">
        <f>'F2023 Forecast'!L39</f>
        <v>9</v>
      </c>
      <c r="M21" s="54">
        <f>'F2023 Forecast'!M39</f>
        <v>9</v>
      </c>
      <c r="N21" s="48">
        <f t="shared" si="8"/>
        <v>108</v>
      </c>
    </row>
    <row r="22" spans="1:14" x14ac:dyDescent="0.25">
      <c r="A22" s="50" t="s">
        <v>2</v>
      </c>
      <c r="B22" s="51">
        <f>SUM(B8:B21)</f>
        <v>878599</v>
      </c>
      <c r="C22" s="51">
        <f t="shared" ref="C22:N22" si="9">SUM(C8:C21)</f>
        <v>878619</v>
      </c>
      <c r="D22" s="51">
        <f t="shared" si="9"/>
        <v>878639</v>
      </c>
      <c r="E22" s="51">
        <f t="shared" si="9"/>
        <v>878654</v>
      </c>
      <c r="F22" s="51">
        <f t="shared" si="9"/>
        <v>878671</v>
      </c>
      <c r="G22" s="51">
        <f t="shared" si="9"/>
        <v>878684</v>
      </c>
      <c r="H22" s="51">
        <f t="shared" si="9"/>
        <v>878703</v>
      </c>
      <c r="I22" s="51">
        <f t="shared" si="9"/>
        <v>878722</v>
      </c>
      <c r="J22" s="51">
        <f t="shared" si="9"/>
        <v>878740</v>
      </c>
      <c r="K22" s="51">
        <f t="shared" si="9"/>
        <v>878761</v>
      </c>
      <c r="L22" s="51">
        <f t="shared" si="9"/>
        <v>878779</v>
      </c>
      <c r="M22" s="51">
        <f t="shared" si="9"/>
        <v>878805</v>
      </c>
      <c r="N22" s="51">
        <f t="shared" si="9"/>
        <v>10544376</v>
      </c>
    </row>
    <row r="23" spans="1:14" x14ac:dyDescent="0.25">
      <c r="A23" s="50"/>
      <c r="B23" s="52"/>
      <c r="C23" s="52"/>
      <c r="D23" s="52"/>
      <c r="E23" s="52"/>
      <c r="F23" s="52"/>
      <c r="G23" s="52"/>
      <c r="H23" s="52"/>
      <c r="I23" s="52"/>
      <c r="J23" s="52"/>
      <c r="K23" s="52"/>
      <c r="L23" s="52"/>
      <c r="M23" s="52"/>
      <c r="N23" s="52"/>
    </row>
    <row r="24" spans="1:14" ht="17.25" x14ac:dyDescent="0.25">
      <c r="A24" s="53" t="s">
        <v>88</v>
      </c>
    </row>
    <row r="25" spans="1:14" x14ac:dyDescent="0.25">
      <c r="A25" s="43" t="s">
        <v>51</v>
      </c>
      <c r="B25" s="45">
        <f>B7</f>
        <v>45292</v>
      </c>
      <c r="C25" s="45">
        <f t="shared" ref="C25:M25" si="10">C7</f>
        <v>45323</v>
      </c>
      <c r="D25" s="45">
        <f t="shared" si="10"/>
        <v>45352</v>
      </c>
      <c r="E25" s="45">
        <f t="shared" si="10"/>
        <v>45383</v>
      </c>
      <c r="F25" s="45">
        <f t="shared" si="10"/>
        <v>45413</v>
      </c>
      <c r="G25" s="45">
        <f t="shared" si="10"/>
        <v>45444</v>
      </c>
      <c r="H25" s="45">
        <f t="shared" si="10"/>
        <v>45474</v>
      </c>
      <c r="I25" s="45">
        <f t="shared" si="10"/>
        <v>45505</v>
      </c>
      <c r="J25" s="45">
        <f t="shared" si="10"/>
        <v>45536</v>
      </c>
      <c r="K25" s="45">
        <f t="shared" si="10"/>
        <v>45566</v>
      </c>
      <c r="L25" s="45">
        <f t="shared" si="10"/>
        <v>45597</v>
      </c>
      <c r="M25" s="45">
        <f t="shared" si="10"/>
        <v>45627</v>
      </c>
      <c r="N25" s="46" t="s">
        <v>2</v>
      </c>
    </row>
    <row r="26" spans="1:14" x14ac:dyDescent="0.25">
      <c r="A26" s="42">
        <v>16</v>
      </c>
      <c r="B26" s="47">
        <v>0</v>
      </c>
      <c r="C26" s="47">
        <v>0</v>
      </c>
      <c r="D26" s="47">
        <v>0</v>
      </c>
      <c r="E26" s="47">
        <v>0</v>
      </c>
      <c r="F26" s="47">
        <v>0</v>
      </c>
      <c r="G26" s="47">
        <v>0</v>
      </c>
      <c r="H26" s="47">
        <v>0</v>
      </c>
      <c r="I26" s="47">
        <v>0</v>
      </c>
      <c r="J26" s="47">
        <v>0</v>
      </c>
      <c r="K26" s="47">
        <v>0</v>
      </c>
      <c r="L26" s="47">
        <v>0</v>
      </c>
      <c r="M26" s="47">
        <v>0</v>
      </c>
      <c r="N26" s="48">
        <f>SUM(B26:M26)</f>
        <v>0</v>
      </c>
    </row>
    <row r="27" spans="1:14" x14ac:dyDescent="0.25">
      <c r="A27" s="42">
        <v>23</v>
      </c>
      <c r="B27" s="47">
        <v>0</v>
      </c>
      <c r="C27" s="47">
        <v>0</v>
      </c>
      <c r="D27" s="47">
        <v>0</v>
      </c>
      <c r="E27" s="47">
        <v>0</v>
      </c>
      <c r="F27" s="47">
        <v>0</v>
      </c>
      <c r="G27" s="47">
        <v>0</v>
      </c>
      <c r="H27" s="47">
        <v>0</v>
      </c>
      <c r="I27" s="47">
        <v>0</v>
      </c>
      <c r="J27" s="47">
        <v>0</v>
      </c>
      <c r="K27" s="47">
        <v>0</v>
      </c>
      <c r="L27" s="47">
        <v>0</v>
      </c>
      <c r="M27" s="47">
        <v>0</v>
      </c>
      <c r="N27" s="48">
        <f t="shared" ref="N27:N39" si="11">SUM(B27:M27)</f>
        <v>0</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x14ac:dyDescent="0.25">
      <c r="A29" s="42">
        <v>31</v>
      </c>
      <c r="B29" s="47">
        <v>4</v>
      </c>
      <c r="C29" s="47">
        <v>4</v>
      </c>
      <c r="D29" s="47">
        <v>4</v>
      </c>
      <c r="E29" s="47">
        <v>4</v>
      </c>
      <c r="F29" s="47">
        <v>4</v>
      </c>
      <c r="G29" s="47">
        <v>4</v>
      </c>
      <c r="H29" s="47">
        <v>4</v>
      </c>
      <c r="I29" s="47">
        <v>4</v>
      </c>
      <c r="J29" s="47">
        <v>4</v>
      </c>
      <c r="K29" s="47">
        <v>4</v>
      </c>
      <c r="L29" s="47">
        <v>4</v>
      </c>
      <c r="M29" s="47">
        <v>4</v>
      </c>
      <c r="N29" s="48">
        <f>SUM(B29:M29)</f>
        <v>48</v>
      </c>
    </row>
    <row r="30" spans="1:14" x14ac:dyDescent="0.25">
      <c r="A30" s="42">
        <v>41</v>
      </c>
      <c r="B30" s="47">
        <v>2</v>
      </c>
      <c r="C30" s="47">
        <v>2</v>
      </c>
      <c r="D30" s="47">
        <v>2</v>
      </c>
      <c r="E30" s="47">
        <v>2</v>
      </c>
      <c r="F30" s="47">
        <v>2</v>
      </c>
      <c r="G30" s="47">
        <v>2</v>
      </c>
      <c r="H30" s="47">
        <v>2</v>
      </c>
      <c r="I30" s="47">
        <v>2</v>
      </c>
      <c r="J30" s="47">
        <v>2</v>
      </c>
      <c r="K30" s="47">
        <v>2</v>
      </c>
      <c r="L30" s="47">
        <v>2</v>
      </c>
      <c r="M30" s="47">
        <v>2</v>
      </c>
      <c r="N30" s="48">
        <f t="shared" si="11"/>
        <v>24</v>
      </c>
    </row>
    <row r="31" spans="1:14" x14ac:dyDescent="0.25">
      <c r="A31" s="42">
        <v>85</v>
      </c>
      <c r="B31" s="47">
        <v>0</v>
      </c>
      <c r="C31" s="47">
        <v>0</v>
      </c>
      <c r="D31" s="47">
        <v>0</v>
      </c>
      <c r="E31" s="47">
        <v>0</v>
      </c>
      <c r="F31" s="47">
        <v>0</v>
      </c>
      <c r="G31" s="47">
        <v>0</v>
      </c>
      <c r="H31" s="47">
        <v>0</v>
      </c>
      <c r="I31" s="47">
        <v>0</v>
      </c>
      <c r="J31" s="47">
        <v>0</v>
      </c>
      <c r="K31" s="47">
        <v>0</v>
      </c>
      <c r="L31" s="47">
        <v>0</v>
      </c>
      <c r="M31" s="47">
        <v>0</v>
      </c>
      <c r="N31" s="48">
        <f t="shared" si="11"/>
        <v>0</v>
      </c>
    </row>
    <row r="32" spans="1:14" x14ac:dyDescent="0.25">
      <c r="A32" s="42">
        <v>86</v>
      </c>
      <c r="B32" s="47">
        <v>0</v>
      </c>
      <c r="C32" s="47">
        <v>0</v>
      </c>
      <c r="D32" s="47">
        <v>0</v>
      </c>
      <c r="E32" s="47">
        <v>0</v>
      </c>
      <c r="F32" s="47">
        <v>0</v>
      </c>
      <c r="G32" s="47">
        <v>0</v>
      </c>
      <c r="H32" s="47">
        <v>0</v>
      </c>
      <c r="I32" s="47">
        <v>0</v>
      </c>
      <c r="J32" s="47">
        <v>0</v>
      </c>
      <c r="K32" s="47">
        <v>0</v>
      </c>
      <c r="L32" s="47">
        <v>0</v>
      </c>
      <c r="M32" s="47">
        <v>0</v>
      </c>
      <c r="N32" s="48">
        <f t="shared" si="11"/>
        <v>0</v>
      </c>
    </row>
    <row r="33" spans="1:14" x14ac:dyDescent="0.25">
      <c r="A33" s="42">
        <v>87</v>
      </c>
      <c r="B33" s="47">
        <v>1</v>
      </c>
      <c r="C33" s="47">
        <v>1</v>
      </c>
      <c r="D33" s="47">
        <v>1</v>
      </c>
      <c r="E33" s="47">
        <v>1</v>
      </c>
      <c r="F33" s="47">
        <v>1</v>
      </c>
      <c r="G33" s="47">
        <v>1</v>
      </c>
      <c r="H33" s="47">
        <v>1</v>
      </c>
      <c r="I33" s="47">
        <v>1</v>
      </c>
      <c r="J33" s="47">
        <v>1</v>
      </c>
      <c r="K33" s="47">
        <v>1</v>
      </c>
      <c r="L33" s="47">
        <v>1</v>
      </c>
      <c r="M33" s="47">
        <v>1</v>
      </c>
      <c r="N33" s="48">
        <f t="shared" si="11"/>
        <v>12</v>
      </c>
    </row>
    <row r="34" spans="1:14" x14ac:dyDescent="0.25">
      <c r="A34" s="42" t="s">
        <v>27</v>
      </c>
      <c r="B34" s="47">
        <v>0</v>
      </c>
      <c r="C34" s="47">
        <v>0</v>
      </c>
      <c r="D34" s="47">
        <v>0</v>
      </c>
      <c r="E34" s="47">
        <v>0</v>
      </c>
      <c r="F34" s="47">
        <v>0</v>
      </c>
      <c r="G34" s="47">
        <v>0</v>
      </c>
      <c r="H34" s="47">
        <v>0</v>
      </c>
      <c r="I34" s="47">
        <v>0</v>
      </c>
      <c r="J34" s="47">
        <v>0</v>
      </c>
      <c r="K34" s="47">
        <v>0</v>
      </c>
      <c r="L34" s="47">
        <v>0</v>
      </c>
      <c r="M34" s="47">
        <v>0</v>
      </c>
      <c r="N34" s="48">
        <f>SUM(B34:M34)</f>
        <v>0</v>
      </c>
    </row>
    <row r="35" spans="1:14" x14ac:dyDescent="0.25">
      <c r="A35" s="42" t="s">
        <v>29</v>
      </c>
      <c r="B35" s="47">
        <v>0</v>
      </c>
      <c r="C35" s="47">
        <v>0</v>
      </c>
      <c r="D35" s="47">
        <v>0</v>
      </c>
      <c r="E35" s="47">
        <v>0</v>
      </c>
      <c r="F35" s="47">
        <v>0</v>
      </c>
      <c r="G35" s="47">
        <v>0</v>
      </c>
      <c r="H35" s="47">
        <v>0</v>
      </c>
      <c r="I35" s="47">
        <v>0</v>
      </c>
      <c r="J35" s="47">
        <v>0</v>
      </c>
      <c r="K35" s="47">
        <v>0</v>
      </c>
      <c r="L35" s="47">
        <v>0</v>
      </c>
      <c r="M35" s="47">
        <v>0</v>
      </c>
      <c r="N35" s="48">
        <f t="shared" si="11"/>
        <v>0</v>
      </c>
    </row>
    <row r="36" spans="1:14" x14ac:dyDescent="0.25">
      <c r="A36" s="42" t="s">
        <v>31</v>
      </c>
      <c r="B36" s="47">
        <v>1</v>
      </c>
      <c r="C36" s="47">
        <v>1</v>
      </c>
      <c r="D36" s="47">
        <v>1</v>
      </c>
      <c r="E36" s="47">
        <v>1</v>
      </c>
      <c r="F36" s="47">
        <v>1</v>
      </c>
      <c r="G36" s="47">
        <v>1</v>
      </c>
      <c r="H36" s="47">
        <v>1</v>
      </c>
      <c r="I36" s="47">
        <v>1</v>
      </c>
      <c r="J36" s="47">
        <v>1</v>
      </c>
      <c r="K36" s="47">
        <v>1</v>
      </c>
      <c r="L36" s="47">
        <v>1</v>
      </c>
      <c r="M36" s="47">
        <v>1</v>
      </c>
      <c r="N36" s="48">
        <f t="shared" si="11"/>
        <v>12</v>
      </c>
    </row>
    <row r="37" spans="1:14" x14ac:dyDescent="0.25">
      <c r="A37" s="42" t="s">
        <v>33</v>
      </c>
      <c r="B37" s="47">
        <v>0</v>
      </c>
      <c r="C37" s="47">
        <v>0</v>
      </c>
      <c r="D37" s="47">
        <v>0</v>
      </c>
      <c r="E37" s="47">
        <v>0</v>
      </c>
      <c r="F37" s="47">
        <v>0</v>
      </c>
      <c r="G37" s="47">
        <v>0</v>
      </c>
      <c r="H37" s="47">
        <v>0</v>
      </c>
      <c r="I37" s="47">
        <v>0</v>
      </c>
      <c r="J37" s="47">
        <v>0</v>
      </c>
      <c r="K37" s="47">
        <v>0</v>
      </c>
      <c r="L37" s="47">
        <v>0</v>
      </c>
      <c r="M37" s="47">
        <v>0</v>
      </c>
      <c r="N37" s="48">
        <f t="shared" si="11"/>
        <v>0</v>
      </c>
    </row>
    <row r="38" spans="1:14" x14ac:dyDescent="0.25">
      <c r="A38" s="42" t="s">
        <v>35</v>
      </c>
      <c r="B38" s="47">
        <v>7</v>
      </c>
      <c r="C38" s="47">
        <v>7</v>
      </c>
      <c r="D38" s="47">
        <v>7</v>
      </c>
      <c r="E38" s="47">
        <v>7</v>
      </c>
      <c r="F38" s="47">
        <v>7</v>
      </c>
      <c r="G38" s="47">
        <v>7</v>
      </c>
      <c r="H38" s="47">
        <v>7</v>
      </c>
      <c r="I38" s="47">
        <v>7</v>
      </c>
      <c r="J38" s="47">
        <v>7</v>
      </c>
      <c r="K38" s="47">
        <v>7</v>
      </c>
      <c r="L38" s="47">
        <v>7</v>
      </c>
      <c r="M38" s="47">
        <v>7</v>
      </c>
      <c r="N38" s="48">
        <f t="shared" si="11"/>
        <v>84</v>
      </c>
    </row>
    <row r="39" spans="1:14" x14ac:dyDescent="0.25">
      <c r="A39" s="49" t="s">
        <v>36</v>
      </c>
      <c r="B39" s="47">
        <v>2</v>
      </c>
      <c r="C39" s="47">
        <v>2</v>
      </c>
      <c r="D39" s="47">
        <v>2</v>
      </c>
      <c r="E39" s="47">
        <v>2</v>
      </c>
      <c r="F39" s="47">
        <v>2</v>
      </c>
      <c r="G39" s="47">
        <v>2</v>
      </c>
      <c r="H39" s="47">
        <v>2</v>
      </c>
      <c r="I39" s="47">
        <v>2</v>
      </c>
      <c r="J39" s="47">
        <v>2</v>
      </c>
      <c r="K39" s="47">
        <v>2</v>
      </c>
      <c r="L39" s="47">
        <v>2</v>
      </c>
      <c r="M39" s="47">
        <v>2</v>
      </c>
      <c r="N39" s="48">
        <f t="shared" si="11"/>
        <v>24</v>
      </c>
    </row>
    <row r="40" spans="1:14" x14ac:dyDescent="0.25">
      <c r="A40" s="50" t="s">
        <v>2</v>
      </c>
      <c r="B40" s="51">
        <f>SUM(B26:B39)</f>
        <v>17</v>
      </c>
      <c r="C40" s="51">
        <f t="shared" ref="C40:N40" si="12">SUM(C26:C39)</f>
        <v>17</v>
      </c>
      <c r="D40" s="51">
        <f t="shared" si="12"/>
        <v>17</v>
      </c>
      <c r="E40" s="51">
        <f t="shared" si="12"/>
        <v>17</v>
      </c>
      <c r="F40" s="51">
        <f t="shared" si="12"/>
        <v>17</v>
      </c>
      <c r="G40" s="51">
        <f t="shared" si="12"/>
        <v>17</v>
      </c>
      <c r="H40" s="51">
        <f t="shared" si="12"/>
        <v>17</v>
      </c>
      <c r="I40" s="51">
        <f t="shared" si="12"/>
        <v>17</v>
      </c>
      <c r="J40" s="51">
        <f t="shared" si="12"/>
        <v>17</v>
      </c>
      <c r="K40" s="51">
        <f t="shared" si="12"/>
        <v>17</v>
      </c>
      <c r="L40" s="51">
        <f t="shared" si="12"/>
        <v>17</v>
      </c>
      <c r="M40" s="51">
        <f t="shared" si="12"/>
        <v>17</v>
      </c>
      <c r="N40" s="51">
        <f t="shared" si="12"/>
        <v>204</v>
      </c>
    </row>
    <row r="42" spans="1:14" ht="17.25" x14ac:dyDescent="0.25">
      <c r="A42" s="53" t="s">
        <v>81</v>
      </c>
    </row>
    <row r="43" spans="1:14" x14ac:dyDescent="0.25">
      <c r="A43" s="43" t="s">
        <v>51</v>
      </c>
      <c r="B43" s="45">
        <f>B7</f>
        <v>45292</v>
      </c>
      <c r="C43" s="45">
        <f t="shared" ref="C43:M43" si="13">C7</f>
        <v>45323</v>
      </c>
      <c r="D43" s="45">
        <f t="shared" si="13"/>
        <v>45352</v>
      </c>
      <c r="E43" s="45">
        <f t="shared" si="13"/>
        <v>45383</v>
      </c>
      <c r="F43" s="45">
        <f t="shared" si="13"/>
        <v>45413</v>
      </c>
      <c r="G43" s="45">
        <f t="shared" si="13"/>
        <v>45444</v>
      </c>
      <c r="H43" s="45">
        <f t="shared" si="13"/>
        <v>45474</v>
      </c>
      <c r="I43" s="45">
        <f t="shared" si="13"/>
        <v>45505</v>
      </c>
      <c r="J43" s="45">
        <f t="shared" si="13"/>
        <v>45536</v>
      </c>
      <c r="K43" s="45">
        <f t="shared" si="13"/>
        <v>45566</v>
      </c>
      <c r="L43" s="45">
        <f t="shared" si="13"/>
        <v>45597</v>
      </c>
      <c r="M43" s="45">
        <f t="shared" si="13"/>
        <v>45627</v>
      </c>
      <c r="N43" s="46" t="s">
        <v>2</v>
      </c>
    </row>
    <row r="44" spans="1:14" x14ac:dyDescent="0.25">
      <c r="A44" s="42">
        <v>16</v>
      </c>
      <c r="B44" s="47">
        <v>0</v>
      </c>
      <c r="C44" s="47">
        <v>0</v>
      </c>
      <c r="D44" s="47">
        <v>0</v>
      </c>
      <c r="E44" s="47">
        <v>0</v>
      </c>
      <c r="F44" s="47">
        <v>0</v>
      </c>
      <c r="G44" s="47">
        <v>0</v>
      </c>
      <c r="H44" s="47">
        <v>0</v>
      </c>
      <c r="I44" s="47">
        <v>0</v>
      </c>
      <c r="J44" s="47">
        <v>0</v>
      </c>
      <c r="K44" s="47">
        <v>0</v>
      </c>
      <c r="L44" s="47">
        <v>0</v>
      </c>
      <c r="M44" s="47">
        <v>0</v>
      </c>
      <c r="N44" s="48">
        <f>SUM(B44:M44)</f>
        <v>0</v>
      </c>
    </row>
    <row r="45" spans="1:14" x14ac:dyDescent="0.25">
      <c r="A45" s="42">
        <v>23</v>
      </c>
      <c r="B45" s="47">
        <v>0</v>
      </c>
      <c r="C45" s="47">
        <v>0</v>
      </c>
      <c r="D45" s="47">
        <v>0</v>
      </c>
      <c r="E45" s="47">
        <v>0</v>
      </c>
      <c r="F45" s="47">
        <v>0</v>
      </c>
      <c r="G45" s="47">
        <v>0</v>
      </c>
      <c r="H45" s="47">
        <v>0</v>
      </c>
      <c r="I45" s="47">
        <v>0</v>
      </c>
      <c r="J45" s="47">
        <v>0</v>
      </c>
      <c r="K45" s="47">
        <v>0</v>
      </c>
      <c r="L45" s="47">
        <v>0</v>
      </c>
      <c r="M45" s="47">
        <v>0</v>
      </c>
      <c r="N45" s="48">
        <f t="shared" ref="N45:N57" si="14">SUM(B45:M45)</f>
        <v>0</v>
      </c>
    </row>
    <row r="46" spans="1:14" x14ac:dyDescent="0.25">
      <c r="A46" s="42">
        <v>53</v>
      </c>
      <c r="B46" s="47">
        <v>0</v>
      </c>
      <c r="C46" s="47">
        <v>0</v>
      </c>
      <c r="D46" s="47">
        <v>0</v>
      </c>
      <c r="E46" s="47">
        <v>0</v>
      </c>
      <c r="F46" s="47">
        <v>0</v>
      </c>
      <c r="G46" s="47">
        <v>0</v>
      </c>
      <c r="H46" s="47">
        <v>0</v>
      </c>
      <c r="I46" s="47">
        <v>0</v>
      </c>
      <c r="J46" s="47">
        <v>0</v>
      </c>
      <c r="K46" s="47">
        <v>0</v>
      </c>
      <c r="L46" s="47">
        <v>0</v>
      </c>
      <c r="M46" s="47">
        <v>0</v>
      </c>
      <c r="N46" s="48">
        <f t="shared" si="14"/>
        <v>0</v>
      </c>
    </row>
    <row r="47" spans="1:14" x14ac:dyDescent="0.25">
      <c r="A47" s="42">
        <v>31</v>
      </c>
      <c r="B47" s="47">
        <v>491</v>
      </c>
      <c r="C47" s="47">
        <v>491</v>
      </c>
      <c r="D47" s="47">
        <v>491</v>
      </c>
      <c r="E47" s="47">
        <v>491</v>
      </c>
      <c r="F47" s="47">
        <v>491</v>
      </c>
      <c r="G47" s="47">
        <v>491</v>
      </c>
      <c r="H47" s="47">
        <v>491</v>
      </c>
      <c r="I47" s="47">
        <v>491</v>
      </c>
      <c r="J47" s="47">
        <v>491</v>
      </c>
      <c r="K47" s="47">
        <v>491</v>
      </c>
      <c r="L47" s="47">
        <v>491</v>
      </c>
      <c r="M47" s="47">
        <v>491</v>
      </c>
      <c r="N47" s="48">
        <f t="shared" si="14"/>
        <v>5892</v>
      </c>
    </row>
    <row r="48" spans="1:14" x14ac:dyDescent="0.25">
      <c r="A48" s="42">
        <v>41</v>
      </c>
      <c r="B48" s="47">
        <v>0</v>
      </c>
      <c r="C48" s="47">
        <v>0</v>
      </c>
      <c r="D48" s="47">
        <v>0</v>
      </c>
      <c r="E48" s="47">
        <v>0</v>
      </c>
      <c r="F48" s="47">
        <v>0</v>
      </c>
      <c r="G48" s="47">
        <v>0</v>
      </c>
      <c r="H48" s="47">
        <v>0</v>
      </c>
      <c r="I48" s="47">
        <v>0</v>
      </c>
      <c r="J48" s="47">
        <v>0</v>
      </c>
      <c r="K48" s="47">
        <v>0</v>
      </c>
      <c r="L48" s="47">
        <v>0</v>
      </c>
      <c r="M48" s="47">
        <v>0</v>
      </c>
      <c r="N48" s="48">
        <f t="shared" si="14"/>
        <v>0</v>
      </c>
    </row>
    <row r="49" spans="1:14" x14ac:dyDescent="0.25">
      <c r="A49" s="42">
        <v>85</v>
      </c>
      <c r="B49" s="47">
        <v>1</v>
      </c>
      <c r="C49" s="47">
        <v>1</v>
      </c>
      <c r="D49" s="47">
        <v>1</v>
      </c>
      <c r="E49" s="47">
        <v>1</v>
      </c>
      <c r="F49" s="47">
        <v>1</v>
      </c>
      <c r="G49" s="47">
        <v>1</v>
      </c>
      <c r="H49" s="47">
        <v>1</v>
      </c>
      <c r="I49" s="47">
        <v>1</v>
      </c>
      <c r="J49" s="47">
        <v>1</v>
      </c>
      <c r="K49" s="47">
        <v>1</v>
      </c>
      <c r="L49" s="47">
        <v>1</v>
      </c>
      <c r="M49" s="47">
        <v>1</v>
      </c>
      <c r="N49" s="48">
        <f t="shared" si="14"/>
        <v>12</v>
      </c>
    </row>
    <row r="50" spans="1:14" x14ac:dyDescent="0.25">
      <c r="A50" s="42">
        <v>86</v>
      </c>
      <c r="B50" s="47">
        <v>0</v>
      </c>
      <c r="C50" s="47">
        <v>0</v>
      </c>
      <c r="D50" s="47">
        <v>0</v>
      </c>
      <c r="E50" s="47">
        <v>0</v>
      </c>
      <c r="F50" s="47">
        <v>0</v>
      </c>
      <c r="G50" s="47">
        <v>0</v>
      </c>
      <c r="H50" s="47">
        <v>0</v>
      </c>
      <c r="I50" s="47">
        <v>0</v>
      </c>
      <c r="J50" s="47">
        <v>0</v>
      </c>
      <c r="K50" s="47">
        <v>0</v>
      </c>
      <c r="L50" s="47">
        <v>0</v>
      </c>
      <c r="M50" s="47">
        <v>0</v>
      </c>
      <c r="N50" s="48">
        <f t="shared" si="14"/>
        <v>0</v>
      </c>
    </row>
    <row r="51" spans="1:14" x14ac:dyDescent="0.25">
      <c r="A51" s="42">
        <v>87</v>
      </c>
      <c r="B51" s="47">
        <v>2</v>
      </c>
      <c r="C51" s="47">
        <v>2</v>
      </c>
      <c r="D51" s="47">
        <v>2</v>
      </c>
      <c r="E51" s="47">
        <v>2</v>
      </c>
      <c r="F51" s="47">
        <v>2</v>
      </c>
      <c r="G51" s="47">
        <v>2</v>
      </c>
      <c r="H51" s="47">
        <v>2</v>
      </c>
      <c r="I51" s="47">
        <v>2</v>
      </c>
      <c r="J51" s="47">
        <v>2</v>
      </c>
      <c r="K51" s="47">
        <v>2</v>
      </c>
      <c r="L51" s="47">
        <v>2</v>
      </c>
      <c r="M51" s="47">
        <v>2</v>
      </c>
      <c r="N51" s="48">
        <f t="shared" si="14"/>
        <v>24</v>
      </c>
    </row>
    <row r="52" spans="1:14" x14ac:dyDescent="0.25">
      <c r="A52" s="42" t="s">
        <v>27</v>
      </c>
      <c r="B52" s="47">
        <v>0</v>
      </c>
      <c r="C52" s="47">
        <v>0</v>
      </c>
      <c r="D52" s="47">
        <v>0</v>
      </c>
      <c r="E52" s="47">
        <v>0</v>
      </c>
      <c r="F52" s="47">
        <v>0</v>
      </c>
      <c r="G52" s="47">
        <v>0</v>
      </c>
      <c r="H52" s="47">
        <v>0</v>
      </c>
      <c r="I52" s="47">
        <v>0</v>
      </c>
      <c r="J52" s="47">
        <v>0</v>
      </c>
      <c r="K52" s="47">
        <v>0</v>
      </c>
      <c r="L52" s="47">
        <v>0</v>
      </c>
      <c r="M52" s="47">
        <v>0</v>
      </c>
      <c r="N52" s="48">
        <f t="shared" si="14"/>
        <v>0</v>
      </c>
    </row>
    <row r="53" spans="1:14" x14ac:dyDescent="0.25">
      <c r="A53" s="42" t="s">
        <v>29</v>
      </c>
      <c r="B53" s="47">
        <v>0</v>
      </c>
      <c r="C53" s="47">
        <v>0</v>
      </c>
      <c r="D53" s="47">
        <v>0</v>
      </c>
      <c r="E53" s="47">
        <v>0</v>
      </c>
      <c r="F53" s="47">
        <v>0</v>
      </c>
      <c r="G53" s="47">
        <v>0</v>
      </c>
      <c r="H53" s="47">
        <v>0</v>
      </c>
      <c r="I53" s="47">
        <v>0</v>
      </c>
      <c r="J53" s="47">
        <v>0</v>
      </c>
      <c r="K53" s="47">
        <v>0</v>
      </c>
      <c r="L53" s="47">
        <v>0</v>
      </c>
      <c r="M53" s="47">
        <v>0</v>
      </c>
      <c r="N53" s="48">
        <f t="shared" si="14"/>
        <v>0</v>
      </c>
    </row>
    <row r="54" spans="1:14" x14ac:dyDescent="0.25">
      <c r="A54" s="42" t="s">
        <v>31</v>
      </c>
      <c r="B54" s="47">
        <v>0</v>
      </c>
      <c r="C54" s="47">
        <v>0</v>
      </c>
      <c r="D54" s="47">
        <v>0</v>
      </c>
      <c r="E54" s="47">
        <v>0</v>
      </c>
      <c r="F54" s="47">
        <v>0</v>
      </c>
      <c r="G54" s="47">
        <v>0</v>
      </c>
      <c r="H54" s="47">
        <v>0</v>
      </c>
      <c r="I54" s="47">
        <v>0</v>
      </c>
      <c r="J54" s="47">
        <v>0</v>
      </c>
      <c r="K54" s="47">
        <v>0</v>
      </c>
      <c r="L54" s="47">
        <v>0</v>
      </c>
      <c r="M54" s="47">
        <v>0</v>
      </c>
      <c r="N54" s="48">
        <f t="shared" si="14"/>
        <v>0</v>
      </c>
    </row>
    <row r="55" spans="1:14" x14ac:dyDescent="0.25">
      <c r="A55" s="42" t="s">
        <v>33</v>
      </c>
      <c r="B55" s="47">
        <v>0</v>
      </c>
      <c r="C55" s="47">
        <v>0</v>
      </c>
      <c r="D55" s="47">
        <v>0</v>
      </c>
      <c r="E55" s="47">
        <v>0</v>
      </c>
      <c r="F55" s="47">
        <v>0</v>
      </c>
      <c r="G55" s="47">
        <v>0</v>
      </c>
      <c r="H55" s="47">
        <v>0</v>
      </c>
      <c r="I55" s="47">
        <v>0</v>
      </c>
      <c r="J55" s="47">
        <v>0</v>
      </c>
      <c r="K55" s="47">
        <v>0</v>
      </c>
      <c r="L55" s="47">
        <v>0</v>
      </c>
      <c r="M55" s="47">
        <v>0</v>
      </c>
      <c r="N55" s="48">
        <f t="shared" si="14"/>
        <v>0</v>
      </c>
    </row>
    <row r="56" spans="1:14" x14ac:dyDescent="0.25">
      <c r="A56" s="42" t="s">
        <v>35</v>
      </c>
      <c r="B56" s="47">
        <v>0</v>
      </c>
      <c r="C56" s="47">
        <v>0</v>
      </c>
      <c r="D56" s="47">
        <v>0</v>
      </c>
      <c r="E56" s="47">
        <v>0</v>
      </c>
      <c r="F56" s="47">
        <v>0</v>
      </c>
      <c r="G56" s="47">
        <v>0</v>
      </c>
      <c r="H56" s="47">
        <v>0</v>
      </c>
      <c r="I56" s="47">
        <v>0</v>
      </c>
      <c r="J56" s="47">
        <v>0</v>
      </c>
      <c r="K56" s="47">
        <v>0</v>
      </c>
      <c r="L56" s="47">
        <v>0</v>
      </c>
      <c r="M56" s="47">
        <v>0</v>
      </c>
      <c r="N56" s="48">
        <f t="shared" si="14"/>
        <v>0</v>
      </c>
    </row>
    <row r="57" spans="1:14" x14ac:dyDescent="0.25">
      <c r="A57" s="49" t="s">
        <v>36</v>
      </c>
      <c r="B57" s="47">
        <v>0</v>
      </c>
      <c r="C57" s="47">
        <v>0</v>
      </c>
      <c r="D57" s="47">
        <v>0</v>
      </c>
      <c r="E57" s="47">
        <v>0</v>
      </c>
      <c r="F57" s="47">
        <v>0</v>
      </c>
      <c r="G57" s="47">
        <v>0</v>
      </c>
      <c r="H57" s="47">
        <v>0</v>
      </c>
      <c r="I57" s="47">
        <v>0</v>
      </c>
      <c r="J57" s="47">
        <v>0</v>
      </c>
      <c r="K57" s="47">
        <v>0</v>
      </c>
      <c r="L57" s="47">
        <v>0</v>
      </c>
      <c r="M57" s="47">
        <v>0</v>
      </c>
      <c r="N57" s="48">
        <f t="shared" si="14"/>
        <v>0</v>
      </c>
    </row>
    <row r="58" spans="1:14" x14ac:dyDescent="0.25">
      <c r="A58" s="50" t="s">
        <v>2</v>
      </c>
      <c r="B58" s="51">
        <f>SUM(B44:B57)</f>
        <v>494</v>
      </c>
      <c r="C58" s="51">
        <f t="shared" ref="C58:N58" si="15">SUM(C44:C57)</f>
        <v>494</v>
      </c>
      <c r="D58" s="51">
        <f t="shared" si="15"/>
        <v>494</v>
      </c>
      <c r="E58" s="51">
        <f t="shared" si="15"/>
        <v>494</v>
      </c>
      <c r="F58" s="51">
        <f t="shared" si="15"/>
        <v>494</v>
      </c>
      <c r="G58" s="51">
        <f t="shared" si="15"/>
        <v>494</v>
      </c>
      <c r="H58" s="51">
        <f t="shared" si="15"/>
        <v>494</v>
      </c>
      <c r="I58" s="51">
        <f t="shared" si="15"/>
        <v>494</v>
      </c>
      <c r="J58" s="51">
        <f t="shared" si="15"/>
        <v>494</v>
      </c>
      <c r="K58" s="51">
        <f t="shared" si="15"/>
        <v>494</v>
      </c>
      <c r="L58" s="51">
        <f t="shared" si="15"/>
        <v>494</v>
      </c>
      <c r="M58" s="51">
        <f t="shared" si="15"/>
        <v>494</v>
      </c>
      <c r="N58" s="51">
        <f t="shared" si="15"/>
        <v>5928</v>
      </c>
    </row>
    <row r="60" spans="1:14" ht="17.25" x14ac:dyDescent="0.25">
      <c r="A60" s="53" t="s">
        <v>82</v>
      </c>
    </row>
    <row r="61" spans="1:14" x14ac:dyDescent="0.25">
      <c r="A61" s="43" t="s">
        <v>51</v>
      </c>
      <c r="B61" s="45">
        <f>B7</f>
        <v>45292</v>
      </c>
      <c r="C61" s="45">
        <f t="shared" ref="C61:M61" si="16">C7</f>
        <v>45323</v>
      </c>
      <c r="D61" s="45">
        <f t="shared" si="16"/>
        <v>45352</v>
      </c>
      <c r="E61" s="45">
        <f t="shared" si="16"/>
        <v>45383</v>
      </c>
      <c r="F61" s="45">
        <f t="shared" si="16"/>
        <v>45413</v>
      </c>
      <c r="G61" s="45">
        <f t="shared" si="16"/>
        <v>45444</v>
      </c>
      <c r="H61" s="45">
        <f t="shared" si="16"/>
        <v>45474</v>
      </c>
      <c r="I61" s="45">
        <f t="shared" si="16"/>
        <v>45505</v>
      </c>
      <c r="J61" s="45">
        <f t="shared" si="16"/>
        <v>45536</v>
      </c>
      <c r="K61" s="45">
        <f t="shared" si="16"/>
        <v>45566</v>
      </c>
      <c r="L61" s="45">
        <f t="shared" si="16"/>
        <v>45597</v>
      </c>
      <c r="M61" s="45">
        <f t="shared" si="16"/>
        <v>45627</v>
      </c>
      <c r="N61" s="46" t="s">
        <v>2</v>
      </c>
    </row>
    <row r="62" spans="1:14" x14ac:dyDescent="0.25">
      <c r="A62" s="42">
        <v>16</v>
      </c>
      <c r="B62" s="47">
        <v>0</v>
      </c>
      <c r="C62" s="47">
        <v>0</v>
      </c>
      <c r="D62" s="47">
        <v>0</v>
      </c>
      <c r="E62" s="47">
        <v>0</v>
      </c>
      <c r="F62" s="47">
        <v>0</v>
      </c>
      <c r="G62" s="47">
        <v>0</v>
      </c>
      <c r="H62" s="47">
        <v>0</v>
      </c>
      <c r="I62" s="47">
        <v>0</v>
      </c>
      <c r="J62" s="47">
        <v>0</v>
      </c>
      <c r="K62" s="47">
        <v>0</v>
      </c>
      <c r="L62" s="47">
        <v>0</v>
      </c>
      <c r="M62" s="47">
        <v>0</v>
      </c>
      <c r="N62" s="48">
        <f>SUM(B62:M62)</f>
        <v>0</v>
      </c>
    </row>
    <row r="63" spans="1:14" x14ac:dyDescent="0.25">
      <c r="A63" s="42">
        <v>23</v>
      </c>
      <c r="B63" s="47">
        <v>0</v>
      </c>
      <c r="C63" s="47">
        <v>0</v>
      </c>
      <c r="D63" s="47">
        <v>0</v>
      </c>
      <c r="E63" s="47">
        <v>0</v>
      </c>
      <c r="F63" s="47">
        <v>0</v>
      </c>
      <c r="G63" s="47">
        <v>0</v>
      </c>
      <c r="H63" s="47">
        <v>0</v>
      </c>
      <c r="I63" s="47">
        <v>0</v>
      </c>
      <c r="J63" s="47">
        <v>0</v>
      </c>
      <c r="K63" s="47">
        <v>0</v>
      </c>
      <c r="L63" s="47">
        <v>0</v>
      </c>
      <c r="M63" s="47">
        <v>0</v>
      </c>
      <c r="N63" s="48">
        <f t="shared" ref="N63:N75" si="17">SUM(B63:M63)</f>
        <v>0</v>
      </c>
    </row>
    <row r="64" spans="1:14" x14ac:dyDescent="0.25">
      <c r="A64" s="42">
        <v>53</v>
      </c>
      <c r="B64" s="47">
        <v>0</v>
      </c>
      <c r="C64" s="47">
        <v>0</v>
      </c>
      <c r="D64" s="47">
        <v>0</v>
      </c>
      <c r="E64" s="47">
        <v>0</v>
      </c>
      <c r="F64" s="47">
        <v>0</v>
      </c>
      <c r="G64" s="47">
        <v>0</v>
      </c>
      <c r="H64" s="47">
        <v>0</v>
      </c>
      <c r="I64" s="47">
        <v>0</v>
      </c>
      <c r="J64" s="47">
        <v>0</v>
      </c>
      <c r="K64" s="47">
        <v>0</v>
      </c>
      <c r="L64" s="47">
        <v>0</v>
      </c>
      <c r="M64" s="47">
        <v>0</v>
      </c>
      <c r="N64" s="48">
        <f t="shared" si="17"/>
        <v>0</v>
      </c>
    </row>
    <row r="65" spans="1:14" x14ac:dyDescent="0.25">
      <c r="A65" s="42">
        <v>31</v>
      </c>
      <c r="B65" s="47">
        <v>0</v>
      </c>
      <c r="C65" s="47">
        <v>0</v>
      </c>
      <c r="D65" s="47">
        <v>0</v>
      </c>
      <c r="E65" s="47">
        <v>0</v>
      </c>
      <c r="F65" s="47">
        <v>0</v>
      </c>
      <c r="G65" s="47">
        <v>0</v>
      </c>
      <c r="H65" s="47">
        <v>0</v>
      </c>
      <c r="I65" s="47">
        <v>0</v>
      </c>
      <c r="J65" s="47">
        <v>0</v>
      </c>
      <c r="K65" s="47">
        <v>0</v>
      </c>
      <c r="L65" s="47">
        <v>0</v>
      </c>
      <c r="M65" s="47">
        <v>0</v>
      </c>
      <c r="N65" s="48">
        <f t="shared" si="17"/>
        <v>0</v>
      </c>
    </row>
    <row r="66" spans="1:14" x14ac:dyDescent="0.25">
      <c r="A66" s="42">
        <v>41</v>
      </c>
      <c r="B66" s="47">
        <v>0</v>
      </c>
      <c r="C66" s="47">
        <v>0</v>
      </c>
      <c r="D66" s="47">
        <v>0</v>
      </c>
      <c r="E66" s="47">
        <v>0</v>
      </c>
      <c r="F66" s="47">
        <v>0</v>
      </c>
      <c r="G66" s="47">
        <v>0</v>
      </c>
      <c r="H66" s="47">
        <v>0</v>
      </c>
      <c r="I66" s="47">
        <v>0</v>
      </c>
      <c r="J66" s="47">
        <v>0</v>
      </c>
      <c r="K66" s="47">
        <v>0</v>
      </c>
      <c r="L66" s="47">
        <v>0</v>
      </c>
      <c r="M66" s="47">
        <v>0</v>
      </c>
      <c r="N66" s="48">
        <f t="shared" si="17"/>
        <v>0</v>
      </c>
    </row>
    <row r="67" spans="1:14" x14ac:dyDescent="0.25">
      <c r="A67" s="42">
        <v>85</v>
      </c>
      <c r="B67" s="47">
        <v>0</v>
      </c>
      <c r="C67" s="47">
        <v>0</v>
      </c>
      <c r="D67" s="47">
        <v>0</v>
      </c>
      <c r="E67" s="47">
        <v>0</v>
      </c>
      <c r="F67" s="47">
        <v>0</v>
      </c>
      <c r="G67" s="47">
        <v>0</v>
      </c>
      <c r="H67" s="47">
        <v>0</v>
      </c>
      <c r="I67" s="47">
        <v>0</v>
      </c>
      <c r="J67" s="47">
        <v>0</v>
      </c>
      <c r="K67" s="47">
        <v>0</v>
      </c>
      <c r="L67" s="47">
        <v>0</v>
      </c>
      <c r="M67" s="47">
        <v>0</v>
      </c>
      <c r="N67" s="48">
        <f t="shared" si="17"/>
        <v>0</v>
      </c>
    </row>
    <row r="68" spans="1:14" x14ac:dyDescent="0.25">
      <c r="A68" s="42">
        <v>86</v>
      </c>
      <c r="B68" s="47">
        <v>0</v>
      </c>
      <c r="C68" s="47">
        <v>0</v>
      </c>
      <c r="D68" s="47">
        <v>0</v>
      </c>
      <c r="E68" s="47">
        <v>0</v>
      </c>
      <c r="F68" s="47">
        <v>0</v>
      </c>
      <c r="G68" s="47">
        <v>0</v>
      </c>
      <c r="H68" s="47">
        <v>0</v>
      </c>
      <c r="I68" s="47">
        <v>0</v>
      </c>
      <c r="J68" s="47">
        <v>0</v>
      </c>
      <c r="K68" s="47">
        <v>0</v>
      </c>
      <c r="L68" s="47">
        <v>0</v>
      </c>
      <c r="M68" s="47">
        <v>0</v>
      </c>
      <c r="N68" s="48">
        <f t="shared" si="17"/>
        <v>0</v>
      </c>
    </row>
    <row r="69" spans="1:14" x14ac:dyDescent="0.25">
      <c r="A69" s="42">
        <v>87</v>
      </c>
      <c r="B69" s="47">
        <v>0</v>
      </c>
      <c r="C69" s="47">
        <v>0</v>
      </c>
      <c r="D69" s="47">
        <v>0</v>
      </c>
      <c r="E69" s="47">
        <v>0</v>
      </c>
      <c r="F69" s="47">
        <v>0</v>
      </c>
      <c r="G69" s="47">
        <v>0</v>
      </c>
      <c r="H69" s="47">
        <v>0</v>
      </c>
      <c r="I69" s="47">
        <v>0</v>
      </c>
      <c r="J69" s="47">
        <v>0</v>
      </c>
      <c r="K69" s="47">
        <v>0</v>
      </c>
      <c r="L69" s="47">
        <v>0</v>
      </c>
      <c r="M69" s="47">
        <v>0</v>
      </c>
      <c r="N69" s="48">
        <f t="shared" si="17"/>
        <v>0</v>
      </c>
    </row>
    <row r="70" spans="1:14" x14ac:dyDescent="0.25">
      <c r="A70" s="42" t="s">
        <v>27</v>
      </c>
      <c r="B70" s="47">
        <v>0</v>
      </c>
      <c r="C70" s="47">
        <v>0</v>
      </c>
      <c r="D70" s="47">
        <v>0</v>
      </c>
      <c r="E70" s="47">
        <v>0</v>
      </c>
      <c r="F70" s="47">
        <v>0</v>
      </c>
      <c r="G70" s="47">
        <v>0</v>
      </c>
      <c r="H70" s="47">
        <v>0</v>
      </c>
      <c r="I70" s="47">
        <v>0</v>
      </c>
      <c r="J70" s="47">
        <v>0</v>
      </c>
      <c r="K70" s="47">
        <v>0</v>
      </c>
      <c r="L70" s="47">
        <v>0</v>
      </c>
      <c r="M70" s="47">
        <v>0</v>
      </c>
      <c r="N70" s="48">
        <f t="shared" si="17"/>
        <v>0</v>
      </c>
    </row>
    <row r="71" spans="1:14" x14ac:dyDescent="0.25">
      <c r="A71" s="42" t="s">
        <v>29</v>
      </c>
      <c r="B71" s="47">
        <v>0</v>
      </c>
      <c r="C71" s="47">
        <v>0</v>
      </c>
      <c r="D71" s="47">
        <v>0</v>
      </c>
      <c r="E71" s="47">
        <v>0</v>
      </c>
      <c r="F71" s="47">
        <v>0</v>
      </c>
      <c r="G71" s="47">
        <v>0</v>
      </c>
      <c r="H71" s="47">
        <v>0</v>
      </c>
      <c r="I71" s="47">
        <v>0</v>
      </c>
      <c r="J71" s="47">
        <v>0</v>
      </c>
      <c r="K71" s="47">
        <v>0</v>
      </c>
      <c r="L71" s="47">
        <v>0</v>
      </c>
      <c r="M71" s="47">
        <v>0</v>
      </c>
      <c r="N71" s="48">
        <f t="shared" si="17"/>
        <v>0</v>
      </c>
    </row>
    <row r="72" spans="1:14" x14ac:dyDescent="0.25">
      <c r="A72" s="42" t="s">
        <v>31</v>
      </c>
      <c r="B72" s="47">
        <v>0</v>
      </c>
      <c r="C72" s="47">
        <v>0</v>
      </c>
      <c r="D72" s="47">
        <v>0</v>
      </c>
      <c r="E72" s="47">
        <v>0</v>
      </c>
      <c r="F72" s="47">
        <v>0</v>
      </c>
      <c r="G72" s="47">
        <v>0</v>
      </c>
      <c r="H72" s="47">
        <v>0</v>
      </c>
      <c r="I72" s="47">
        <v>0</v>
      </c>
      <c r="J72" s="47">
        <v>0</v>
      </c>
      <c r="K72" s="47">
        <v>0</v>
      </c>
      <c r="L72" s="47">
        <v>0</v>
      </c>
      <c r="M72" s="47">
        <v>0</v>
      </c>
      <c r="N72" s="48">
        <f t="shared" si="17"/>
        <v>0</v>
      </c>
    </row>
    <row r="73" spans="1:14" x14ac:dyDescent="0.25">
      <c r="A73" s="42" t="s">
        <v>33</v>
      </c>
      <c r="B73" s="47">
        <v>0</v>
      </c>
      <c r="C73" s="47">
        <v>0</v>
      </c>
      <c r="D73" s="47">
        <v>0</v>
      </c>
      <c r="E73" s="47">
        <v>0</v>
      </c>
      <c r="F73" s="47">
        <v>0</v>
      </c>
      <c r="G73" s="47">
        <v>0</v>
      </c>
      <c r="H73" s="47">
        <v>0</v>
      </c>
      <c r="I73" s="47">
        <v>0</v>
      </c>
      <c r="J73" s="47">
        <v>0</v>
      </c>
      <c r="K73" s="47">
        <v>0</v>
      </c>
      <c r="L73" s="47">
        <v>0</v>
      </c>
      <c r="M73" s="47">
        <v>0</v>
      </c>
      <c r="N73" s="48">
        <f t="shared" si="17"/>
        <v>0</v>
      </c>
    </row>
    <row r="74" spans="1:14" x14ac:dyDescent="0.25">
      <c r="A74" s="42" t="s">
        <v>35</v>
      </c>
      <c r="B74" s="47">
        <v>0</v>
      </c>
      <c r="C74" s="47">
        <v>0</v>
      </c>
      <c r="D74" s="47">
        <v>0</v>
      </c>
      <c r="E74" s="47">
        <v>0</v>
      </c>
      <c r="F74" s="47">
        <v>0</v>
      </c>
      <c r="G74" s="47">
        <v>0</v>
      </c>
      <c r="H74" s="47">
        <v>0</v>
      </c>
      <c r="I74" s="47">
        <v>0</v>
      </c>
      <c r="J74" s="47">
        <v>0</v>
      </c>
      <c r="K74" s="47">
        <v>0</v>
      </c>
      <c r="L74" s="47">
        <v>0</v>
      </c>
      <c r="M74" s="47">
        <v>0</v>
      </c>
      <c r="N74" s="48">
        <f t="shared" si="17"/>
        <v>0</v>
      </c>
    </row>
    <row r="75" spans="1:14" x14ac:dyDescent="0.25">
      <c r="A75" s="49" t="s">
        <v>36</v>
      </c>
      <c r="B75" s="47">
        <v>0</v>
      </c>
      <c r="C75" s="47">
        <v>0</v>
      </c>
      <c r="D75" s="47">
        <v>0</v>
      </c>
      <c r="E75" s="47">
        <v>0</v>
      </c>
      <c r="F75" s="47">
        <v>0</v>
      </c>
      <c r="G75" s="47">
        <v>0</v>
      </c>
      <c r="H75" s="47">
        <v>0</v>
      </c>
      <c r="I75" s="47">
        <v>0</v>
      </c>
      <c r="J75" s="47">
        <v>0</v>
      </c>
      <c r="K75" s="47">
        <v>0</v>
      </c>
      <c r="L75" s="47">
        <v>0</v>
      </c>
      <c r="M75" s="47">
        <v>0</v>
      </c>
      <c r="N75" s="48">
        <f t="shared" si="17"/>
        <v>0</v>
      </c>
    </row>
    <row r="76" spans="1:14" x14ac:dyDescent="0.25">
      <c r="A76" s="50" t="s">
        <v>2</v>
      </c>
      <c r="B76" s="51">
        <f>SUM(B62:B75)</f>
        <v>0</v>
      </c>
      <c r="C76" s="51">
        <f t="shared" ref="C76:N76" si="18">SUM(C62:C75)</f>
        <v>0</v>
      </c>
      <c r="D76" s="51">
        <f t="shared" si="18"/>
        <v>0</v>
      </c>
      <c r="E76" s="51">
        <f t="shared" si="18"/>
        <v>0</v>
      </c>
      <c r="F76" s="51">
        <f t="shared" si="18"/>
        <v>0</v>
      </c>
      <c r="G76" s="51">
        <f t="shared" si="18"/>
        <v>0</v>
      </c>
      <c r="H76" s="51">
        <f t="shared" si="18"/>
        <v>0</v>
      </c>
      <c r="I76" s="51">
        <f t="shared" si="18"/>
        <v>0</v>
      </c>
      <c r="J76" s="51">
        <f t="shared" si="18"/>
        <v>0</v>
      </c>
      <c r="K76" s="51">
        <f t="shared" si="18"/>
        <v>0</v>
      </c>
      <c r="L76" s="51">
        <f t="shared" si="18"/>
        <v>0</v>
      </c>
      <c r="M76" s="51">
        <f t="shared" si="18"/>
        <v>0</v>
      </c>
      <c r="N76" s="51">
        <f t="shared" si="18"/>
        <v>0</v>
      </c>
    </row>
    <row r="78" spans="1:14" ht="17.25" x14ac:dyDescent="0.25">
      <c r="A78" s="53" t="s">
        <v>83</v>
      </c>
    </row>
    <row r="79" spans="1:14" x14ac:dyDescent="0.25">
      <c r="A79" s="43" t="s">
        <v>51</v>
      </c>
      <c r="B79" s="45">
        <f>B25</f>
        <v>45292</v>
      </c>
      <c r="C79" s="45">
        <f t="shared" ref="C79:M79" si="19">C25</f>
        <v>45323</v>
      </c>
      <c r="D79" s="45">
        <f t="shared" si="19"/>
        <v>45352</v>
      </c>
      <c r="E79" s="45">
        <f t="shared" si="19"/>
        <v>45383</v>
      </c>
      <c r="F79" s="45">
        <f t="shared" si="19"/>
        <v>45413</v>
      </c>
      <c r="G79" s="45">
        <f t="shared" si="19"/>
        <v>45444</v>
      </c>
      <c r="H79" s="45">
        <f t="shared" si="19"/>
        <v>45474</v>
      </c>
      <c r="I79" s="45">
        <f t="shared" si="19"/>
        <v>45505</v>
      </c>
      <c r="J79" s="45">
        <f t="shared" si="19"/>
        <v>45536</v>
      </c>
      <c r="K79" s="45">
        <f t="shared" si="19"/>
        <v>45566</v>
      </c>
      <c r="L79" s="45">
        <f t="shared" si="19"/>
        <v>45597</v>
      </c>
      <c r="M79" s="45">
        <f t="shared" si="19"/>
        <v>45627</v>
      </c>
      <c r="N79" s="46" t="s">
        <v>2</v>
      </c>
    </row>
    <row r="80" spans="1:14" x14ac:dyDescent="0.25">
      <c r="A80" s="42">
        <v>16</v>
      </c>
      <c r="B80" s="54">
        <f>'Low Income Forecast'!B26</f>
        <v>0</v>
      </c>
      <c r="C80" s="54">
        <f>'Low Income Forecast'!C26</f>
        <v>0</v>
      </c>
      <c r="D80" s="54">
        <f>'Low Income Forecast'!D26</f>
        <v>0</v>
      </c>
      <c r="E80" s="54">
        <f>'Low Income Forecast'!E26</f>
        <v>0</v>
      </c>
      <c r="F80" s="54">
        <f>'Low Income Forecast'!F26</f>
        <v>0</v>
      </c>
      <c r="G80" s="54">
        <f>'Low Income Forecast'!G26</f>
        <v>0</v>
      </c>
      <c r="H80" s="54">
        <f>'Low Income Forecast'!H26</f>
        <v>0</v>
      </c>
      <c r="I80" s="54">
        <f>'Low Income Forecast'!I26</f>
        <v>0</v>
      </c>
      <c r="J80" s="54">
        <f>'Low Income Forecast'!J26</f>
        <v>0</v>
      </c>
      <c r="K80" s="54">
        <f>'Low Income Forecast'!K26</f>
        <v>0</v>
      </c>
      <c r="L80" s="54">
        <f>'Low Income Forecast'!L26</f>
        <v>0</v>
      </c>
      <c r="M80" s="54">
        <f>'Low Income Forecast'!M26</f>
        <v>0</v>
      </c>
      <c r="N80" s="48">
        <f>SUM(B80:M80)</f>
        <v>0</v>
      </c>
    </row>
    <row r="81" spans="1:14" x14ac:dyDescent="0.25">
      <c r="A81" s="42">
        <v>23</v>
      </c>
      <c r="B81" s="54">
        <f>'Low Income Forecast'!B27</f>
        <v>70594.711359037858</v>
      </c>
      <c r="C81" s="54">
        <f>'Low Income Forecast'!C27</f>
        <v>71183.000620363164</v>
      </c>
      <c r="D81" s="54">
        <f>'Low Income Forecast'!D27</f>
        <v>71776.192292199514</v>
      </c>
      <c r="E81" s="54">
        <f>'Low Income Forecast'!E27</f>
        <v>72374.327227967849</v>
      </c>
      <c r="F81" s="54">
        <f>'Low Income Forecast'!F27</f>
        <v>72977.44662153424</v>
      </c>
      <c r="G81" s="54">
        <f>'Low Income Forecast'!G27</f>
        <v>73585.592010047025</v>
      </c>
      <c r="H81" s="54">
        <f>'Low Income Forecast'!H27</f>
        <v>74198.8052767974</v>
      </c>
      <c r="I81" s="54">
        <f>'Low Income Forecast'!I27</f>
        <v>74817.128654104046</v>
      </c>
      <c r="J81" s="54">
        <f>'Low Income Forecast'!J27</f>
        <v>75440.604726221587</v>
      </c>
      <c r="K81" s="54">
        <f>'Low Income Forecast'!K27</f>
        <v>76069.276432273415</v>
      </c>
      <c r="L81" s="54">
        <f>'Low Income Forecast'!L27</f>
        <v>76069.276432273415</v>
      </c>
      <c r="M81" s="54">
        <f>'Low Income Forecast'!M27</f>
        <v>76069.276432273415</v>
      </c>
      <c r="N81" s="48">
        <f t="shared" ref="N81:N93" si="20">SUM(B81:M81)</f>
        <v>885155.63808509312</v>
      </c>
    </row>
    <row r="82" spans="1:14" x14ac:dyDescent="0.25">
      <c r="A82" s="42">
        <v>53</v>
      </c>
      <c r="B82" s="54">
        <f>'Low Income Forecast'!B28</f>
        <v>0</v>
      </c>
      <c r="C82" s="54">
        <f>'Low Income Forecast'!C28</f>
        <v>0</v>
      </c>
      <c r="D82" s="54">
        <f>'Low Income Forecast'!D28</f>
        <v>0</v>
      </c>
      <c r="E82" s="54">
        <f>'Low Income Forecast'!E28</f>
        <v>0</v>
      </c>
      <c r="F82" s="54">
        <f>'Low Income Forecast'!F28</f>
        <v>0</v>
      </c>
      <c r="G82" s="54">
        <f>'Low Income Forecast'!G28</f>
        <v>0</v>
      </c>
      <c r="H82" s="54">
        <f>'Low Income Forecast'!H28</f>
        <v>0</v>
      </c>
      <c r="I82" s="54">
        <f>'Low Income Forecast'!I28</f>
        <v>0</v>
      </c>
      <c r="J82" s="54">
        <f>'Low Income Forecast'!J28</f>
        <v>0</v>
      </c>
      <c r="K82" s="54">
        <f>'Low Income Forecast'!K28</f>
        <v>0</v>
      </c>
      <c r="L82" s="54">
        <f>'Low Income Forecast'!L28</f>
        <v>0</v>
      </c>
      <c r="M82" s="54">
        <f>'Low Income Forecast'!M28</f>
        <v>0</v>
      </c>
      <c r="N82" s="48">
        <f t="shared" si="20"/>
        <v>0</v>
      </c>
    </row>
    <row r="83" spans="1:14" x14ac:dyDescent="0.25">
      <c r="A83" s="42">
        <v>31</v>
      </c>
      <c r="B83" s="54">
        <f>'Low Income Forecast'!B29</f>
        <v>0</v>
      </c>
      <c r="C83" s="54">
        <f>'Low Income Forecast'!C29</f>
        <v>0</v>
      </c>
      <c r="D83" s="54">
        <f>'Low Income Forecast'!D29</f>
        <v>0</v>
      </c>
      <c r="E83" s="54">
        <f>'Low Income Forecast'!E29</f>
        <v>0</v>
      </c>
      <c r="F83" s="54">
        <f>'Low Income Forecast'!F29</f>
        <v>0</v>
      </c>
      <c r="G83" s="54">
        <f>'Low Income Forecast'!G29</f>
        <v>0</v>
      </c>
      <c r="H83" s="54">
        <f>'Low Income Forecast'!H29</f>
        <v>0</v>
      </c>
      <c r="I83" s="54">
        <f>'Low Income Forecast'!I29</f>
        <v>0</v>
      </c>
      <c r="J83" s="54">
        <f>'Low Income Forecast'!J29</f>
        <v>0</v>
      </c>
      <c r="K83" s="54">
        <f>'Low Income Forecast'!K29</f>
        <v>0</v>
      </c>
      <c r="L83" s="54">
        <f>'Low Income Forecast'!L29</f>
        <v>0</v>
      </c>
      <c r="M83" s="54">
        <f>'Low Income Forecast'!M29</f>
        <v>0</v>
      </c>
      <c r="N83" s="48">
        <f t="shared" si="20"/>
        <v>0</v>
      </c>
    </row>
    <row r="84" spans="1:14" x14ac:dyDescent="0.25">
      <c r="A84" s="42">
        <v>41</v>
      </c>
      <c r="B84" s="54">
        <f>'Low Income Forecast'!B30</f>
        <v>0</v>
      </c>
      <c r="C84" s="54">
        <f>'Low Income Forecast'!C30</f>
        <v>0</v>
      </c>
      <c r="D84" s="54">
        <f>'Low Income Forecast'!D30</f>
        <v>0</v>
      </c>
      <c r="E84" s="54">
        <f>'Low Income Forecast'!E30</f>
        <v>0</v>
      </c>
      <c r="F84" s="54">
        <f>'Low Income Forecast'!F30</f>
        <v>0</v>
      </c>
      <c r="G84" s="54">
        <f>'Low Income Forecast'!G30</f>
        <v>0</v>
      </c>
      <c r="H84" s="54">
        <f>'Low Income Forecast'!H30</f>
        <v>0</v>
      </c>
      <c r="I84" s="54">
        <f>'Low Income Forecast'!I30</f>
        <v>0</v>
      </c>
      <c r="J84" s="54">
        <f>'Low Income Forecast'!J30</f>
        <v>0</v>
      </c>
      <c r="K84" s="54">
        <f>'Low Income Forecast'!K30</f>
        <v>0</v>
      </c>
      <c r="L84" s="54">
        <f>'Low Income Forecast'!L30</f>
        <v>0</v>
      </c>
      <c r="M84" s="54">
        <f>'Low Income Forecast'!M30</f>
        <v>0</v>
      </c>
      <c r="N84" s="48">
        <f t="shared" si="20"/>
        <v>0</v>
      </c>
    </row>
    <row r="85" spans="1:14" x14ac:dyDescent="0.25">
      <c r="A85" s="42">
        <v>85</v>
      </c>
      <c r="B85" s="54">
        <f>'Low Income Forecast'!B31</f>
        <v>0</v>
      </c>
      <c r="C85" s="54">
        <f>'Low Income Forecast'!C31</f>
        <v>0</v>
      </c>
      <c r="D85" s="54">
        <f>'Low Income Forecast'!D31</f>
        <v>0</v>
      </c>
      <c r="E85" s="54">
        <f>'Low Income Forecast'!E31</f>
        <v>0</v>
      </c>
      <c r="F85" s="54">
        <f>'Low Income Forecast'!F31</f>
        <v>0</v>
      </c>
      <c r="G85" s="54">
        <f>'Low Income Forecast'!G31</f>
        <v>0</v>
      </c>
      <c r="H85" s="54">
        <f>'Low Income Forecast'!H31</f>
        <v>0</v>
      </c>
      <c r="I85" s="54">
        <f>'Low Income Forecast'!I31</f>
        <v>0</v>
      </c>
      <c r="J85" s="54">
        <f>'Low Income Forecast'!J31</f>
        <v>0</v>
      </c>
      <c r="K85" s="54">
        <f>'Low Income Forecast'!K31</f>
        <v>0</v>
      </c>
      <c r="L85" s="54">
        <f>'Low Income Forecast'!L31</f>
        <v>0</v>
      </c>
      <c r="M85" s="54">
        <f>'Low Income Forecast'!M31</f>
        <v>0</v>
      </c>
      <c r="N85" s="48">
        <f t="shared" si="20"/>
        <v>0</v>
      </c>
    </row>
    <row r="86" spans="1:14" x14ac:dyDescent="0.25">
      <c r="A86" s="42">
        <v>86</v>
      </c>
      <c r="B86" s="54">
        <f>'Low Income Forecast'!B32</f>
        <v>0</v>
      </c>
      <c r="C86" s="54">
        <f>'Low Income Forecast'!C32</f>
        <v>0</v>
      </c>
      <c r="D86" s="54">
        <f>'Low Income Forecast'!D32</f>
        <v>0</v>
      </c>
      <c r="E86" s="54">
        <f>'Low Income Forecast'!E32</f>
        <v>0</v>
      </c>
      <c r="F86" s="54">
        <f>'Low Income Forecast'!F32</f>
        <v>0</v>
      </c>
      <c r="G86" s="54">
        <f>'Low Income Forecast'!G32</f>
        <v>0</v>
      </c>
      <c r="H86" s="54">
        <f>'Low Income Forecast'!H32</f>
        <v>0</v>
      </c>
      <c r="I86" s="54">
        <f>'Low Income Forecast'!I32</f>
        <v>0</v>
      </c>
      <c r="J86" s="54">
        <f>'Low Income Forecast'!J32</f>
        <v>0</v>
      </c>
      <c r="K86" s="54">
        <f>'Low Income Forecast'!K32</f>
        <v>0</v>
      </c>
      <c r="L86" s="54">
        <f>'Low Income Forecast'!L32</f>
        <v>0</v>
      </c>
      <c r="M86" s="54">
        <f>'Low Income Forecast'!M32</f>
        <v>0</v>
      </c>
      <c r="N86" s="48">
        <f t="shared" si="20"/>
        <v>0</v>
      </c>
    </row>
    <row r="87" spans="1:14" x14ac:dyDescent="0.25">
      <c r="A87" s="42">
        <v>87</v>
      </c>
      <c r="B87" s="54">
        <f>'Low Income Forecast'!B33</f>
        <v>0</v>
      </c>
      <c r="C87" s="54">
        <f>'Low Income Forecast'!C33</f>
        <v>0</v>
      </c>
      <c r="D87" s="54">
        <f>'Low Income Forecast'!D33</f>
        <v>0</v>
      </c>
      <c r="E87" s="54">
        <f>'Low Income Forecast'!E33</f>
        <v>0</v>
      </c>
      <c r="F87" s="54">
        <f>'Low Income Forecast'!F33</f>
        <v>0</v>
      </c>
      <c r="G87" s="54">
        <f>'Low Income Forecast'!G33</f>
        <v>0</v>
      </c>
      <c r="H87" s="54">
        <f>'Low Income Forecast'!H33</f>
        <v>0</v>
      </c>
      <c r="I87" s="54">
        <f>'Low Income Forecast'!I33</f>
        <v>0</v>
      </c>
      <c r="J87" s="54">
        <f>'Low Income Forecast'!J33</f>
        <v>0</v>
      </c>
      <c r="K87" s="54">
        <f>'Low Income Forecast'!K33</f>
        <v>0</v>
      </c>
      <c r="L87" s="54">
        <f>'Low Income Forecast'!L33</f>
        <v>0</v>
      </c>
      <c r="M87" s="54">
        <f>'Low Income Forecast'!M33</f>
        <v>0</v>
      </c>
      <c r="N87" s="48">
        <f t="shared" si="20"/>
        <v>0</v>
      </c>
    </row>
    <row r="88" spans="1:14" x14ac:dyDescent="0.25">
      <c r="A88" s="42" t="s">
        <v>27</v>
      </c>
      <c r="B88" s="54">
        <f>'Low Income Forecast'!B34</f>
        <v>0</v>
      </c>
      <c r="C88" s="54">
        <f>'Low Income Forecast'!C34</f>
        <v>0</v>
      </c>
      <c r="D88" s="54">
        <f>'Low Income Forecast'!D34</f>
        <v>0</v>
      </c>
      <c r="E88" s="54">
        <f>'Low Income Forecast'!E34</f>
        <v>0</v>
      </c>
      <c r="F88" s="54">
        <f>'Low Income Forecast'!F34</f>
        <v>0</v>
      </c>
      <c r="G88" s="54">
        <f>'Low Income Forecast'!G34</f>
        <v>0</v>
      </c>
      <c r="H88" s="54">
        <f>'Low Income Forecast'!H34</f>
        <v>0</v>
      </c>
      <c r="I88" s="54">
        <f>'Low Income Forecast'!I34</f>
        <v>0</v>
      </c>
      <c r="J88" s="54">
        <f>'Low Income Forecast'!J34</f>
        <v>0</v>
      </c>
      <c r="K88" s="54">
        <f>'Low Income Forecast'!K34</f>
        <v>0</v>
      </c>
      <c r="L88" s="54">
        <f>'Low Income Forecast'!L34</f>
        <v>0</v>
      </c>
      <c r="M88" s="54">
        <f>'Low Income Forecast'!M34</f>
        <v>0</v>
      </c>
      <c r="N88" s="48">
        <f t="shared" si="20"/>
        <v>0</v>
      </c>
    </row>
    <row r="89" spans="1:14" x14ac:dyDescent="0.25">
      <c r="A89" s="42" t="s">
        <v>29</v>
      </c>
      <c r="B89" s="54">
        <f>'Low Income Forecast'!B35</f>
        <v>0</v>
      </c>
      <c r="C89" s="54">
        <f>'Low Income Forecast'!C35</f>
        <v>0</v>
      </c>
      <c r="D89" s="54">
        <f>'Low Income Forecast'!D35</f>
        <v>0</v>
      </c>
      <c r="E89" s="54">
        <f>'Low Income Forecast'!E35</f>
        <v>0</v>
      </c>
      <c r="F89" s="54">
        <f>'Low Income Forecast'!F35</f>
        <v>0</v>
      </c>
      <c r="G89" s="54">
        <f>'Low Income Forecast'!G35</f>
        <v>0</v>
      </c>
      <c r="H89" s="54">
        <f>'Low Income Forecast'!H35</f>
        <v>0</v>
      </c>
      <c r="I89" s="54">
        <f>'Low Income Forecast'!I35</f>
        <v>0</v>
      </c>
      <c r="J89" s="54">
        <f>'Low Income Forecast'!J35</f>
        <v>0</v>
      </c>
      <c r="K89" s="54">
        <f>'Low Income Forecast'!K35</f>
        <v>0</v>
      </c>
      <c r="L89" s="54">
        <f>'Low Income Forecast'!L35</f>
        <v>0</v>
      </c>
      <c r="M89" s="54">
        <f>'Low Income Forecast'!M35</f>
        <v>0</v>
      </c>
      <c r="N89" s="48">
        <f t="shared" si="20"/>
        <v>0</v>
      </c>
    </row>
    <row r="90" spans="1:14" x14ac:dyDescent="0.25">
      <c r="A90" s="42" t="s">
        <v>31</v>
      </c>
      <c r="B90" s="54">
        <f>'Low Income Forecast'!B36</f>
        <v>0</v>
      </c>
      <c r="C90" s="54">
        <f>'Low Income Forecast'!C36</f>
        <v>0</v>
      </c>
      <c r="D90" s="54">
        <f>'Low Income Forecast'!D36</f>
        <v>0</v>
      </c>
      <c r="E90" s="54">
        <f>'Low Income Forecast'!E36</f>
        <v>0</v>
      </c>
      <c r="F90" s="54">
        <f>'Low Income Forecast'!F36</f>
        <v>0</v>
      </c>
      <c r="G90" s="54">
        <f>'Low Income Forecast'!G36</f>
        <v>0</v>
      </c>
      <c r="H90" s="54">
        <f>'Low Income Forecast'!H36</f>
        <v>0</v>
      </c>
      <c r="I90" s="54">
        <f>'Low Income Forecast'!I36</f>
        <v>0</v>
      </c>
      <c r="J90" s="54">
        <f>'Low Income Forecast'!J36</f>
        <v>0</v>
      </c>
      <c r="K90" s="54">
        <f>'Low Income Forecast'!K36</f>
        <v>0</v>
      </c>
      <c r="L90" s="54">
        <f>'Low Income Forecast'!L36</f>
        <v>0</v>
      </c>
      <c r="M90" s="54">
        <f>'Low Income Forecast'!M36</f>
        <v>0</v>
      </c>
      <c r="N90" s="48">
        <f t="shared" si="20"/>
        <v>0</v>
      </c>
    </row>
    <row r="91" spans="1:14" x14ac:dyDescent="0.25">
      <c r="A91" s="42" t="s">
        <v>33</v>
      </c>
      <c r="B91" s="54">
        <f>'Low Income Forecast'!B37</f>
        <v>0</v>
      </c>
      <c r="C91" s="54">
        <f>'Low Income Forecast'!C37</f>
        <v>0</v>
      </c>
      <c r="D91" s="54">
        <f>'Low Income Forecast'!D37</f>
        <v>0</v>
      </c>
      <c r="E91" s="54">
        <f>'Low Income Forecast'!E37</f>
        <v>0</v>
      </c>
      <c r="F91" s="54">
        <f>'Low Income Forecast'!F37</f>
        <v>0</v>
      </c>
      <c r="G91" s="54">
        <f>'Low Income Forecast'!G37</f>
        <v>0</v>
      </c>
      <c r="H91" s="54">
        <f>'Low Income Forecast'!H37</f>
        <v>0</v>
      </c>
      <c r="I91" s="54">
        <f>'Low Income Forecast'!I37</f>
        <v>0</v>
      </c>
      <c r="J91" s="54">
        <f>'Low Income Forecast'!J37</f>
        <v>0</v>
      </c>
      <c r="K91" s="54">
        <f>'Low Income Forecast'!K37</f>
        <v>0</v>
      </c>
      <c r="L91" s="54">
        <f>'Low Income Forecast'!L37</f>
        <v>0</v>
      </c>
      <c r="M91" s="54">
        <f>'Low Income Forecast'!M37</f>
        <v>0</v>
      </c>
      <c r="N91" s="48">
        <f t="shared" si="20"/>
        <v>0</v>
      </c>
    </row>
    <row r="92" spans="1:14" x14ac:dyDescent="0.25">
      <c r="A92" s="42" t="s">
        <v>35</v>
      </c>
      <c r="B92" s="54">
        <f>'Low Income Forecast'!B38</f>
        <v>0</v>
      </c>
      <c r="C92" s="54">
        <f>'Low Income Forecast'!C38</f>
        <v>0</v>
      </c>
      <c r="D92" s="54">
        <f>'Low Income Forecast'!D38</f>
        <v>0</v>
      </c>
      <c r="E92" s="54">
        <f>'Low Income Forecast'!E38</f>
        <v>0</v>
      </c>
      <c r="F92" s="54">
        <f>'Low Income Forecast'!F38</f>
        <v>0</v>
      </c>
      <c r="G92" s="54">
        <f>'Low Income Forecast'!G38</f>
        <v>0</v>
      </c>
      <c r="H92" s="54">
        <f>'Low Income Forecast'!H38</f>
        <v>0</v>
      </c>
      <c r="I92" s="54">
        <f>'Low Income Forecast'!I38</f>
        <v>0</v>
      </c>
      <c r="J92" s="54">
        <f>'Low Income Forecast'!J38</f>
        <v>0</v>
      </c>
      <c r="K92" s="54">
        <f>'Low Income Forecast'!K38</f>
        <v>0</v>
      </c>
      <c r="L92" s="54">
        <f>'Low Income Forecast'!L38</f>
        <v>0</v>
      </c>
      <c r="M92" s="54">
        <f>'Low Income Forecast'!M38</f>
        <v>0</v>
      </c>
      <c r="N92" s="48">
        <f t="shared" si="20"/>
        <v>0</v>
      </c>
    </row>
    <row r="93" spans="1:14" x14ac:dyDescent="0.25">
      <c r="A93" s="49" t="s">
        <v>36</v>
      </c>
      <c r="B93" s="54">
        <f>'Low Income Forecast'!B39</f>
        <v>0</v>
      </c>
      <c r="C93" s="54">
        <f>'Low Income Forecast'!C39</f>
        <v>0</v>
      </c>
      <c r="D93" s="54">
        <f>'Low Income Forecast'!D39</f>
        <v>0</v>
      </c>
      <c r="E93" s="54">
        <f>'Low Income Forecast'!E39</f>
        <v>0</v>
      </c>
      <c r="F93" s="54">
        <f>'Low Income Forecast'!F39</f>
        <v>0</v>
      </c>
      <c r="G93" s="54">
        <f>'Low Income Forecast'!G39</f>
        <v>0</v>
      </c>
      <c r="H93" s="54">
        <f>'Low Income Forecast'!H39</f>
        <v>0</v>
      </c>
      <c r="I93" s="54">
        <f>'Low Income Forecast'!I39</f>
        <v>0</v>
      </c>
      <c r="J93" s="54">
        <f>'Low Income Forecast'!J39</f>
        <v>0</v>
      </c>
      <c r="K93" s="54">
        <f>'Low Income Forecast'!K39</f>
        <v>0</v>
      </c>
      <c r="L93" s="54">
        <f>'Low Income Forecast'!L39</f>
        <v>0</v>
      </c>
      <c r="M93" s="54">
        <f>'Low Income Forecast'!M39</f>
        <v>0</v>
      </c>
      <c r="N93" s="48">
        <f t="shared" si="20"/>
        <v>0</v>
      </c>
    </row>
    <row r="94" spans="1:14" x14ac:dyDescent="0.25">
      <c r="A94" s="50" t="s">
        <v>2</v>
      </c>
      <c r="B94" s="51">
        <f>SUM(B80:B93)</f>
        <v>70594.711359037858</v>
      </c>
      <c r="C94" s="51">
        <f t="shared" ref="C94:N94" si="21">SUM(C80:C93)</f>
        <v>71183.000620363164</v>
      </c>
      <c r="D94" s="51">
        <f t="shared" si="21"/>
        <v>71776.192292199514</v>
      </c>
      <c r="E94" s="51">
        <f t="shared" si="21"/>
        <v>72374.327227967849</v>
      </c>
      <c r="F94" s="51">
        <f t="shared" si="21"/>
        <v>72977.44662153424</v>
      </c>
      <c r="G94" s="51">
        <f t="shared" si="21"/>
        <v>73585.592010047025</v>
      </c>
      <c r="H94" s="51">
        <f t="shared" si="21"/>
        <v>74198.8052767974</v>
      </c>
      <c r="I94" s="51">
        <f t="shared" si="21"/>
        <v>74817.128654104046</v>
      </c>
      <c r="J94" s="51">
        <f t="shared" si="21"/>
        <v>75440.604726221587</v>
      </c>
      <c r="K94" s="51">
        <f t="shared" si="21"/>
        <v>76069.276432273415</v>
      </c>
      <c r="L94" s="51">
        <f t="shared" si="21"/>
        <v>76069.276432273415</v>
      </c>
      <c r="M94" s="51">
        <f t="shared" si="21"/>
        <v>76069.276432273415</v>
      </c>
      <c r="N94" s="51">
        <f t="shared" si="21"/>
        <v>885155.63808509312</v>
      </c>
    </row>
    <row r="96" spans="1:14" ht="17.25" x14ac:dyDescent="0.25">
      <c r="A96" s="53" t="s">
        <v>84</v>
      </c>
    </row>
    <row r="97" spans="1:14" x14ac:dyDescent="0.25">
      <c r="A97" s="43" t="s">
        <v>51</v>
      </c>
      <c r="B97" s="45">
        <f>B43</f>
        <v>45292</v>
      </c>
      <c r="C97" s="45">
        <f t="shared" ref="C97:M97" si="22">C43</f>
        <v>45323</v>
      </c>
      <c r="D97" s="45">
        <f t="shared" si="22"/>
        <v>45352</v>
      </c>
      <c r="E97" s="45">
        <f t="shared" si="22"/>
        <v>45383</v>
      </c>
      <c r="F97" s="45">
        <f t="shared" si="22"/>
        <v>45413</v>
      </c>
      <c r="G97" s="45">
        <f t="shared" si="22"/>
        <v>45444</v>
      </c>
      <c r="H97" s="45">
        <f t="shared" si="22"/>
        <v>45474</v>
      </c>
      <c r="I97" s="45">
        <f t="shared" si="22"/>
        <v>45505</v>
      </c>
      <c r="J97" s="45">
        <f t="shared" si="22"/>
        <v>45536</v>
      </c>
      <c r="K97" s="45">
        <f t="shared" si="22"/>
        <v>45566</v>
      </c>
      <c r="L97" s="45">
        <f t="shared" si="22"/>
        <v>45597</v>
      </c>
      <c r="M97" s="45">
        <f t="shared" si="22"/>
        <v>45627</v>
      </c>
      <c r="N97" s="46" t="s">
        <v>2</v>
      </c>
    </row>
    <row r="98" spans="1:14" x14ac:dyDescent="0.25">
      <c r="A98" s="42">
        <v>16</v>
      </c>
      <c r="B98" s="47">
        <v>0</v>
      </c>
      <c r="C98" s="47">
        <v>0</v>
      </c>
      <c r="D98" s="47">
        <v>0</v>
      </c>
      <c r="E98" s="47">
        <v>0</v>
      </c>
      <c r="F98" s="47">
        <v>0</v>
      </c>
      <c r="G98" s="47">
        <v>0</v>
      </c>
      <c r="H98" s="47">
        <v>0</v>
      </c>
      <c r="I98" s="47">
        <v>0</v>
      </c>
      <c r="J98" s="47">
        <v>0</v>
      </c>
      <c r="K98" s="47">
        <v>0</v>
      </c>
      <c r="L98" s="47">
        <v>0</v>
      </c>
      <c r="M98" s="47">
        <v>0</v>
      </c>
      <c r="N98" s="48">
        <f>SUM(B98:M98)</f>
        <v>0</v>
      </c>
    </row>
    <row r="99" spans="1:14" x14ac:dyDescent="0.25">
      <c r="A99" s="42">
        <v>23</v>
      </c>
      <c r="B99" s="47">
        <v>15293</v>
      </c>
      <c r="C99" s="47">
        <v>15293</v>
      </c>
      <c r="D99" s="47">
        <v>15293</v>
      </c>
      <c r="E99" s="47">
        <v>15293</v>
      </c>
      <c r="F99" s="47">
        <v>15293</v>
      </c>
      <c r="G99" s="47">
        <v>15293</v>
      </c>
      <c r="H99" s="47">
        <v>15293</v>
      </c>
      <c r="I99" s="47">
        <v>15293</v>
      </c>
      <c r="J99" s="47">
        <v>15293</v>
      </c>
      <c r="K99" s="47">
        <v>15293</v>
      </c>
      <c r="L99" s="47">
        <v>15293</v>
      </c>
      <c r="M99" s="47">
        <v>15293</v>
      </c>
      <c r="N99" s="48">
        <f t="shared" ref="N99:N111" si="23">SUM(B99:M99)</f>
        <v>183516</v>
      </c>
    </row>
    <row r="100" spans="1:14" x14ac:dyDescent="0.25">
      <c r="A100" s="42">
        <v>53</v>
      </c>
      <c r="B100" s="47">
        <v>0</v>
      </c>
      <c r="C100" s="47">
        <v>0</v>
      </c>
      <c r="D100" s="47">
        <v>0</v>
      </c>
      <c r="E100" s="47">
        <v>0</v>
      </c>
      <c r="F100" s="47">
        <v>0</v>
      </c>
      <c r="G100" s="47">
        <v>0</v>
      </c>
      <c r="H100" s="47">
        <v>0</v>
      </c>
      <c r="I100" s="47">
        <v>0</v>
      </c>
      <c r="J100" s="47">
        <v>0</v>
      </c>
      <c r="K100" s="47">
        <v>0</v>
      </c>
      <c r="L100" s="47">
        <v>0</v>
      </c>
      <c r="M100" s="47">
        <v>0</v>
      </c>
      <c r="N100" s="48">
        <f t="shared" si="23"/>
        <v>0</v>
      </c>
    </row>
    <row r="101" spans="1:14" x14ac:dyDescent="0.25">
      <c r="A101" s="42">
        <v>31</v>
      </c>
      <c r="B101" s="47">
        <v>1107</v>
      </c>
      <c r="C101" s="47">
        <v>1107</v>
      </c>
      <c r="D101" s="47">
        <v>1107</v>
      </c>
      <c r="E101" s="47">
        <v>1107</v>
      </c>
      <c r="F101" s="47">
        <v>1107</v>
      </c>
      <c r="G101" s="47">
        <v>1107</v>
      </c>
      <c r="H101" s="47">
        <v>1107</v>
      </c>
      <c r="I101" s="47">
        <v>1107</v>
      </c>
      <c r="J101" s="47">
        <v>1107</v>
      </c>
      <c r="K101" s="47">
        <v>1107</v>
      </c>
      <c r="L101" s="47">
        <v>1107</v>
      </c>
      <c r="M101" s="47">
        <v>1107</v>
      </c>
      <c r="N101" s="48">
        <f t="shared" si="23"/>
        <v>13284</v>
      </c>
    </row>
    <row r="102" spans="1:14" x14ac:dyDescent="0.25">
      <c r="A102" s="42">
        <v>41</v>
      </c>
      <c r="B102" s="47">
        <v>5</v>
      </c>
      <c r="C102" s="47">
        <v>5</v>
      </c>
      <c r="D102" s="47">
        <v>5</v>
      </c>
      <c r="E102" s="47">
        <v>5</v>
      </c>
      <c r="F102" s="47">
        <v>5</v>
      </c>
      <c r="G102" s="47">
        <v>5</v>
      </c>
      <c r="H102" s="47">
        <v>5</v>
      </c>
      <c r="I102" s="47">
        <v>5</v>
      </c>
      <c r="J102" s="47">
        <v>5</v>
      </c>
      <c r="K102" s="47">
        <v>5</v>
      </c>
      <c r="L102" s="47">
        <v>5</v>
      </c>
      <c r="M102" s="47">
        <v>5</v>
      </c>
      <c r="N102" s="48">
        <f t="shared" si="23"/>
        <v>60</v>
      </c>
    </row>
    <row r="103" spans="1:14" x14ac:dyDescent="0.25">
      <c r="A103" s="42">
        <v>85</v>
      </c>
      <c r="B103" s="47">
        <v>0</v>
      </c>
      <c r="C103" s="47">
        <v>0</v>
      </c>
      <c r="D103" s="47">
        <v>0</v>
      </c>
      <c r="E103" s="47">
        <v>0</v>
      </c>
      <c r="F103" s="47">
        <v>0</v>
      </c>
      <c r="G103" s="47">
        <v>0</v>
      </c>
      <c r="H103" s="47">
        <v>0</v>
      </c>
      <c r="I103" s="47">
        <v>0</v>
      </c>
      <c r="J103" s="47">
        <v>0</v>
      </c>
      <c r="K103" s="47">
        <v>0</v>
      </c>
      <c r="L103" s="47">
        <v>0</v>
      </c>
      <c r="M103" s="47">
        <v>0</v>
      </c>
      <c r="N103" s="48">
        <f t="shared" si="23"/>
        <v>0</v>
      </c>
    </row>
    <row r="104" spans="1:14" x14ac:dyDescent="0.25">
      <c r="A104" s="42">
        <v>86</v>
      </c>
      <c r="B104" s="47">
        <v>0</v>
      </c>
      <c r="C104" s="47">
        <v>0</v>
      </c>
      <c r="D104" s="47">
        <v>0</v>
      </c>
      <c r="E104" s="47">
        <v>0</v>
      </c>
      <c r="F104" s="47">
        <v>0</v>
      </c>
      <c r="G104" s="47">
        <v>0</v>
      </c>
      <c r="H104" s="47">
        <v>0</v>
      </c>
      <c r="I104" s="47">
        <v>0</v>
      </c>
      <c r="J104" s="47">
        <v>0</v>
      </c>
      <c r="K104" s="47">
        <v>0</v>
      </c>
      <c r="L104" s="47">
        <v>0</v>
      </c>
      <c r="M104" s="47">
        <v>0</v>
      </c>
      <c r="N104" s="48">
        <f t="shared" si="23"/>
        <v>0</v>
      </c>
    </row>
    <row r="105" spans="1:14" x14ac:dyDescent="0.25">
      <c r="A105" s="42">
        <v>87</v>
      </c>
      <c r="B105" s="47">
        <v>0</v>
      </c>
      <c r="C105" s="47">
        <v>0</v>
      </c>
      <c r="D105" s="47">
        <v>0</v>
      </c>
      <c r="E105" s="47">
        <v>0</v>
      </c>
      <c r="F105" s="47">
        <v>0</v>
      </c>
      <c r="G105" s="47">
        <v>0</v>
      </c>
      <c r="H105" s="47">
        <v>0</v>
      </c>
      <c r="I105" s="47">
        <v>0</v>
      </c>
      <c r="J105" s="47">
        <v>0</v>
      </c>
      <c r="K105" s="47">
        <v>0</v>
      </c>
      <c r="L105" s="47">
        <v>0</v>
      </c>
      <c r="M105" s="47">
        <v>0</v>
      </c>
      <c r="N105" s="48">
        <f t="shared" si="23"/>
        <v>0</v>
      </c>
    </row>
    <row r="106" spans="1:14" x14ac:dyDescent="0.25">
      <c r="A106" s="42" t="s">
        <v>27</v>
      </c>
      <c r="B106" s="47">
        <v>0</v>
      </c>
      <c r="C106" s="47">
        <v>0</v>
      </c>
      <c r="D106" s="47">
        <v>0</v>
      </c>
      <c r="E106" s="47">
        <v>0</v>
      </c>
      <c r="F106" s="47">
        <v>0</v>
      </c>
      <c r="G106" s="47">
        <v>0</v>
      </c>
      <c r="H106" s="47">
        <v>0</v>
      </c>
      <c r="I106" s="47">
        <v>0</v>
      </c>
      <c r="J106" s="47">
        <v>0</v>
      </c>
      <c r="K106" s="47">
        <v>0</v>
      </c>
      <c r="L106" s="47">
        <v>0</v>
      </c>
      <c r="M106" s="47">
        <v>0</v>
      </c>
      <c r="N106" s="48">
        <f t="shared" si="23"/>
        <v>0</v>
      </c>
    </row>
    <row r="107" spans="1:14" x14ac:dyDescent="0.25">
      <c r="A107" s="42" t="s">
        <v>29</v>
      </c>
      <c r="B107" s="47">
        <v>0</v>
      </c>
      <c r="C107" s="47">
        <v>0</v>
      </c>
      <c r="D107" s="47">
        <v>0</v>
      </c>
      <c r="E107" s="47">
        <v>0</v>
      </c>
      <c r="F107" s="47">
        <v>0</v>
      </c>
      <c r="G107" s="47">
        <v>0</v>
      </c>
      <c r="H107" s="47">
        <v>0</v>
      </c>
      <c r="I107" s="47">
        <v>0</v>
      </c>
      <c r="J107" s="47">
        <v>0</v>
      </c>
      <c r="K107" s="47">
        <v>0</v>
      </c>
      <c r="L107" s="47">
        <v>0</v>
      </c>
      <c r="M107" s="47">
        <v>0</v>
      </c>
      <c r="N107" s="48">
        <f t="shared" si="23"/>
        <v>0</v>
      </c>
    </row>
    <row r="108" spans="1:14" x14ac:dyDescent="0.25">
      <c r="A108" s="42" t="s">
        <v>31</v>
      </c>
      <c r="B108" s="47">
        <v>0</v>
      </c>
      <c r="C108" s="47">
        <v>0</v>
      </c>
      <c r="D108" s="47">
        <v>0</v>
      </c>
      <c r="E108" s="47">
        <v>0</v>
      </c>
      <c r="F108" s="47">
        <v>0</v>
      </c>
      <c r="G108" s="47">
        <v>0</v>
      </c>
      <c r="H108" s="47">
        <v>0</v>
      </c>
      <c r="I108" s="47">
        <v>0</v>
      </c>
      <c r="J108" s="47">
        <v>0</v>
      </c>
      <c r="K108" s="47">
        <v>0</v>
      </c>
      <c r="L108" s="47">
        <v>0</v>
      </c>
      <c r="M108" s="47">
        <v>0</v>
      </c>
      <c r="N108" s="48">
        <f t="shared" si="23"/>
        <v>0</v>
      </c>
    </row>
    <row r="109" spans="1:14" x14ac:dyDescent="0.25">
      <c r="A109" s="42" t="s">
        <v>33</v>
      </c>
      <c r="B109" s="47">
        <v>0</v>
      </c>
      <c r="C109" s="47">
        <v>0</v>
      </c>
      <c r="D109" s="47">
        <v>0</v>
      </c>
      <c r="E109" s="47">
        <v>0</v>
      </c>
      <c r="F109" s="47">
        <v>0</v>
      </c>
      <c r="G109" s="47">
        <v>0</v>
      </c>
      <c r="H109" s="47">
        <v>0</v>
      </c>
      <c r="I109" s="47">
        <v>0</v>
      </c>
      <c r="J109" s="47">
        <v>0</v>
      </c>
      <c r="K109" s="47">
        <v>0</v>
      </c>
      <c r="L109" s="47">
        <v>0</v>
      </c>
      <c r="M109" s="47">
        <v>0</v>
      </c>
      <c r="N109" s="48">
        <f t="shared" si="23"/>
        <v>0</v>
      </c>
    </row>
    <row r="110" spans="1:14" x14ac:dyDescent="0.25">
      <c r="A110" s="42" t="s">
        <v>35</v>
      </c>
      <c r="B110" s="47">
        <v>1</v>
      </c>
      <c r="C110" s="47">
        <v>1</v>
      </c>
      <c r="D110" s="47">
        <v>1</v>
      </c>
      <c r="E110" s="47">
        <v>1</v>
      </c>
      <c r="F110" s="47">
        <v>1</v>
      </c>
      <c r="G110" s="47">
        <v>1</v>
      </c>
      <c r="H110" s="47">
        <v>1</v>
      </c>
      <c r="I110" s="47">
        <v>1</v>
      </c>
      <c r="J110" s="47">
        <v>1</v>
      </c>
      <c r="K110" s="47">
        <v>1</v>
      </c>
      <c r="L110" s="47">
        <v>1</v>
      </c>
      <c r="M110" s="47">
        <v>1</v>
      </c>
      <c r="N110" s="48">
        <f t="shared" si="23"/>
        <v>12</v>
      </c>
    </row>
    <row r="111" spans="1:14" x14ac:dyDescent="0.25">
      <c r="A111" s="49" t="s">
        <v>36</v>
      </c>
      <c r="B111" s="47">
        <v>0</v>
      </c>
      <c r="C111" s="47">
        <v>0</v>
      </c>
      <c r="D111" s="47">
        <v>0</v>
      </c>
      <c r="E111" s="47">
        <v>0</v>
      </c>
      <c r="F111" s="47">
        <v>0</v>
      </c>
      <c r="G111" s="47">
        <v>0</v>
      </c>
      <c r="H111" s="47">
        <v>0</v>
      </c>
      <c r="I111" s="47">
        <v>0</v>
      </c>
      <c r="J111" s="47">
        <v>0</v>
      </c>
      <c r="K111" s="47">
        <v>0</v>
      </c>
      <c r="L111" s="47">
        <v>0</v>
      </c>
      <c r="M111" s="47">
        <v>0</v>
      </c>
      <c r="N111" s="48">
        <f t="shared" si="23"/>
        <v>0</v>
      </c>
    </row>
    <row r="112" spans="1:14" x14ac:dyDescent="0.25">
      <c r="A112" s="50" t="s">
        <v>2</v>
      </c>
      <c r="B112" s="51">
        <f>SUM(B98:B111)</f>
        <v>16406</v>
      </c>
      <c r="C112" s="51">
        <f t="shared" ref="C112:N112" si="24">SUM(C98:C111)</f>
        <v>16406</v>
      </c>
      <c r="D112" s="51">
        <f t="shared" si="24"/>
        <v>16406</v>
      </c>
      <c r="E112" s="51">
        <f t="shared" si="24"/>
        <v>16406</v>
      </c>
      <c r="F112" s="51">
        <f t="shared" si="24"/>
        <v>16406</v>
      </c>
      <c r="G112" s="51">
        <f t="shared" si="24"/>
        <v>16406</v>
      </c>
      <c r="H112" s="51">
        <f t="shared" si="24"/>
        <v>16406</v>
      </c>
      <c r="I112" s="51">
        <f t="shared" si="24"/>
        <v>16406</v>
      </c>
      <c r="J112" s="51">
        <f t="shared" si="24"/>
        <v>16406</v>
      </c>
      <c r="K112" s="51">
        <f t="shared" si="24"/>
        <v>16406</v>
      </c>
      <c r="L112" s="51">
        <f t="shared" si="24"/>
        <v>16406</v>
      </c>
      <c r="M112" s="51">
        <f t="shared" si="24"/>
        <v>16406</v>
      </c>
      <c r="N112" s="51">
        <f t="shared" si="24"/>
        <v>196872</v>
      </c>
    </row>
    <row r="114" spans="1:14" x14ac:dyDescent="0.25">
      <c r="A114" s="53" t="s">
        <v>57</v>
      </c>
    </row>
    <row r="115" spans="1:14" x14ac:dyDescent="0.25">
      <c r="A115" s="43" t="s">
        <v>51</v>
      </c>
      <c r="B115" s="45">
        <f>B7</f>
        <v>45292</v>
      </c>
      <c r="C115" s="45">
        <f>C7</f>
        <v>45323</v>
      </c>
      <c r="D115" s="45">
        <f>D7</f>
        <v>45352</v>
      </c>
      <c r="E115" s="45">
        <f>E7</f>
        <v>45383</v>
      </c>
      <c r="F115" s="45">
        <f>F7</f>
        <v>45413</v>
      </c>
      <c r="G115" s="45">
        <f t="shared" ref="G115:M115" si="25">G7</f>
        <v>45444</v>
      </c>
      <c r="H115" s="45">
        <f t="shared" si="25"/>
        <v>45474</v>
      </c>
      <c r="I115" s="45">
        <f t="shared" si="25"/>
        <v>45505</v>
      </c>
      <c r="J115" s="45">
        <f t="shared" si="25"/>
        <v>45536</v>
      </c>
      <c r="K115" s="45">
        <f t="shared" si="25"/>
        <v>45566</v>
      </c>
      <c r="L115" s="45">
        <f t="shared" si="25"/>
        <v>45597</v>
      </c>
      <c r="M115" s="45">
        <f t="shared" si="25"/>
        <v>45627</v>
      </c>
      <c r="N115" s="46" t="s">
        <v>2</v>
      </c>
    </row>
    <row r="116" spans="1:14" x14ac:dyDescent="0.25">
      <c r="A116" s="42">
        <v>16</v>
      </c>
      <c r="B116" s="48">
        <f>B8-B26-B44-B62-B80-B98</f>
        <v>4</v>
      </c>
      <c r="C116" s="48">
        <f t="shared" ref="C116:F116" si="26">C8-C26-C44-C62-C80-C98</f>
        <v>4</v>
      </c>
      <c r="D116" s="48">
        <f t="shared" si="26"/>
        <v>4</v>
      </c>
      <c r="E116" s="48">
        <f t="shared" si="26"/>
        <v>4</v>
      </c>
      <c r="F116" s="48">
        <f t="shared" si="26"/>
        <v>4</v>
      </c>
      <c r="G116" s="48">
        <f t="shared" ref="G116:M116" si="27">G8-G26-G44-G62-G80-G98</f>
        <v>4</v>
      </c>
      <c r="H116" s="48">
        <f t="shared" si="27"/>
        <v>4</v>
      </c>
      <c r="I116" s="48">
        <f t="shared" si="27"/>
        <v>4</v>
      </c>
      <c r="J116" s="48">
        <f t="shared" si="27"/>
        <v>4</v>
      </c>
      <c r="K116" s="48">
        <f t="shared" si="27"/>
        <v>4</v>
      </c>
      <c r="L116" s="48">
        <f t="shared" si="27"/>
        <v>4</v>
      </c>
      <c r="M116" s="48">
        <f t="shared" si="27"/>
        <v>4</v>
      </c>
      <c r="N116" s="48">
        <f>SUM(B116:M116)</f>
        <v>48</v>
      </c>
    </row>
    <row r="117" spans="1:14" x14ac:dyDescent="0.25">
      <c r="A117" s="42">
        <v>23</v>
      </c>
      <c r="B117" s="48">
        <f t="shared" ref="B117:F129" si="28">B9-B27-B45-B63-B81-B99</f>
        <v>732900.2886409621</v>
      </c>
      <c r="C117" s="48">
        <f t="shared" si="28"/>
        <v>732311.99937963684</v>
      </c>
      <c r="D117" s="48">
        <f t="shared" si="28"/>
        <v>731718.80770780053</v>
      </c>
      <c r="E117" s="48">
        <f t="shared" si="28"/>
        <v>731120.67277203221</v>
      </c>
      <c r="F117" s="48">
        <f t="shared" si="28"/>
        <v>730517.55337846582</v>
      </c>
      <c r="G117" s="48">
        <f t="shared" ref="G117:M117" si="29">G9-G27-G45-G63-G81-G99</f>
        <v>729909.40798995295</v>
      </c>
      <c r="H117" s="48">
        <f t="shared" si="29"/>
        <v>729296.19472320261</v>
      </c>
      <c r="I117" s="48">
        <f t="shared" si="29"/>
        <v>728677.87134589592</v>
      </c>
      <c r="J117" s="48">
        <f t="shared" si="29"/>
        <v>728054.39527377835</v>
      </c>
      <c r="K117" s="48">
        <f t="shared" si="29"/>
        <v>727425.72356772656</v>
      </c>
      <c r="L117" s="48">
        <f t="shared" si="29"/>
        <v>727425.72356772656</v>
      </c>
      <c r="M117" s="48">
        <f t="shared" si="29"/>
        <v>727425.72356772656</v>
      </c>
      <c r="N117" s="48">
        <f t="shared" ref="N117:N129" si="30">SUM(B117:M117)</f>
        <v>8756784.3619149067</v>
      </c>
    </row>
    <row r="118" spans="1:14" x14ac:dyDescent="0.25">
      <c r="A118" s="42">
        <v>53</v>
      </c>
      <c r="B118" s="48">
        <f t="shared" si="28"/>
        <v>0</v>
      </c>
      <c r="C118" s="48">
        <f t="shared" si="28"/>
        <v>0</v>
      </c>
      <c r="D118" s="48">
        <f t="shared" si="28"/>
        <v>0</v>
      </c>
      <c r="E118" s="48">
        <f t="shared" si="28"/>
        <v>0</v>
      </c>
      <c r="F118" s="48">
        <f t="shared" si="28"/>
        <v>0</v>
      </c>
      <c r="G118" s="48">
        <f t="shared" ref="G118:M118" si="31">G10-G28-G46-G64-G82-G100</f>
        <v>0</v>
      </c>
      <c r="H118" s="48">
        <f t="shared" si="31"/>
        <v>0</v>
      </c>
      <c r="I118" s="48">
        <f t="shared" si="31"/>
        <v>0</v>
      </c>
      <c r="J118" s="48">
        <f t="shared" si="31"/>
        <v>0</v>
      </c>
      <c r="K118" s="48">
        <f t="shared" si="31"/>
        <v>0</v>
      </c>
      <c r="L118" s="48">
        <f t="shared" si="31"/>
        <v>0</v>
      </c>
      <c r="M118" s="48">
        <f t="shared" si="31"/>
        <v>0</v>
      </c>
      <c r="N118" s="48">
        <f t="shared" si="30"/>
        <v>0</v>
      </c>
    </row>
    <row r="119" spans="1:14" x14ac:dyDescent="0.25">
      <c r="A119" s="42">
        <v>31</v>
      </c>
      <c r="B119" s="48">
        <f t="shared" si="28"/>
        <v>56610</v>
      </c>
      <c r="C119" s="48">
        <f t="shared" si="28"/>
        <v>56635</v>
      </c>
      <c r="D119" s="48">
        <f t="shared" si="28"/>
        <v>56654</v>
      </c>
      <c r="E119" s="48">
        <f t="shared" si="28"/>
        <v>56670</v>
      </c>
      <c r="F119" s="48">
        <f t="shared" si="28"/>
        <v>56691</v>
      </c>
      <c r="G119" s="48">
        <f t="shared" ref="G119:M119" si="32">G11-G29-G47-G65-G83-G101</f>
        <v>56707</v>
      </c>
      <c r="H119" s="48">
        <f t="shared" si="32"/>
        <v>56729</v>
      </c>
      <c r="I119" s="48">
        <f t="shared" si="32"/>
        <v>56751</v>
      </c>
      <c r="J119" s="48">
        <f t="shared" si="32"/>
        <v>56766</v>
      </c>
      <c r="K119" s="48">
        <f t="shared" si="32"/>
        <v>56785</v>
      </c>
      <c r="L119" s="48">
        <f t="shared" si="32"/>
        <v>56804</v>
      </c>
      <c r="M119" s="48">
        <f t="shared" si="32"/>
        <v>56834</v>
      </c>
      <c r="N119" s="48">
        <f t="shared" si="30"/>
        <v>680636</v>
      </c>
    </row>
    <row r="120" spans="1:14" x14ac:dyDescent="0.25">
      <c r="A120" s="42">
        <v>41</v>
      </c>
      <c r="B120" s="48">
        <f t="shared" si="28"/>
        <v>1242</v>
      </c>
      <c r="C120" s="48">
        <f t="shared" si="28"/>
        <v>1238</v>
      </c>
      <c r="D120" s="48">
        <f t="shared" si="28"/>
        <v>1239</v>
      </c>
      <c r="E120" s="48">
        <f t="shared" si="28"/>
        <v>1238</v>
      </c>
      <c r="F120" s="48">
        <f t="shared" si="28"/>
        <v>1235</v>
      </c>
      <c r="G120" s="48">
        <f t="shared" ref="G120:M120" si="33">G12-G30-G48-G66-G84-G102</f>
        <v>1232</v>
      </c>
      <c r="H120" s="48">
        <f t="shared" si="33"/>
        <v>1229</v>
      </c>
      <c r="I120" s="48">
        <f t="shared" si="33"/>
        <v>1227</v>
      </c>
      <c r="J120" s="48">
        <f t="shared" si="33"/>
        <v>1230</v>
      </c>
      <c r="K120" s="48">
        <f t="shared" si="33"/>
        <v>1232</v>
      </c>
      <c r="L120" s="48">
        <f t="shared" si="33"/>
        <v>1232</v>
      </c>
      <c r="M120" s="48">
        <f t="shared" si="33"/>
        <v>1228</v>
      </c>
      <c r="N120" s="48">
        <f t="shared" si="30"/>
        <v>14802</v>
      </c>
    </row>
    <row r="121" spans="1:14" x14ac:dyDescent="0.25">
      <c r="A121" s="42">
        <v>85</v>
      </c>
      <c r="B121" s="48">
        <f t="shared" si="28"/>
        <v>34</v>
      </c>
      <c r="C121" s="48">
        <f t="shared" si="28"/>
        <v>34</v>
      </c>
      <c r="D121" s="48">
        <f t="shared" si="28"/>
        <v>34</v>
      </c>
      <c r="E121" s="48">
        <f t="shared" si="28"/>
        <v>34</v>
      </c>
      <c r="F121" s="48">
        <f t="shared" si="28"/>
        <v>34</v>
      </c>
      <c r="G121" s="48">
        <f t="shared" ref="G121:M121" si="34">G13-G31-G49-G67-G85-G103</f>
        <v>34</v>
      </c>
      <c r="H121" s="48">
        <f t="shared" si="34"/>
        <v>34</v>
      </c>
      <c r="I121" s="48">
        <f t="shared" si="34"/>
        <v>34</v>
      </c>
      <c r="J121" s="48">
        <f t="shared" si="34"/>
        <v>34</v>
      </c>
      <c r="K121" s="48">
        <f t="shared" si="34"/>
        <v>34</v>
      </c>
      <c r="L121" s="48">
        <f t="shared" si="34"/>
        <v>34</v>
      </c>
      <c r="M121" s="48">
        <f t="shared" si="34"/>
        <v>34</v>
      </c>
      <c r="N121" s="48">
        <f t="shared" si="30"/>
        <v>408</v>
      </c>
    </row>
    <row r="122" spans="1:14" x14ac:dyDescent="0.25">
      <c r="A122" s="42">
        <v>86</v>
      </c>
      <c r="B122" s="48">
        <f t="shared" si="28"/>
        <v>102</v>
      </c>
      <c r="C122" s="48">
        <f t="shared" si="28"/>
        <v>101</v>
      </c>
      <c r="D122" s="48">
        <f t="shared" si="28"/>
        <v>101</v>
      </c>
      <c r="E122" s="48">
        <f t="shared" si="28"/>
        <v>101</v>
      </c>
      <c r="F122" s="48">
        <f t="shared" si="28"/>
        <v>100</v>
      </c>
      <c r="G122" s="48">
        <f t="shared" ref="G122:M122" si="35">G14-G32-G50-G68-G86-G104</f>
        <v>100</v>
      </c>
      <c r="H122" s="48">
        <f t="shared" si="35"/>
        <v>100</v>
      </c>
      <c r="I122" s="48">
        <f t="shared" si="35"/>
        <v>99</v>
      </c>
      <c r="J122" s="48">
        <f t="shared" si="35"/>
        <v>99</v>
      </c>
      <c r="K122" s="48">
        <f t="shared" si="35"/>
        <v>99</v>
      </c>
      <c r="L122" s="48">
        <f t="shared" si="35"/>
        <v>98</v>
      </c>
      <c r="M122" s="48">
        <f t="shared" si="35"/>
        <v>98</v>
      </c>
      <c r="N122" s="48">
        <f t="shared" si="30"/>
        <v>1198</v>
      </c>
    </row>
    <row r="123" spans="1:14" x14ac:dyDescent="0.25">
      <c r="A123" s="42">
        <v>87</v>
      </c>
      <c r="B123" s="48">
        <f t="shared" si="28"/>
        <v>1</v>
      </c>
      <c r="C123" s="48">
        <f t="shared" si="28"/>
        <v>1</v>
      </c>
      <c r="D123" s="48">
        <f t="shared" si="28"/>
        <v>1</v>
      </c>
      <c r="E123" s="48">
        <f t="shared" si="28"/>
        <v>1</v>
      </c>
      <c r="F123" s="48">
        <f t="shared" si="28"/>
        <v>1</v>
      </c>
      <c r="G123" s="48">
        <f t="shared" ref="G123:M123" si="36">G15-G33-G51-G69-G87-G105</f>
        <v>1</v>
      </c>
      <c r="H123" s="48">
        <f t="shared" si="36"/>
        <v>1</v>
      </c>
      <c r="I123" s="48">
        <f t="shared" si="36"/>
        <v>1</v>
      </c>
      <c r="J123" s="48">
        <f t="shared" si="36"/>
        <v>1</v>
      </c>
      <c r="K123" s="48">
        <f t="shared" si="36"/>
        <v>1</v>
      </c>
      <c r="L123" s="48">
        <f t="shared" si="36"/>
        <v>1</v>
      </c>
      <c r="M123" s="48">
        <f t="shared" si="36"/>
        <v>1</v>
      </c>
      <c r="N123" s="48">
        <f t="shared" si="30"/>
        <v>12</v>
      </c>
    </row>
    <row r="124" spans="1:14" x14ac:dyDescent="0.25">
      <c r="A124" s="42" t="s">
        <v>27</v>
      </c>
      <c r="B124" s="48">
        <f t="shared" si="28"/>
        <v>1</v>
      </c>
      <c r="C124" s="48">
        <f t="shared" si="28"/>
        <v>1</v>
      </c>
      <c r="D124" s="48">
        <f t="shared" si="28"/>
        <v>1</v>
      </c>
      <c r="E124" s="48">
        <f t="shared" si="28"/>
        <v>1</v>
      </c>
      <c r="F124" s="48">
        <f t="shared" si="28"/>
        <v>1</v>
      </c>
      <c r="G124" s="48">
        <f t="shared" ref="G124:M124" si="37">G16-G34-G52-G70-G88-G106</f>
        <v>1</v>
      </c>
      <c r="H124" s="48">
        <f t="shared" si="37"/>
        <v>1</v>
      </c>
      <c r="I124" s="48">
        <f t="shared" si="37"/>
        <v>1</v>
      </c>
      <c r="J124" s="48">
        <f t="shared" si="37"/>
        <v>1</v>
      </c>
      <c r="K124" s="48">
        <f t="shared" si="37"/>
        <v>1</v>
      </c>
      <c r="L124" s="48">
        <f t="shared" si="37"/>
        <v>1</v>
      </c>
      <c r="M124" s="48">
        <f t="shared" si="37"/>
        <v>1</v>
      </c>
      <c r="N124" s="48">
        <f t="shared" si="30"/>
        <v>12</v>
      </c>
    </row>
    <row r="125" spans="1:14" x14ac:dyDescent="0.25">
      <c r="A125" s="42" t="s">
        <v>29</v>
      </c>
      <c r="B125" s="48">
        <f t="shared" si="28"/>
        <v>94</v>
      </c>
      <c r="C125" s="48">
        <f t="shared" si="28"/>
        <v>94</v>
      </c>
      <c r="D125" s="48">
        <f t="shared" si="28"/>
        <v>94</v>
      </c>
      <c r="E125" s="48">
        <f t="shared" si="28"/>
        <v>94</v>
      </c>
      <c r="F125" s="48">
        <f t="shared" si="28"/>
        <v>94</v>
      </c>
      <c r="G125" s="48">
        <f t="shared" ref="G125:M125" si="38">G17-G35-G53-G71-G89-G107</f>
        <v>94</v>
      </c>
      <c r="H125" s="48">
        <f t="shared" si="38"/>
        <v>94</v>
      </c>
      <c r="I125" s="48">
        <f t="shared" si="38"/>
        <v>94</v>
      </c>
      <c r="J125" s="48">
        <f t="shared" si="38"/>
        <v>94</v>
      </c>
      <c r="K125" s="48">
        <f t="shared" si="38"/>
        <v>94</v>
      </c>
      <c r="L125" s="48">
        <f t="shared" si="38"/>
        <v>94</v>
      </c>
      <c r="M125" s="48">
        <f t="shared" si="38"/>
        <v>94</v>
      </c>
      <c r="N125" s="48">
        <f t="shared" si="30"/>
        <v>1128</v>
      </c>
    </row>
    <row r="126" spans="1:14" x14ac:dyDescent="0.25">
      <c r="A126" s="42" t="s">
        <v>31</v>
      </c>
      <c r="B126" s="48">
        <f t="shared" si="28"/>
        <v>82</v>
      </c>
      <c r="C126" s="48">
        <f t="shared" si="28"/>
        <v>82</v>
      </c>
      <c r="D126" s="48">
        <f t="shared" si="28"/>
        <v>82</v>
      </c>
      <c r="E126" s="48">
        <f t="shared" si="28"/>
        <v>82</v>
      </c>
      <c r="F126" s="48">
        <f t="shared" si="28"/>
        <v>82</v>
      </c>
      <c r="G126" s="48">
        <f t="shared" ref="G126:M126" si="39">G18-G36-G54-G72-G90-G108</f>
        <v>82</v>
      </c>
      <c r="H126" s="48">
        <f t="shared" si="39"/>
        <v>82</v>
      </c>
      <c r="I126" s="48">
        <f t="shared" si="39"/>
        <v>82</v>
      </c>
      <c r="J126" s="48">
        <f t="shared" si="39"/>
        <v>82</v>
      </c>
      <c r="K126" s="48">
        <f t="shared" si="39"/>
        <v>82</v>
      </c>
      <c r="L126" s="48">
        <f t="shared" si="39"/>
        <v>82</v>
      </c>
      <c r="M126" s="48">
        <f t="shared" si="39"/>
        <v>82</v>
      </c>
      <c r="N126" s="48">
        <f t="shared" si="30"/>
        <v>984</v>
      </c>
    </row>
    <row r="127" spans="1:14" x14ac:dyDescent="0.25">
      <c r="A127" s="42" t="s">
        <v>33</v>
      </c>
      <c r="B127" s="48">
        <f t="shared" si="28"/>
        <v>7</v>
      </c>
      <c r="C127" s="48">
        <f t="shared" si="28"/>
        <v>7</v>
      </c>
      <c r="D127" s="48">
        <f t="shared" si="28"/>
        <v>7</v>
      </c>
      <c r="E127" s="48">
        <f t="shared" si="28"/>
        <v>7</v>
      </c>
      <c r="F127" s="48">
        <f t="shared" si="28"/>
        <v>7</v>
      </c>
      <c r="G127" s="48">
        <f t="shared" ref="G127:M127" si="40">G19-G37-G55-G73-G91-G109</f>
        <v>7</v>
      </c>
      <c r="H127" s="48">
        <f t="shared" si="40"/>
        <v>7</v>
      </c>
      <c r="I127" s="48">
        <f t="shared" si="40"/>
        <v>7</v>
      </c>
      <c r="J127" s="48">
        <f t="shared" si="40"/>
        <v>7</v>
      </c>
      <c r="K127" s="48">
        <f t="shared" si="40"/>
        <v>7</v>
      </c>
      <c r="L127" s="48">
        <f t="shared" si="40"/>
        <v>7</v>
      </c>
      <c r="M127" s="48">
        <f t="shared" si="40"/>
        <v>7</v>
      </c>
      <c r="N127" s="48">
        <f t="shared" si="30"/>
        <v>84</v>
      </c>
    </row>
    <row r="128" spans="1:14" x14ac:dyDescent="0.25">
      <c r="A128" s="42" t="s">
        <v>35</v>
      </c>
      <c r="B128" s="48">
        <f t="shared" si="28"/>
        <v>3</v>
      </c>
      <c r="C128" s="48">
        <f t="shared" si="28"/>
        <v>3</v>
      </c>
      <c r="D128" s="48">
        <f t="shared" si="28"/>
        <v>3</v>
      </c>
      <c r="E128" s="48">
        <f t="shared" si="28"/>
        <v>3</v>
      </c>
      <c r="F128" s="48">
        <f t="shared" si="28"/>
        <v>3</v>
      </c>
      <c r="G128" s="48">
        <f t="shared" ref="G128:M128" si="41">G20-G38-G56-G74-G92-G110</f>
        <v>3</v>
      </c>
      <c r="H128" s="48">
        <f t="shared" si="41"/>
        <v>3</v>
      </c>
      <c r="I128" s="48">
        <f t="shared" si="41"/>
        <v>3</v>
      </c>
      <c r="J128" s="48">
        <f t="shared" si="41"/>
        <v>3</v>
      </c>
      <c r="K128" s="48">
        <f t="shared" si="41"/>
        <v>3</v>
      </c>
      <c r="L128" s="48">
        <f t="shared" si="41"/>
        <v>3</v>
      </c>
      <c r="M128" s="48">
        <f t="shared" si="41"/>
        <v>3</v>
      </c>
      <c r="N128" s="48">
        <f t="shared" si="30"/>
        <v>36</v>
      </c>
    </row>
    <row r="129" spans="1:14" x14ac:dyDescent="0.25">
      <c r="A129" s="49" t="s">
        <v>36</v>
      </c>
      <c r="B129" s="48">
        <f t="shared" si="28"/>
        <v>7</v>
      </c>
      <c r="C129" s="48">
        <f t="shared" si="28"/>
        <v>7</v>
      </c>
      <c r="D129" s="48">
        <f t="shared" si="28"/>
        <v>7</v>
      </c>
      <c r="E129" s="48">
        <f t="shared" si="28"/>
        <v>7</v>
      </c>
      <c r="F129" s="48">
        <f t="shared" si="28"/>
        <v>7</v>
      </c>
      <c r="G129" s="48">
        <f t="shared" ref="G129:M129" si="42">G21-G39-G57-G75-G93-G111</f>
        <v>7</v>
      </c>
      <c r="H129" s="48">
        <f t="shared" si="42"/>
        <v>7</v>
      </c>
      <c r="I129" s="48">
        <f t="shared" si="42"/>
        <v>7</v>
      </c>
      <c r="J129" s="48">
        <f t="shared" si="42"/>
        <v>7</v>
      </c>
      <c r="K129" s="48">
        <f t="shared" si="42"/>
        <v>7</v>
      </c>
      <c r="L129" s="48">
        <f t="shared" si="42"/>
        <v>7</v>
      </c>
      <c r="M129" s="48">
        <f t="shared" si="42"/>
        <v>7</v>
      </c>
      <c r="N129" s="48">
        <f t="shared" si="30"/>
        <v>84</v>
      </c>
    </row>
    <row r="130" spans="1:14" x14ac:dyDescent="0.25">
      <c r="A130" s="50" t="s">
        <v>2</v>
      </c>
      <c r="B130" s="51">
        <f>SUM(B116:B129)</f>
        <v>791087.2886409621</v>
      </c>
      <c r="C130" s="51">
        <f t="shared" ref="C130:N130" si="43">SUM(C116:C129)</f>
        <v>790518.99937963684</v>
      </c>
      <c r="D130" s="51">
        <f t="shared" si="43"/>
        <v>789945.80770780053</v>
      </c>
      <c r="E130" s="51">
        <f t="shared" si="43"/>
        <v>789362.67277203221</v>
      </c>
      <c r="F130" s="51">
        <f t="shared" si="43"/>
        <v>788776.55337846582</v>
      </c>
      <c r="G130" s="51">
        <f t="shared" si="43"/>
        <v>788181.40798995295</v>
      </c>
      <c r="H130" s="51">
        <f t="shared" si="43"/>
        <v>787587.19472320261</v>
      </c>
      <c r="I130" s="51">
        <f t="shared" si="43"/>
        <v>786987.87134589592</v>
      </c>
      <c r="J130" s="51">
        <f t="shared" si="43"/>
        <v>786382.39527377835</v>
      </c>
      <c r="K130" s="51">
        <f t="shared" si="43"/>
        <v>785774.72356772656</v>
      </c>
      <c r="L130" s="51">
        <f t="shared" si="43"/>
        <v>785792.72356772656</v>
      </c>
      <c r="M130" s="51">
        <f t="shared" si="43"/>
        <v>785818.72356772656</v>
      </c>
      <c r="N130" s="51">
        <f t="shared" si="43"/>
        <v>9456216.3619149067</v>
      </c>
    </row>
    <row r="131" spans="1:14" x14ac:dyDescent="0.25">
      <c r="A131" s="95" t="s">
        <v>112</v>
      </c>
      <c r="B131" s="96">
        <f>B22-B40-B58-B76-B94-B112-B130</f>
        <v>0</v>
      </c>
      <c r="C131" s="96">
        <f t="shared" ref="C131:N131" si="44">C22-C40-C58-C76-C94-C112-C130</f>
        <v>0</v>
      </c>
      <c r="D131" s="96">
        <f t="shared" si="44"/>
        <v>0</v>
      </c>
      <c r="E131" s="96">
        <f t="shared" si="44"/>
        <v>0</v>
      </c>
      <c r="F131" s="96">
        <f t="shared" si="44"/>
        <v>0</v>
      </c>
      <c r="G131" s="96">
        <f t="shared" si="44"/>
        <v>0</v>
      </c>
      <c r="H131" s="96">
        <f t="shared" si="44"/>
        <v>0</v>
      </c>
      <c r="I131" s="96">
        <f t="shared" si="44"/>
        <v>0</v>
      </c>
      <c r="J131" s="96">
        <f t="shared" si="44"/>
        <v>0</v>
      </c>
      <c r="K131" s="96">
        <f t="shared" si="44"/>
        <v>0</v>
      </c>
      <c r="L131" s="96">
        <f t="shared" si="44"/>
        <v>0</v>
      </c>
      <c r="M131" s="96">
        <f t="shared" si="44"/>
        <v>0</v>
      </c>
      <c r="N131" s="96">
        <f t="shared" si="44"/>
        <v>0</v>
      </c>
    </row>
    <row r="133" spans="1:14" x14ac:dyDescent="0.25">
      <c r="A133" s="50" t="s">
        <v>287</v>
      </c>
      <c r="B133" s="48">
        <v>1</v>
      </c>
      <c r="C133" s="48">
        <v>1</v>
      </c>
      <c r="D133" s="48">
        <v>1</v>
      </c>
      <c r="E133" s="48">
        <v>1</v>
      </c>
      <c r="F133" s="48">
        <v>1</v>
      </c>
      <c r="G133" s="48">
        <v>1</v>
      </c>
      <c r="H133" s="48">
        <v>1</v>
      </c>
      <c r="I133" s="48">
        <v>1</v>
      </c>
      <c r="J133" s="48">
        <v>1</v>
      </c>
      <c r="K133" s="48">
        <v>1</v>
      </c>
      <c r="L133" s="48">
        <v>1</v>
      </c>
      <c r="M133" s="48">
        <v>1</v>
      </c>
      <c r="N133" s="48">
        <f t="shared" ref="N133" si="45">SUM(B133:M133)</f>
        <v>12</v>
      </c>
    </row>
    <row r="135" spans="1:14" ht="17.25" x14ac:dyDescent="0.25">
      <c r="A135" s="39" t="s">
        <v>85</v>
      </c>
    </row>
    <row r="136" spans="1:14" ht="17.25" x14ac:dyDescent="0.25">
      <c r="A136" s="39" t="s">
        <v>86</v>
      </c>
    </row>
    <row r="137" spans="1:14" ht="17.25" x14ac:dyDescent="0.25">
      <c r="A137" s="39" t="s">
        <v>113</v>
      </c>
      <c r="B137" s="91"/>
      <c r="C137" s="91"/>
      <c r="D137" s="91"/>
      <c r="E137" s="91"/>
      <c r="F137" s="91"/>
      <c r="G137" s="91"/>
      <c r="H137" s="91"/>
      <c r="I137" s="91"/>
      <c r="J137" s="91"/>
      <c r="K137" s="91"/>
      <c r="L137" s="91"/>
      <c r="M137" s="91"/>
      <c r="N137" s="91"/>
    </row>
    <row r="138" spans="1:14" ht="18" customHeight="1" x14ac:dyDescent="0.25">
      <c r="A138" s="249" t="s">
        <v>283</v>
      </c>
      <c r="B138" s="249"/>
      <c r="C138" s="249"/>
      <c r="D138" s="249"/>
      <c r="E138" s="249"/>
      <c r="F138" s="249"/>
      <c r="G138" s="249"/>
      <c r="H138" s="249"/>
      <c r="I138" s="249"/>
      <c r="J138" s="249"/>
      <c r="K138" s="249"/>
      <c r="L138" s="249"/>
      <c r="M138" s="249"/>
      <c r="N138" s="249"/>
    </row>
    <row r="139" spans="1:14" x14ac:dyDescent="0.25">
      <c r="A139" s="249"/>
      <c r="B139" s="249"/>
      <c r="C139" s="249"/>
      <c r="D139" s="249"/>
      <c r="E139" s="249"/>
      <c r="F139" s="249"/>
      <c r="G139" s="249"/>
      <c r="H139" s="249"/>
      <c r="I139" s="249"/>
      <c r="J139" s="249"/>
      <c r="K139" s="249"/>
      <c r="L139" s="249"/>
      <c r="M139" s="249"/>
      <c r="N139" s="249"/>
    </row>
    <row r="140" spans="1:14" x14ac:dyDescent="0.25">
      <c r="A140" s="249"/>
      <c r="B140" s="249"/>
      <c r="C140" s="249"/>
      <c r="D140" s="249"/>
      <c r="E140" s="249"/>
      <c r="F140" s="249"/>
      <c r="G140" s="249"/>
      <c r="H140" s="249"/>
      <c r="I140" s="249"/>
      <c r="J140" s="249"/>
      <c r="K140" s="249"/>
      <c r="L140" s="249"/>
      <c r="M140" s="249"/>
      <c r="N140" s="249"/>
    </row>
    <row r="141" spans="1:14" ht="17.25" x14ac:dyDescent="0.25">
      <c r="A141" s="39" t="s">
        <v>102</v>
      </c>
    </row>
  </sheetData>
  <mergeCells count="5">
    <mergeCell ref="A138:N140"/>
    <mergeCell ref="A1:N1"/>
    <mergeCell ref="A2:N2"/>
    <mergeCell ref="A3:N3"/>
    <mergeCell ref="A4:N4"/>
  </mergeCells>
  <printOptions horizontalCentered="1"/>
  <pageMargins left="0.7" right="0.7" top="0.75" bottom="0.75" header="0.3" footer="0.3"/>
  <pageSetup scale="70" fitToHeight="5" orientation="landscape" blackAndWhite="1" r:id="rId1"/>
  <headerFooter>
    <oddFooter>&amp;L&amp;F 
&amp;A&amp;C&amp;P&amp;R&amp;D</oddFooter>
  </headerFooter>
  <rowBreaks count="3" manualBreakCount="3">
    <brk id="40" max="6" man="1"/>
    <brk id="76" max="6" man="1"/>
    <brk id="11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zoomScale="90" zoomScaleNormal="90" workbookViewId="0">
      <selection activeCell="I18" sqref="I18"/>
    </sheetView>
  </sheetViews>
  <sheetFormatPr defaultColWidth="9.140625" defaultRowHeight="15" x14ac:dyDescent="0.25"/>
  <cols>
    <col min="1" max="1" width="4.42578125" style="1" customWidth="1"/>
    <col min="2" max="2" width="38.28515625" style="1" customWidth="1"/>
    <col min="3" max="3" width="13.28515625" style="1" customWidth="1"/>
    <col min="4" max="4" width="15.42578125" style="1" customWidth="1"/>
    <col min="5" max="5" width="14.5703125" style="1" customWidth="1"/>
    <col min="6" max="6" width="15.85546875" style="1" customWidth="1"/>
    <col min="7" max="8" width="12.42578125" style="1" customWidth="1"/>
    <col min="9" max="16384" width="9.140625" style="1"/>
  </cols>
  <sheetData>
    <row r="1" spans="1:9" x14ac:dyDescent="0.25">
      <c r="A1" s="248" t="s">
        <v>0</v>
      </c>
      <c r="B1" s="248"/>
      <c r="C1" s="248"/>
      <c r="D1" s="248"/>
      <c r="E1" s="248"/>
      <c r="F1" s="248"/>
      <c r="G1" s="248"/>
      <c r="H1" s="248"/>
    </row>
    <row r="2" spans="1:9" x14ac:dyDescent="0.25">
      <c r="A2" s="58" t="s">
        <v>259</v>
      </c>
      <c r="B2" s="2"/>
      <c r="C2" s="2"/>
      <c r="D2" s="2"/>
      <c r="E2" s="2"/>
      <c r="F2" s="2"/>
      <c r="G2" s="2"/>
      <c r="H2" s="2"/>
    </row>
    <row r="3" spans="1:9" x14ac:dyDescent="0.25">
      <c r="A3" s="246" t="s">
        <v>89</v>
      </c>
      <c r="B3" s="248"/>
      <c r="C3" s="248"/>
      <c r="D3" s="248"/>
      <c r="E3" s="248"/>
      <c r="F3" s="248"/>
      <c r="G3" s="248"/>
      <c r="H3" s="248"/>
    </row>
    <row r="4" spans="1:9" x14ac:dyDescent="0.25">
      <c r="A4" s="246" t="s">
        <v>260</v>
      </c>
      <c r="B4" s="248"/>
      <c r="C4" s="248"/>
      <c r="D4" s="248"/>
      <c r="E4" s="248"/>
      <c r="F4" s="248"/>
      <c r="G4" s="248"/>
      <c r="H4" s="248"/>
    </row>
    <row r="5" spans="1:9" ht="13.5" customHeight="1" x14ac:dyDescent="0.25">
      <c r="E5" s="4"/>
      <c r="F5" s="4"/>
      <c r="G5" s="4"/>
      <c r="H5" s="4"/>
    </row>
    <row r="6" spans="1:9" ht="13.5" customHeight="1" x14ac:dyDescent="0.25">
      <c r="E6" s="4"/>
      <c r="F6" s="59" t="s">
        <v>92</v>
      </c>
      <c r="G6" s="59" t="s">
        <v>65</v>
      </c>
      <c r="H6" s="59" t="s">
        <v>65</v>
      </c>
    </row>
    <row r="7" spans="1:9" ht="17.25" x14ac:dyDescent="0.25">
      <c r="B7" s="4"/>
      <c r="C7" s="4"/>
      <c r="D7" s="23" t="s">
        <v>58</v>
      </c>
      <c r="E7" s="3"/>
      <c r="F7" s="59" t="s">
        <v>4</v>
      </c>
      <c r="G7" s="4" t="s">
        <v>5</v>
      </c>
      <c r="H7" s="4" t="s">
        <v>5</v>
      </c>
    </row>
    <row r="8" spans="1:9" x14ac:dyDescent="0.25">
      <c r="A8" s="5" t="s">
        <v>1</v>
      </c>
      <c r="B8" s="4"/>
      <c r="C8" s="4"/>
      <c r="D8" s="93" t="s">
        <v>264</v>
      </c>
      <c r="E8" s="3" t="s">
        <v>3</v>
      </c>
      <c r="F8" s="59" t="s">
        <v>10</v>
      </c>
      <c r="G8" s="23" t="s">
        <v>94</v>
      </c>
      <c r="H8" s="23" t="s">
        <v>11</v>
      </c>
    </row>
    <row r="9" spans="1:9" x14ac:dyDescent="0.25">
      <c r="A9" s="6" t="s">
        <v>6</v>
      </c>
      <c r="B9" s="6" t="s">
        <v>7</v>
      </c>
      <c r="C9" s="6" t="s">
        <v>8</v>
      </c>
      <c r="D9" s="86" t="s">
        <v>265</v>
      </c>
      <c r="E9" s="6" t="s">
        <v>9</v>
      </c>
      <c r="F9" s="60" t="s">
        <v>93</v>
      </c>
      <c r="G9" s="60" t="s">
        <v>93</v>
      </c>
      <c r="H9" s="60" t="s">
        <v>93</v>
      </c>
    </row>
    <row r="10" spans="1:9" x14ac:dyDescent="0.25">
      <c r="B10" s="5" t="s">
        <v>12</v>
      </c>
      <c r="C10" s="5" t="s">
        <v>13</v>
      </c>
      <c r="D10" s="7" t="s">
        <v>14</v>
      </c>
      <c r="E10" s="23" t="s">
        <v>15</v>
      </c>
      <c r="F10" s="7" t="s">
        <v>16</v>
      </c>
      <c r="G10" s="23" t="s">
        <v>17</v>
      </c>
      <c r="H10" s="24" t="s">
        <v>18</v>
      </c>
      <c r="I10" s="3"/>
    </row>
    <row r="11" spans="1:9" x14ac:dyDescent="0.25">
      <c r="A11" s="5">
        <v>1</v>
      </c>
      <c r="B11" s="1" t="s">
        <v>19</v>
      </c>
      <c r="C11" s="5">
        <v>23</v>
      </c>
      <c r="D11" s="8">
        <f>SUM('CCA Therm Forecast'!N99:N100)</f>
        <v>555750480</v>
      </c>
      <c r="E11" s="9">
        <f>D11/$D$24</f>
        <v>0.57500015741312804</v>
      </c>
      <c r="F11" s="10">
        <f>$F$26*E11</f>
        <v>128838388.09930171</v>
      </c>
      <c r="G11" s="11">
        <f>ROUND(F11/D11,5)</f>
        <v>0.23183000000000001</v>
      </c>
      <c r="H11" s="12"/>
    </row>
    <row r="12" spans="1:9" x14ac:dyDescent="0.25">
      <c r="A12" s="5">
        <f>A11+1</f>
        <v>2</v>
      </c>
      <c r="B12" s="1" t="s">
        <v>20</v>
      </c>
      <c r="C12" s="5">
        <v>16</v>
      </c>
      <c r="D12" s="8">
        <f>'CCA Therm Forecast'!N98</f>
        <v>6996</v>
      </c>
      <c r="E12" s="57">
        <f t="shared" ref="E12:E23" si="0">D12/$D$24</f>
        <v>7.2383223155511147E-6</v>
      </c>
      <c r="F12" s="10">
        <f t="shared" ref="F12:F23" si="1">$F$26*E12</f>
        <v>1621.8669989141795</v>
      </c>
      <c r="G12" s="11">
        <f t="shared" ref="G12:G23" si="2">ROUND(F12/D12,5)</f>
        <v>0.23183000000000001</v>
      </c>
      <c r="H12" s="12">
        <f>ROUND(G12*19,2)</f>
        <v>4.4000000000000004</v>
      </c>
    </row>
    <row r="13" spans="1:9" x14ac:dyDescent="0.25">
      <c r="A13" s="5">
        <f t="shared" ref="A13:A26" si="3">A12+1</f>
        <v>3</v>
      </c>
      <c r="B13" s="1" t="s">
        <v>21</v>
      </c>
      <c r="C13" s="5">
        <v>31</v>
      </c>
      <c r="D13" s="8">
        <f>'CCA Therm Forecast'!N101</f>
        <v>226449666.31127122</v>
      </c>
      <c r="E13" s="9">
        <f t="shared" si="0"/>
        <v>0.23429326372355316</v>
      </c>
      <c r="F13" s="10">
        <f t="shared" si="1"/>
        <v>52497318.568521842</v>
      </c>
      <c r="G13" s="11">
        <f t="shared" si="2"/>
        <v>0.23183000000000001</v>
      </c>
      <c r="H13" s="11"/>
    </row>
    <row r="14" spans="1:9" x14ac:dyDescent="0.25">
      <c r="A14" s="5">
        <f t="shared" si="3"/>
        <v>4</v>
      </c>
      <c r="B14" s="1" t="s">
        <v>22</v>
      </c>
      <c r="C14" s="5">
        <v>41</v>
      </c>
      <c r="D14" s="8">
        <f>'CCA Therm Forecast'!N102</f>
        <v>61653322.19827313</v>
      </c>
      <c r="E14" s="9">
        <f t="shared" si="0"/>
        <v>6.3788824742084527E-2</v>
      </c>
      <c r="F14" s="10">
        <f t="shared" si="1"/>
        <v>14292951.493253604</v>
      </c>
      <c r="G14" s="11">
        <f t="shared" si="2"/>
        <v>0.23183000000000001</v>
      </c>
      <c r="H14" s="11"/>
    </row>
    <row r="15" spans="1:9" x14ac:dyDescent="0.25">
      <c r="A15" s="5">
        <f t="shared" si="3"/>
        <v>5</v>
      </c>
      <c r="B15" s="1" t="s">
        <v>23</v>
      </c>
      <c r="C15" s="5">
        <v>85</v>
      </c>
      <c r="D15" s="8">
        <f>'CCA Therm Forecast'!N103</f>
        <v>14305940.927245032</v>
      </c>
      <c r="E15" s="9">
        <f t="shared" si="0"/>
        <v>1.4801459613869887E-2</v>
      </c>
      <c r="F15" s="10">
        <f t="shared" si="1"/>
        <v>3316514.2193130981</v>
      </c>
      <c r="G15" s="11">
        <f t="shared" si="2"/>
        <v>0.23183000000000001</v>
      </c>
      <c r="H15" s="11"/>
    </row>
    <row r="16" spans="1:9" x14ac:dyDescent="0.25">
      <c r="A16" s="5">
        <f t="shared" si="3"/>
        <v>6</v>
      </c>
      <c r="B16" s="1" t="s">
        <v>24</v>
      </c>
      <c r="C16" s="5">
        <v>86</v>
      </c>
      <c r="D16" s="8">
        <f>'CCA Therm Forecast'!N104</f>
        <v>4872572</v>
      </c>
      <c r="E16" s="9">
        <f t="shared" si="0"/>
        <v>5.0413445742895262E-3</v>
      </c>
      <c r="F16" s="10">
        <f t="shared" si="1"/>
        <v>1129597.4452020098</v>
      </c>
      <c r="G16" s="11">
        <f t="shared" si="2"/>
        <v>0.23183000000000001</v>
      </c>
      <c r="H16" s="11"/>
    </row>
    <row r="17" spans="1:8" x14ac:dyDescent="0.25">
      <c r="A17" s="5">
        <f t="shared" si="3"/>
        <v>7</v>
      </c>
      <c r="B17" s="1" t="s">
        <v>25</v>
      </c>
      <c r="C17" s="5">
        <v>87</v>
      </c>
      <c r="D17" s="8">
        <f>'CCA Therm Forecast'!N105</f>
        <v>1550270.6056976072</v>
      </c>
      <c r="E17" s="9">
        <f t="shared" si="0"/>
        <v>1.6039677416186298E-3</v>
      </c>
      <c r="F17" s="10">
        <f t="shared" si="1"/>
        <v>359395.75968662743</v>
      </c>
      <c r="G17" s="11">
        <f t="shared" si="2"/>
        <v>0.23183000000000001</v>
      </c>
      <c r="H17" s="11"/>
    </row>
    <row r="18" spans="1:8" x14ac:dyDescent="0.25">
      <c r="A18" s="5">
        <f t="shared" si="3"/>
        <v>8</v>
      </c>
      <c r="B18" s="1" t="s">
        <v>26</v>
      </c>
      <c r="C18" s="5" t="s">
        <v>27</v>
      </c>
      <c r="D18" s="8">
        <f>'CCA Therm Forecast'!N106</f>
        <v>952</v>
      </c>
      <c r="E18" s="9">
        <f t="shared" si="0"/>
        <v>9.849746775878589E-7</v>
      </c>
      <c r="F18" s="10">
        <f t="shared" si="1"/>
        <v>220.70002615298725</v>
      </c>
      <c r="G18" s="11">
        <f t="shared" si="2"/>
        <v>0.23183000000000001</v>
      </c>
      <c r="H18" s="11"/>
    </row>
    <row r="19" spans="1:8" x14ac:dyDescent="0.25">
      <c r="A19" s="5">
        <f t="shared" si="3"/>
        <v>9</v>
      </c>
      <c r="B19" s="1" t="s">
        <v>28</v>
      </c>
      <c r="C19" s="5" t="s">
        <v>29</v>
      </c>
      <c r="D19" s="8">
        <f>'CCA Therm Forecast'!N107</f>
        <v>21477365</v>
      </c>
      <c r="E19" s="9">
        <f t="shared" si="0"/>
        <v>2.222128221251236E-2</v>
      </c>
      <c r="F19" s="10">
        <f t="shared" si="1"/>
        <v>4979049.387812241</v>
      </c>
      <c r="G19" s="11">
        <f t="shared" si="2"/>
        <v>0.23183000000000001</v>
      </c>
      <c r="H19" s="11"/>
    </row>
    <row r="20" spans="1:8" x14ac:dyDescent="0.25">
      <c r="A20" s="5">
        <f t="shared" si="3"/>
        <v>10</v>
      </c>
      <c r="B20" s="1" t="s">
        <v>30</v>
      </c>
      <c r="C20" s="5" t="s">
        <v>31</v>
      </c>
      <c r="D20" s="8">
        <f>'CCA Therm Forecast'!N108</f>
        <v>58769691.57454814</v>
      </c>
      <c r="E20" s="9">
        <f t="shared" si="0"/>
        <v>6.0805313036321917E-2</v>
      </c>
      <c r="F20" s="10">
        <f t="shared" si="1"/>
        <v>13624445.869228749</v>
      </c>
      <c r="G20" s="11">
        <f t="shared" si="2"/>
        <v>0.23183000000000001</v>
      </c>
      <c r="H20" s="11"/>
    </row>
    <row r="21" spans="1:8" x14ac:dyDescent="0.25">
      <c r="A21" s="5">
        <f t="shared" si="3"/>
        <v>11</v>
      </c>
      <c r="B21" s="1" t="s">
        <v>32</v>
      </c>
      <c r="C21" s="5" t="s">
        <v>33</v>
      </c>
      <c r="D21" s="8">
        <f>'CCA Therm Forecast'!N109</f>
        <v>1198658</v>
      </c>
      <c r="E21" s="9">
        <f t="shared" si="0"/>
        <v>1.2401762364370882E-3</v>
      </c>
      <c r="F21" s="10">
        <f t="shared" si="1"/>
        <v>277882.19742488174</v>
      </c>
      <c r="G21" s="11">
        <f t="shared" si="2"/>
        <v>0.23183000000000001</v>
      </c>
      <c r="H21" s="11"/>
    </row>
    <row r="22" spans="1:8" x14ac:dyDescent="0.25">
      <c r="A22" s="5">
        <f t="shared" si="3"/>
        <v>12</v>
      </c>
      <c r="B22" s="1" t="s">
        <v>34</v>
      </c>
      <c r="C22" s="241" t="s">
        <v>294</v>
      </c>
      <c r="D22" s="8">
        <f>'CCA Therm Forecast'!N110</f>
        <v>7573006.0794945797</v>
      </c>
      <c r="E22" s="9">
        <f t="shared" si="0"/>
        <v>7.835314308320452E-3</v>
      </c>
      <c r="F22" s="10">
        <f t="shared" si="1"/>
        <v>1755633.0250012451</v>
      </c>
      <c r="G22" s="11">
        <f t="shared" si="2"/>
        <v>0.23183000000000001</v>
      </c>
      <c r="H22" s="11"/>
    </row>
    <row r="23" spans="1:8" x14ac:dyDescent="0.25">
      <c r="A23" s="5">
        <f t="shared" si="3"/>
        <v>13</v>
      </c>
      <c r="B23" s="1" t="s">
        <v>36</v>
      </c>
      <c r="D23" s="8">
        <f>'CCA Therm Forecast'!N111</f>
        <v>12913388.61947025</v>
      </c>
      <c r="E23" s="9">
        <f t="shared" si="0"/>
        <v>1.3360673100871258E-2</v>
      </c>
      <c r="F23" s="10">
        <f t="shared" si="1"/>
        <v>2993681.9391184584</v>
      </c>
      <c r="G23" s="11">
        <f t="shared" si="2"/>
        <v>0.23183000000000001</v>
      </c>
      <c r="H23" s="11"/>
    </row>
    <row r="24" spans="1:8" x14ac:dyDescent="0.25">
      <c r="A24" s="5">
        <f t="shared" si="3"/>
        <v>14</v>
      </c>
      <c r="B24" s="1" t="s">
        <v>2</v>
      </c>
      <c r="D24" s="20">
        <f>SUM(D11:D23)</f>
        <v>966522309.31599998</v>
      </c>
      <c r="E24" s="21">
        <f>SUM(E11:E23)</f>
        <v>1</v>
      </c>
      <c r="F24" s="13">
        <f>SUM(F11:F23)</f>
        <v>224066700.5708895</v>
      </c>
      <c r="G24" s="14"/>
      <c r="H24" s="14"/>
    </row>
    <row r="25" spans="1:8" x14ac:dyDescent="0.25">
      <c r="A25" s="5">
        <f t="shared" si="3"/>
        <v>15</v>
      </c>
      <c r="D25" s="15"/>
    </row>
    <row r="26" spans="1:8" x14ac:dyDescent="0.25">
      <c r="A26" s="5">
        <f t="shared" si="3"/>
        <v>16</v>
      </c>
      <c r="B26" s="1" t="s">
        <v>37</v>
      </c>
      <c r="E26" s="16"/>
      <c r="F26" s="85">
        <f>'Rev Req'!E14</f>
        <v>224066700.57088953</v>
      </c>
      <c r="G26" s="17"/>
      <c r="H26" s="17"/>
    </row>
    <row r="27" spans="1:8" x14ac:dyDescent="0.25">
      <c r="A27" s="5"/>
      <c r="E27" s="16"/>
      <c r="F27" s="16"/>
      <c r="G27" s="10"/>
      <c r="H27" s="10"/>
    </row>
    <row r="28" spans="1:8" ht="17.25" x14ac:dyDescent="0.25">
      <c r="A28" s="5"/>
      <c r="B28" s="39" t="s">
        <v>103</v>
      </c>
      <c r="D28" s="5"/>
      <c r="E28" s="16"/>
      <c r="F28" s="16"/>
      <c r="G28" s="10"/>
      <c r="H28" s="10"/>
    </row>
    <row r="29" spans="1:8" x14ac:dyDescent="0.25">
      <c r="D29" s="5"/>
    </row>
    <row r="30" spans="1:8" x14ac:dyDescent="0.25">
      <c r="B30" s="1" t="str">
        <f>"* - When, or if, Schedule 88T becomes effective, then the charge of $"&amp;'Sch. 111 Chrg Rates (88T)'!G23&amp;" will apply to 88T and credit will be $"&amp;'Sch. 111 NVC Rates (88T)'!H23&amp;" for 88T and $"&amp;'Sch. 111 NVC Rates (88T)'!H22&amp;" for 87T."</f>
        <v>* - When, or if, Schedule 88T becomes effective, then the charge of $0.23183 will apply to 88T and credit will be $-56567.83 for 88T and $-16040.18 for 87T.</v>
      </c>
      <c r="D30" s="22"/>
    </row>
    <row r="31" spans="1:8" x14ac:dyDescent="0.25">
      <c r="D31" s="18"/>
    </row>
    <row r="32" spans="1:8" x14ac:dyDescent="0.25">
      <c r="D32" s="18"/>
      <c r="F32" s="10"/>
    </row>
    <row r="33" spans="4:4" x14ac:dyDescent="0.25">
      <c r="D33" s="18"/>
    </row>
    <row r="34" spans="4:4" x14ac:dyDescent="0.25">
      <c r="D34" s="18"/>
    </row>
    <row r="35" spans="4:4" x14ac:dyDescent="0.25">
      <c r="D35" s="19"/>
    </row>
  </sheetData>
  <mergeCells count="3">
    <mergeCell ref="A1:H1"/>
    <mergeCell ref="A3:H3"/>
    <mergeCell ref="A4:H4"/>
  </mergeCells>
  <printOptions horizontalCentered="1"/>
  <pageMargins left="0.45" right="0.45" top="0.75" bottom="0.75" header="0.3" footer="0.3"/>
  <pageSetup orientation="landscape" blackAndWhite="1" r:id="rId1"/>
  <headerFooter>
    <oddFooter>&amp;L&amp;F 
&amp;A&amp;C&amp;P&amp;R&amp;D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zoomScale="90" zoomScaleNormal="90" workbookViewId="0">
      <selection activeCell="L23" sqref="L23"/>
    </sheetView>
  </sheetViews>
  <sheetFormatPr defaultColWidth="9.140625" defaultRowHeight="15" x14ac:dyDescent="0.25"/>
  <cols>
    <col min="1" max="1" width="17.85546875" style="39" customWidth="1"/>
    <col min="2" max="6" width="12" style="39" bestFit="1" customWidth="1"/>
    <col min="7" max="13" width="12" style="39" customWidth="1"/>
    <col min="14" max="14" width="13.85546875" style="39" customWidth="1"/>
    <col min="15" max="16384" width="9.140625" style="39"/>
  </cols>
  <sheetData>
    <row r="1" spans="1:14" x14ac:dyDescent="0.25">
      <c r="A1" s="246" t="s">
        <v>0</v>
      </c>
      <c r="B1" s="246"/>
      <c r="C1" s="246"/>
      <c r="D1" s="246"/>
      <c r="E1" s="246"/>
      <c r="F1" s="246"/>
      <c r="G1" s="246"/>
      <c r="H1" s="246"/>
      <c r="I1" s="246"/>
      <c r="J1" s="246"/>
      <c r="K1" s="246"/>
      <c r="L1" s="246"/>
      <c r="M1" s="246"/>
      <c r="N1" s="246"/>
    </row>
    <row r="2" spans="1:14" x14ac:dyDescent="0.25">
      <c r="A2" s="253" t="str">
        <f>'Sch. 111 Charge Rates'!A2</f>
        <v>2024 Gas Schedule 111 Greenhouse Gas Emissions Cap and Invest Adjustment Filing</v>
      </c>
      <c r="B2" s="253"/>
      <c r="C2" s="253"/>
      <c r="D2" s="253"/>
      <c r="E2" s="253"/>
      <c r="F2" s="253"/>
      <c r="G2" s="253"/>
      <c r="H2" s="253"/>
      <c r="I2" s="253"/>
      <c r="J2" s="253"/>
      <c r="K2" s="253"/>
      <c r="L2" s="253"/>
      <c r="M2" s="253"/>
      <c r="N2" s="253"/>
    </row>
    <row r="3" spans="1:14" x14ac:dyDescent="0.25">
      <c r="A3" s="253" t="s">
        <v>50</v>
      </c>
      <c r="B3" s="253"/>
      <c r="C3" s="253"/>
      <c r="D3" s="253"/>
      <c r="E3" s="253"/>
      <c r="F3" s="253"/>
      <c r="G3" s="253"/>
      <c r="H3" s="253"/>
      <c r="I3" s="253"/>
      <c r="J3" s="253"/>
      <c r="K3" s="253"/>
      <c r="L3" s="253"/>
      <c r="M3" s="253"/>
      <c r="N3" s="253"/>
    </row>
    <row r="4" spans="1:14" x14ac:dyDescent="0.25">
      <c r="A4" s="254" t="str">
        <f>TEXT(B7,"Mmmm YYYY - ")&amp;TEXT(M7,"Mmmm YYYY")</f>
        <v>January 2024 - December 2024</v>
      </c>
      <c r="B4" s="253"/>
      <c r="C4" s="253"/>
      <c r="D4" s="253"/>
      <c r="E4" s="253"/>
      <c r="F4" s="253"/>
      <c r="G4" s="253"/>
      <c r="H4" s="253"/>
      <c r="I4" s="253"/>
      <c r="J4" s="253"/>
      <c r="K4" s="253"/>
      <c r="L4" s="253"/>
      <c r="M4" s="253"/>
      <c r="N4" s="253"/>
    </row>
    <row r="5" spans="1:14" x14ac:dyDescent="0.25">
      <c r="A5" s="40"/>
      <c r="B5" s="40"/>
      <c r="C5" s="40"/>
      <c r="D5" s="40"/>
      <c r="E5" s="40"/>
      <c r="F5" s="41"/>
      <c r="G5" s="41"/>
      <c r="H5" s="41"/>
      <c r="I5" s="41"/>
      <c r="J5" s="41"/>
      <c r="K5" s="41"/>
      <c r="L5" s="41"/>
      <c r="M5" s="41"/>
      <c r="N5" s="41"/>
    </row>
    <row r="6" spans="1:14" x14ac:dyDescent="0.25">
      <c r="A6" s="53" t="s">
        <v>53</v>
      </c>
      <c r="B6" s="40"/>
      <c r="C6" s="40"/>
      <c r="D6" s="40"/>
      <c r="E6" s="40"/>
      <c r="F6" s="41"/>
      <c r="G6" s="41"/>
      <c r="H6" s="41"/>
      <c r="I6" s="41"/>
      <c r="J6" s="41"/>
      <c r="K6" s="41"/>
      <c r="L6" s="41"/>
      <c r="M6" s="41"/>
      <c r="N6" s="41"/>
    </row>
    <row r="7" spans="1:14" x14ac:dyDescent="0.25">
      <c r="A7" s="43" t="s">
        <v>51</v>
      </c>
      <c r="B7" s="44">
        <v>45292</v>
      </c>
      <c r="C7" s="45">
        <f>EDATE(B7,1)</f>
        <v>45323</v>
      </c>
      <c r="D7" s="45">
        <f t="shared" ref="D7:F7" si="0">EDATE(C7,1)</f>
        <v>45352</v>
      </c>
      <c r="E7" s="45">
        <f t="shared" si="0"/>
        <v>45383</v>
      </c>
      <c r="F7" s="45">
        <f t="shared" si="0"/>
        <v>45413</v>
      </c>
      <c r="G7" s="45">
        <f t="shared" ref="G7" si="1">EDATE(F7,1)</f>
        <v>45444</v>
      </c>
      <c r="H7" s="45">
        <f t="shared" ref="H7" si="2">EDATE(G7,1)</f>
        <v>45474</v>
      </c>
      <c r="I7" s="45">
        <f t="shared" ref="I7" si="3">EDATE(H7,1)</f>
        <v>45505</v>
      </c>
      <c r="J7" s="45">
        <f t="shared" ref="J7" si="4">EDATE(I7,1)</f>
        <v>45536</v>
      </c>
      <c r="K7" s="45">
        <f t="shared" ref="K7" si="5">EDATE(J7,1)</f>
        <v>45566</v>
      </c>
      <c r="L7" s="45">
        <f t="shared" ref="L7" si="6">EDATE(K7,1)</f>
        <v>45597</v>
      </c>
      <c r="M7" s="45">
        <f t="shared" ref="M7" si="7">EDATE(L7,1)</f>
        <v>45627</v>
      </c>
      <c r="N7" s="46" t="s">
        <v>2</v>
      </c>
    </row>
    <row r="8" spans="1:14" x14ac:dyDescent="0.25">
      <c r="A8" s="42">
        <v>16</v>
      </c>
      <c r="B8" s="47">
        <v>583</v>
      </c>
      <c r="C8" s="47">
        <v>583</v>
      </c>
      <c r="D8" s="47">
        <v>583</v>
      </c>
      <c r="E8" s="47">
        <v>583</v>
      </c>
      <c r="F8" s="47">
        <v>583</v>
      </c>
      <c r="G8" s="47">
        <v>583</v>
      </c>
      <c r="H8" s="47">
        <v>583</v>
      </c>
      <c r="I8" s="47">
        <v>583</v>
      </c>
      <c r="J8" s="47">
        <v>583</v>
      </c>
      <c r="K8" s="47">
        <v>583</v>
      </c>
      <c r="L8" s="47">
        <v>583</v>
      </c>
      <c r="M8" s="47">
        <v>583</v>
      </c>
      <c r="N8" s="48">
        <f>SUM(B8:M8)</f>
        <v>6996</v>
      </c>
    </row>
    <row r="9" spans="1:14" x14ac:dyDescent="0.25">
      <c r="A9" s="42">
        <v>23</v>
      </c>
      <c r="B9" s="47">
        <v>85099134</v>
      </c>
      <c r="C9" s="47">
        <v>74985418</v>
      </c>
      <c r="D9" s="47">
        <v>68653480</v>
      </c>
      <c r="E9" s="47">
        <v>46949280</v>
      </c>
      <c r="F9" s="47">
        <v>27300857</v>
      </c>
      <c r="G9" s="47">
        <v>18661784</v>
      </c>
      <c r="H9" s="47">
        <v>14141387</v>
      </c>
      <c r="I9" s="47">
        <v>13556472</v>
      </c>
      <c r="J9" s="47">
        <v>17856721</v>
      </c>
      <c r="K9" s="47">
        <v>38270559</v>
      </c>
      <c r="L9" s="47">
        <v>64417242</v>
      </c>
      <c r="M9" s="47">
        <v>85858146</v>
      </c>
      <c r="N9" s="48">
        <f t="shared" ref="N9:N21" si="8">SUM(B9:M9)</f>
        <v>555750480</v>
      </c>
    </row>
    <row r="10" spans="1:14" x14ac:dyDescent="0.25">
      <c r="A10" s="42">
        <v>53</v>
      </c>
      <c r="B10" s="47">
        <v>0</v>
      </c>
      <c r="C10" s="47">
        <v>0</v>
      </c>
      <c r="D10" s="47">
        <v>0</v>
      </c>
      <c r="E10" s="47">
        <v>0</v>
      </c>
      <c r="F10" s="47">
        <v>0</v>
      </c>
      <c r="G10" s="47">
        <v>0</v>
      </c>
      <c r="H10" s="47">
        <v>0</v>
      </c>
      <c r="I10" s="47">
        <v>0</v>
      </c>
      <c r="J10" s="47">
        <v>0</v>
      </c>
      <c r="K10" s="47">
        <v>0</v>
      </c>
      <c r="L10" s="47">
        <v>0</v>
      </c>
      <c r="M10" s="47">
        <v>0</v>
      </c>
      <c r="N10" s="48">
        <f t="shared" si="8"/>
        <v>0</v>
      </c>
    </row>
    <row r="11" spans="1:14" ht="17.25" x14ac:dyDescent="0.25">
      <c r="A11" s="42" t="s">
        <v>232</v>
      </c>
      <c r="B11" s="47">
        <f>29841972-B16</f>
        <v>29841444</v>
      </c>
      <c r="C11" s="47">
        <f>26959673-C16</f>
        <v>26959612</v>
      </c>
      <c r="D11" s="47">
        <f>23951671-D16</f>
        <v>23951671</v>
      </c>
      <c r="E11" s="47">
        <f>17138745-E16</f>
        <v>17138745</v>
      </c>
      <c r="F11" s="47">
        <f>12479173-F16</f>
        <v>12479173</v>
      </c>
      <c r="G11" s="47">
        <f>10007332-G16</f>
        <v>10007332</v>
      </c>
      <c r="H11" s="47">
        <f>8541920-H16</f>
        <v>8541920</v>
      </c>
      <c r="I11" s="47">
        <f>9385859-I16</f>
        <v>9385859</v>
      </c>
      <c r="J11" s="47">
        <f>11554397-J16</f>
        <v>11554178</v>
      </c>
      <c r="K11" s="47">
        <f>19568959-K16</f>
        <v>19568944</v>
      </c>
      <c r="L11" s="47">
        <f>27914350-L16</f>
        <v>27914349</v>
      </c>
      <c r="M11" s="47">
        <f>33705422-M16</f>
        <v>33705294</v>
      </c>
      <c r="N11" s="48">
        <f t="shared" si="8"/>
        <v>231048521</v>
      </c>
    </row>
    <row r="12" spans="1:14" x14ac:dyDescent="0.25">
      <c r="A12" s="42">
        <v>41</v>
      </c>
      <c r="B12" s="47">
        <v>7027771</v>
      </c>
      <c r="C12" s="47">
        <v>6731689</v>
      </c>
      <c r="D12" s="47">
        <v>6193338</v>
      </c>
      <c r="E12" s="47">
        <v>4749198</v>
      </c>
      <c r="F12" s="47">
        <v>3794892</v>
      </c>
      <c r="G12" s="47">
        <v>3220044</v>
      </c>
      <c r="H12" s="47">
        <v>2633383</v>
      </c>
      <c r="I12" s="47">
        <v>2880961</v>
      </c>
      <c r="J12" s="47">
        <v>3593806</v>
      </c>
      <c r="K12" s="47">
        <v>5682283</v>
      </c>
      <c r="L12" s="47">
        <v>7339009</v>
      </c>
      <c r="M12" s="47">
        <v>7926928</v>
      </c>
      <c r="N12" s="48">
        <f t="shared" si="8"/>
        <v>61773302</v>
      </c>
    </row>
    <row r="13" spans="1:14" x14ac:dyDescent="0.25">
      <c r="A13" s="42">
        <v>85</v>
      </c>
      <c r="B13" s="47">
        <v>1599575</v>
      </c>
      <c r="C13" s="47">
        <v>1594052</v>
      </c>
      <c r="D13" s="47">
        <v>1547353</v>
      </c>
      <c r="E13" s="47">
        <v>1330588</v>
      </c>
      <c r="F13" s="47">
        <v>1333543</v>
      </c>
      <c r="G13" s="47">
        <v>1228915</v>
      </c>
      <c r="H13" s="47">
        <v>1241425</v>
      </c>
      <c r="I13" s="47">
        <v>1346578</v>
      </c>
      <c r="J13" s="47">
        <v>1180877</v>
      </c>
      <c r="K13" s="47">
        <v>1444713</v>
      </c>
      <c r="L13" s="47">
        <v>1525808</v>
      </c>
      <c r="M13" s="47">
        <v>1795961</v>
      </c>
      <c r="N13" s="48">
        <f t="shared" si="8"/>
        <v>17169388</v>
      </c>
    </row>
    <row r="14" spans="1:14" x14ac:dyDescent="0.25">
      <c r="A14" s="42">
        <v>86</v>
      </c>
      <c r="B14" s="47">
        <v>702664</v>
      </c>
      <c r="C14" s="47">
        <v>693062</v>
      </c>
      <c r="D14" s="47">
        <v>665938</v>
      </c>
      <c r="E14" s="47">
        <v>468531</v>
      </c>
      <c r="F14" s="47">
        <v>388605</v>
      </c>
      <c r="G14" s="47">
        <v>222624</v>
      </c>
      <c r="H14" s="47">
        <v>99487</v>
      </c>
      <c r="I14" s="47">
        <v>17695</v>
      </c>
      <c r="J14" s="47">
        <v>47188</v>
      </c>
      <c r="K14" s="47">
        <v>274533</v>
      </c>
      <c r="L14" s="47">
        <v>503995</v>
      </c>
      <c r="M14" s="47">
        <v>788250</v>
      </c>
      <c r="N14" s="48">
        <f t="shared" si="8"/>
        <v>4872572</v>
      </c>
    </row>
    <row r="15" spans="1:14" x14ac:dyDescent="0.25">
      <c r="A15" s="42">
        <v>87</v>
      </c>
      <c r="B15" s="47">
        <v>1836059</v>
      </c>
      <c r="C15" s="47">
        <v>1824391</v>
      </c>
      <c r="D15" s="47">
        <v>1749044</v>
      </c>
      <c r="E15" s="47">
        <v>1402353</v>
      </c>
      <c r="F15" s="47">
        <v>1509483</v>
      </c>
      <c r="G15" s="47">
        <v>1358291</v>
      </c>
      <c r="H15" s="47">
        <v>1475182</v>
      </c>
      <c r="I15" s="47">
        <v>1610634</v>
      </c>
      <c r="J15" s="47">
        <v>1501333</v>
      </c>
      <c r="K15" s="47">
        <v>2068873</v>
      </c>
      <c r="L15" s="47">
        <v>1993956</v>
      </c>
      <c r="M15" s="47">
        <v>2365281</v>
      </c>
      <c r="N15" s="48">
        <f t="shared" si="8"/>
        <v>20694880</v>
      </c>
    </row>
    <row r="16" spans="1:14" ht="17.25" x14ac:dyDescent="0.25">
      <c r="A16" s="42" t="s">
        <v>233</v>
      </c>
      <c r="B16" s="47">
        <v>528</v>
      </c>
      <c r="C16" s="47">
        <v>61</v>
      </c>
      <c r="D16" s="47">
        <v>0</v>
      </c>
      <c r="E16" s="47">
        <v>0</v>
      </c>
      <c r="F16" s="47">
        <v>0</v>
      </c>
      <c r="G16" s="47">
        <v>0</v>
      </c>
      <c r="H16" s="47">
        <v>0</v>
      </c>
      <c r="I16" s="47">
        <v>0</v>
      </c>
      <c r="J16" s="47">
        <v>219</v>
      </c>
      <c r="K16" s="47">
        <v>15</v>
      </c>
      <c r="L16" s="47">
        <v>1</v>
      </c>
      <c r="M16" s="47">
        <v>128</v>
      </c>
      <c r="N16" s="48">
        <f t="shared" si="8"/>
        <v>952</v>
      </c>
    </row>
    <row r="17" spans="1:14" x14ac:dyDescent="0.25">
      <c r="A17" s="42" t="s">
        <v>29</v>
      </c>
      <c r="B17" s="47">
        <v>1774331</v>
      </c>
      <c r="C17" s="47">
        <v>2017130</v>
      </c>
      <c r="D17" s="47">
        <v>1793236</v>
      </c>
      <c r="E17" s="47">
        <v>1909641</v>
      </c>
      <c r="F17" s="47">
        <v>1839584</v>
      </c>
      <c r="G17" s="47">
        <v>1883319</v>
      </c>
      <c r="H17" s="47">
        <v>1678682</v>
      </c>
      <c r="I17" s="47">
        <v>1691880</v>
      </c>
      <c r="J17" s="47">
        <v>1738088</v>
      </c>
      <c r="K17" s="47">
        <v>1511046</v>
      </c>
      <c r="L17" s="47">
        <v>1833376</v>
      </c>
      <c r="M17" s="47">
        <v>1807052</v>
      </c>
      <c r="N17" s="48">
        <f t="shared" si="8"/>
        <v>21477365</v>
      </c>
    </row>
    <row r="18" spans="1:14" x14ac:dyDescent="0.25">
      <c r="A18" s="42" t="s">
        <v>31</v>
      </c>
      <c r="B18" s="47">
        <v>5041670</v>
      </c>
      <c r="C18" s="47">
        <v>5872492</v>
      </c>
      <c r="D18" s="47">
        <v>5053847</v>
      </c>
      <c r="E18" s="47">
        <v>5656126</v>
      </c>
      <c r="F18" s="47">
        <v>5832342</v>
      </c>
      <c r="G18" s="47">
        <v>5420147</v>
      </c>
      <c r="H18" s="47">
        <v>4980768</v>
      </c>
      <c r="I18" s="47">
        <v>4885851</v>
      </c>
      <c r="J18" s="47">
        <v>5424449</v>
      </c>
      <c r="K18" s="47">
        <v>4526473</v>
      </c>
      <c r="L18" s="47">
        <v>5490229</v>
      </c>
      <c r="M18" s="47">
        <v>5382296</v>
      </c>
      <c r="N18" s="48">
        <f t="shared" si="8"/>
        <v>63566690</v>
      </c>
    </row>
    <row r="19" spans="1:14" x14ac:dyDescent="0.25">
      <c r="A19" s="42" t="s">
        <v>33</v>
      </c>
      <c r="B19" s="47">
        <v>97698</v>
      </c>
      <c r="C19" s="47">
        <v>118656</v>
      </c>
      <c r="D19" s="47">
        <v>101941</v>
      </c>
      <c r="E19" s="47">
        <v>111179</v>
      </c>
      <c r="F19" s="47">
        <v>104880</v>
      </c>
      <c r="G19" s="47">
        <v>104204</v>
      </c>
      <c r="H19" s="47">
        <v>90225</v>
      </c>
      <c r="I19" s="47">
        <v>83370</v>
      </c>
      <c r="J19" s="47">
        <v>96837</v>
      </c>
      <c r="K19" s="47">
        <v>83739</v>
      </c>
      <c r="L19" s="47">
        <v>105045</v>
      </c>
      <c r="M19" s="47">
        <v>100884</v>
      </c>
      <c r="N19" s="48">
        <f t="shared" si="8"/>
        <v>1198658</v>
      </c>
    </row>
    <row r="20" spans="1:14" x14ac:dyDescent="0.25">
      <c r="A20" s="42" t="s">
        <v>35</v>
      </c>
      <c r="B20" s="47">
        <v>8759343</v>
      </c>
      <c r="C20" s="47">
        <v>10236860</v>
      </c>
      <c r="D20" s="47">
        <v>8918493</v>
      </c>
      <c r="E20" s="47">
        <v>9439582</v>
      </c>
      <c r="F20" s="47">
        <v>10257828</v>
      </c>
      <c r="G20" s="47">
        <v>11399495</v>
      </c>
      <c r="H20" s="47">
        <v>11779346</v>
      </c>
      <c r="I20" s="47">
        <v>11336188</v>
      </c>
      <c r="J20" s="47">
        <v>11888460</v>
      </c>
      <c r="K20" s="47">
        <v>10208495</v>
      </c>
      <c r="L20" s="47">
        <v>9192922</v>
      </c>
      <c r="M20" s="47">
        <v>9834705</v>
      </c>
      <c r="N20" s="48">
        <f t="shared" si="8"/>
        <v>123251717</v>
      </c>
    </row>
    <row r="21" spans="1:14" x14ac:dyDescent="0.25">
      <c r="A21" s="49" t="s">
        <v>36</v>
      </c>
      <c r="B21" s="47">
        <v>3416838</v>
      </c>
      <c r="C21" s="47">
        <v>4104572</v>
      </c>
      <c r="D21" s="47">
        <v>2869624</v>
      </c>
      <c r="E21" s="47">
        <v>2802981</v>
      </c>
      <c r="F21" s="47">
        <v>2518324</v>
      </c>
      <c r="G21" s="47">
        <v>1983662</v>
      </c>
      <c r="H21" s="47">
        <v>1748321</v>
      </c>
      <c r="I21" s="47">
        <v>1594116</v>
      </c>
      <c r="J21" s="47">
        <v>1962548</v>
      </c>
      <c r="K21" s="47">
        <v>2065335</v>
      </c>
      <c r="L21" s="47">
        <v>3420878</v>
      </c>
      <c r="M21" s="47">
        <v>3800407</v>
      </c>
      <c r="N21" s="48">
        <f t="shared" si="8"/>
        <v>32287606</v>
      </c>
    </row>
    <row r="22" spans="1:14" x14ac:dyDescent="0.25">
      <c r="A22" s="50" t="s">
        <v>2</v>
      </c>
      <c r="B22" s="51">
        <f>SUM(B8:B21)</f>
        <v>145197638</v>
      </c>
      <c r="C22" s="51">
        <f t="shared" ref="C22:N22" si="9">SUM(C8:C21)</f>
        <v>135138578</v>
      </c>
      <c r="D22" s="51">
        <f t="shared" si="9"/>
        <v>121498548</v>
      </c>
      <c r="E22" s="51">
        <f t="shared" si="9"/>
        <v>91958787</v>
      </c>
      <c r="F22" s="51">
        <f t="shared" si="9"/>
        <v>67360094</v>
      </c>
      <c r="G22" s="51">
        <f t="shared" si="9"/>
        <v>55490400</v>
      </c>
      <c r="H22" s="51">
        <f t="shared" si="9"/>
        <v>48410709</v>
      </c>
      <c r="I22" s="51">
        <f t="shared" si="9"/>
        <v>48390187</v>
      </c>
      <c r="J22" s="51">
        <f t="shared" si="9"/>
        <v>56845287</v>
      </c>
      <c r="K22" s="51">
        <f t="shared" si="9"/>
        <v>85705591</v>
      </c>
      <c r="L22" s="51">
        <f t="shared" si="9"/>
        <v>123737393</v>
      </c>
      <c r="M22" s="51">
        <f t="shared" si="9"/>
        <v>153365915</v>
      </c>
      <c r="N22" s="51">
        <f t="shared" si="9"/>
        <v>1133099127</v>
      </c>
    </row>
    <row r="23" spans="1:14" x14ac:dyDescent="0.25">
      <c r="A23" s="50"/>
      <c r="B23" s="52"/>
      <c r="C23" s="52"/>
      <c r="D23" s="52"/>
      <c r="E23" s="52"/>
      <c r="F23" s="52"/>
      <c r="G23" s="52"/>
      <c r="H23" s="52"/>
      <c r="I23" s="52"/>
      <c r="J23" s="52"/>
      <c r="K23" s="52"/>
      <c r="L23" s="52"/>
      <c r="M23" s="52"/>
      <c r="N23" s="52"/>
    </row>
    <row r="24" spans="1:14" x14ac:dyDescent="0.25">
      <c r="A24" s="53" t="s">
        <v>52</v>
      </c>
      <c r="B24" s="40"/>
      <c r="C24" s="40"/>
      <c r="D24" s="40"/>
      <c r="E24" s="40"/>
      <c r="F24" s="41"/>
      <c r="G24" s="41"/>
      <c r="H24" s="41"/>
      <c r="I24" s="41"/>
      <c r="J24" s="41"/>
      <c r="K24" s="41"/>
      <c r="L24" s="41"/>
      <c r="M24" s="41"/>
      <c r="N24" s="41"/>
    </row>
    <row r="25" spans="1:14" x14ac:dyDescent="0.25">
      <c r="A25" s="43" t="s">
        <v>51</v>
      </c>
      <c r="B25" s="45">
        <f>B7</f>
        <v>45292</v>
      </c>
      <c r="C25" s="45">
        <f>C7</f>
        <v>45323</v>
      </c>
      <c r="D25" s="45">
        <f>D7</f>
        <v>45352</v>
      </c>
      <c r="E25" s="45">
        <f>E7</f>
        <v>45383</v>
      </c>
      <c r="F25" s="45">
        <f>F7</f>
        <v>45413</v>
      </c>
      <c r="G25" s="45">
        <f t="shared" ref="G25:M25" si="10">G7</f>
        <v>45444</v>
      </c>
      <c r="H25" s="45">
        <f t="shared" si="10"/>
        <v>45474</v>
      </c>
      <c r="I25" s="45">
        <f t="shared" si="10"/>
        <v>45505</v>
      </c>
      <c r="J25" s="45">
        <f t="shared" si="10"/>
        <v>45536</v>
      </c>
      <c r="K25" s="45">
        <f t="shared" si="10"/>
        <v>45566</v>
      </c>
      <c r="L25" s="45">
        <f t="shared" si="10"/>
        <v>45597</v>
      </c>
      <c r="M25" s="45">
        <f t="shared" si="10"/>
        <v>45627</v>
      </c>
      <c r="N25" s="46" t="s">
        <v>2</v>
      </c>
    </row>
    <row r="26" spans="1:14" x14ac:dyDescent="0.25">
      <c r="A26" s="42">
        <v>16</v>
      </c>
      <c r="B26" s="47">
        <v>4</v>
      </c>
      <c r="C26" s="47">
        <v>4</v>
      </c>
      <c r="D26" s="47">
        <v>4</v>
      </c>
      <c r="E26" s="47">
        <v>4</v>
      </c>
      <c r="F26" s="47">
        <v>4</v>
      </c>
      <c r="G26" s="47">
        <v>4</v>
      </c>
      <c r="H26" s="47">
        <v>4</v>
      </c>
      <c r="I26" s="47">
        <v>4</v>
      </c>
      <c r="J26" s="47">
        <v>4</v>
      </c>
      <c r="K26" s="47">
        <v>4</v>
      </c>
      <c r="L26" s="47">
        <v>4</v>
      </c>
      <c r="M26" s="47">
        <v>4</v>
      </c>
      <c r="N26" s="48">
        <f>SUM(B26:M26)</f>
        <v>48</v>
      </c>
    </row>
    <row r="27" spans="1:14" x14ac:dyDescent="0.25">
      <c r="A27" s="42">
        <v>23</v>
      </c>
      <c r="B27" s="47">
        <v>818788</v>
      </c>
      <c r="C27" s="47">
        <v>818788</v>
      </c>
      <c r="D27" s="47">
        <v>818788</v>
      </c>
      <c r="E27" s="47">
        <v>818788</v>
      </c>
      <c r="F27" s="47">
        <v>818788</v>
      </c>
      <c r="G27" s="47">
        <v>818788</v>
      </c>
      <c r="H27" s="47">
        <v>818788</v>
      </c>
      <c r="I27" s="47">
        <v>818788</v>
      </c>
      <c r="J27" s="47">
        <v>818788</v>
      </c>
      <c r="K27" s="47">
        <v>818788</v>
      </c>
      <c r="L27" s="47">
        <v>818788</v>
      </c>
      <c r="M27" s="47">
        <v>818788</v>
      </c>
      <c r="N27" s="48">
        <f t="shared" ref="N27:N39" si="11">SUM(B27:M27)</f>
        <v>9825456</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ht="17.25" x14ac:dyDescent="0.25">
      <c r="A29" s="42" t="s">
        <v>232</v>
      </c>
      <c r="B29" s="47">
        <f>58213-B34</f>
        <v>58212</v>
      </c>
      <c r="C29" s="47">
        <f>58238-C34</f>
        <v>58237</v>
      </c>
      <c r="D29" s="47">
        <f>58257-D34</f>
        <v>58256</v>
      </c>
      <c r="E29" s="47">
        <f>58273-E34</f>
        <v>58272</v>
      </c>
      <c r="F29" s="47">
        <f>58294-F34</f>
        <v>58293</v>
      </c>
      <c r="G29" s="47">
        <f>58310-G34</f>
        <v>58309</v>
      </c>
      <c r="H29" s="47">
        <f>58332-H34</f>
        <v>58331</v>
      </c>
      <c r="I29" s="47">
        <f>58354-I34</f>
        <v>58353</v>
      </c>
      <c r="J29" s="47">
        <f>58369-J34</f>
        <v>58368</v>
      </c>
      <c r="K29" s="47">
        <f>58388-K34</f>
        <v>58387</v>
      </c>
      <c r="L29" s="47">
        <f>58407-L34</f>
        <v>58406</v>
      </c>
      <c r="M29" s="47">
        <f>58437-M34</f>
        <v>58436</v>
      </c>
      <c r="N29" s="48">
        <f t="shared" si="11"/>
        <v>699860</v>
      </c>
    </row>
    <row r="30" spans="1:14" x14ac:dyDescent="0.25">
      <c r="A30" s="42">
        <v>41</v>
      </c>
      <c r="B30" s="47">
        <v>1249</v>
      </c>
      <c r="C30" s="47">
        <v>1245</v>
      </c>
      <c r="D30" s="47">
        <v>1246</v>
      </c>
      <c r="E30" s="47">
        <v>1245</v>
      </c>
      <c r="F30" s="47">
        <v>1242</v>
      </c>
      <c r="G30" s="47">
        <v>1239</v>
      </c>
      <c r="H30" s="47">
        <v>1236</v>
      </c>
      <c r="I30" s="47">
        <v>1234</v>
      </c>
      <c r="J30" s="47">
        <v>1237</v>
      </c>
      <c r="K30" s="47">
        <v>1239</v>
      </c>
      <c r="L30" s="47">
        <v>1239</v>
      </c>
      <c r="M30" s="47">
        <v>1235</v>
      </c>
      <c r="N30" s="48">
        <f t="shared" si="11"/>
        <v>14886</v>
      </c>
    </row>
    <row r="31" spans="1:14" x14ac:dyDescent="0.25">
      <c r="A31" s="42">
        <v>85</v>
      </c>
      <c r="B31" s="47">
        <v>35</v>
      </c>
      <c r="C31" s="47">
        <v>35</v>
      </c>
      <c r="D31" s="47">
        <v>35</v>
      </c>
      <c r="E31" s="47">
        <v>35</v>
      </c>
      <c r="F31" s="47">
        <v>35</v>
      </c>
      <c r="G31" s="47">
        <v>35</v>
      </c>
      <c r="H31" s="47">
        <v>35</v>
      </c>
      <c r="I31" s="47">
        <v>35</v>
      </c>
      <c r="J31" s="47">
        <v>35</v>
      </c>
      <c r="K31" s="47">
        <v>35</v>
      </c>
      <c r="L31" s="47">
        <v>35</v>
      </c>
      <c r="M31" s="47">
        <v>35</v>
      </c>
      <c r="N31" s="48">
        <f t="shared" si="11"/>
        <v>420</v>
      </c>
    </row>
    <row r="32" spans="1:14" x14ac:dyDescent="0.25">
      <c r="A32" s="42">
        <v>86</v>
      </c>
      <c r="B32" s="47">
        <v>102</v>
      </c>
      <c r="C32" s="47">
        <v>101</v>
      </c>
      <c r="D32" s="47">
        <v>101</v>
      </c>
      <c r="E32" s="47">
        <v>101</v>
      </c>
      <c r="F32" s="47">
        <v>100</v>
      </c>
      <c r="G32" s="47">
        <v>100</v>
      </c>
      <c r="H32" s="47">
        <v>100</v>
      </c>
      <c r="I32" s="47">
        <v>99</v>
      </c>
      <c r="J32" s="47">
        <v>99</v>
      </c>
      <c r="K32" s="47">
        <v>99</v>
      </c>
      <c r="L32" s="47">
        <v>98</v>
      </c>
      <c r="M32" s="47">
        <v>98</v>
      </c>
      <c r="N32" s="48">
        <f t="shared" si="11"/>
        <v>1198</v>
      </c>
    </row>
    <row r="33" spans="1:14" x14ac:dyDescent="0.25">
      <c r="A33" s="42">
        <v>87</v>
      </c>
      <c r="B33" s="47">
        <v>4</v>
      </c>
      <c r="C33" s="47">
        <v>4</v>
      </c>
      <c r="D33" s="47">
        <v>4</v>
      </c>
      <c r="E33" s="47">
        <v>4</v>
      </c>
      <c r="F33" s="47">
        <v>4</v>
      </c>
      <c r="G33" s="47">
        <v>4</v>
      </c>
      <c r="H33" s="47">
        <v>4</v>
      </c>
      <c r="I33" s="47">
        <v>4</v>
      </c>
      <c r="J33" s="47">
        <v>4</v>
      </c>
      <c r="K33" s="47">
        <v>4</v>
      </c>
      <c r="L33" s="47">
        <v>4</v>
      </c>
      <c r="M33" s="47">
        <v>4</v>
      </c>
      <c r="N33" s="48">
        <f t="shared" si="11"/>
        <v>48</v>
      </c>
    </row>
    <row r="34" spans="1:14" ht="17.25" x14ac:dyDescent="0.25">
      <c r="A34" s="42" t="s">
        <v>233</v>
      </c>
      <c r="B34" s="47">
        <v>1</v>
      </c>
      <c r="C34" s="47">
        <v>1</v>
      </c>
      <c r="D34" s="47">
        <v>1</v>
      </c>
      <c r="E34" s="47">
        <v>1</v>
      </c>
      <c r="F34" s="47">
        <v>1</v>
      </c>
      <c r="G34" s="47">
        <v>1</v>
      </c>
      <c r="H34" s="47">
        <v>1</v>
      </c>
      <c r="I34" s="47">
        <v>1</v>
      </c>
      <c r="J34" s="47">
        <v>1</v>
      </c>
      <c r="K34" s="47">
        <v>1</v>
      </c>
      <c r="L34" s="47">
        <v>1</v>
      </c>
      <c r="M34" s="47">
        <v>1</v>
      </c>
      <c r="N34" s="48">
        <f t="shared" si="11"/>
        <v>12</v>
      </c>
    </row>
    <row r="35" spans="1:14" x14ac:dyDescent="0.25">
      <c r="A35" s="42" t="s">
        <v>29</v>
      </c>
      <c r="B35" s="47">
        <v>94</v>
      </c>
      <c r="C35" s="47">
        <v>94</v>
      </c>
      <c r="D35" s="47">
        <v>94</v>
      </c>
      <c r="E35" s="47">
        <v>94</v>
      </c>
      <c r="F35" s="47">
        <v>94</v>
      </c>
      <c r="G35" s="47">
        <v>94</v>
      </c>
      <c r="H35" s="47">
        <v>94</v>
      </c>
      <c r="I35" s="47">
        <v>94</v>
      </c>
      <c r="J35" s="47">
        <v>94</v>
      </c>
      <c r="K35" s="47">
        <v>94</v>
      </c>
      <c r="L35" s="47">
        <v>94</v>
      </c>
      <c r="M35" s="47">
        <v>94</v>
      </c>
      <c r="N35" s="48">
        <f t="shared" si="11"/>
        <v>1128</v>
      </c>
    </row>
    <row r="36" spans="1:14" x14ac:dyDescent="0.25">
      <c r="A36" s="42" t="s">
        <v>31</v>
      </c>
      <c r="B36" s="47">
        <v>83</v>
      </c>
      <c r="C36" s="47">
        <v>83</v>
      </c>
      <c r="D36" s="47">
        <v>83</v>
      </c>
      <c r="E36" s="47">
        <v>83</v>
      </c>
      <c r="F36" s="47">
        <v>83</v>
      </c>
      <c r="G36" s="47">
        <v>83</v>
      </c>
      <c r="H36" s="47">
        <v>83</v>
      </c>
      <c r="I36" s="47">
        <v>83</v>
      </c>
      <c r="J36" s="47">
        <v>83</v>
      </c>
      <c r="K36" s="47">
        <v>83</v>
      </c>
      <c r="L36" s="47">
        <v>83</v>
      </c>
      <c r="M36" s="47">
        <v>83</v>
      </c>
      <c r="N36" s="48">
        <f t="shared" si="11"/>
        <v>996</v>
      </c>
    </row>
    <row r="37" spans="1:14" x14ac:dyDescent="0.25">
      <c r="A37" s="42" t="s">
        <v>33</v>
      </c>
      <c r="B37" s="47">
        <v>7</v>
      </c>
      <c r="C37" s="47">
        <v>7</v>
      </c>
      <c r="D37" s="47">
        <v>7</v>
      </c>
      <c r="E37" s="47">
        <v>7</v>
      </c>
      <c r="F37" s="47">
        <v>7</v>
      </c>
      <c r="G37" s="47">
        <v>7</v>
      </c>
      <c r="H37" s="47">
        <v>7</v>
      </c>
      <c r="I37" s="47">
        <v>7</v>
      </c>
      <c r="J37" s="47">
        <v>7</v>
      </c>
      <c r="K37" s="47">
        <v>7</v>
      </c>
      <c r="L37" s="47">
        <v>7</v>
      </c>
      <c r="M37" s="47">
        <v>7</v>
      </c>
      <c r="N37" s="48">
        <f t="shared" si="11"/>
        <v>84</v>
      </c>
    </row>
    <row r="38" spans="1:14" x14ac:dyDescent="0.25">
      <c r="A38" s="42" t="s">
        <v>35</v>
      </c>
      <c r="B38" s="47">
        <v>11</v>
      </c>
      <c r="C38" s="47">
        <v>11</v>
      </c>
      <c r="D38" s="47">
        <v>11</v>
      </c>
      <c r="E38" s="47">
        <v>11</v>
      </c>
      <c r="F38" s="47">
        <v>11</v>
      </c>
      <c r="G38" s="47">
        <v>11</v>
      </c>
      <c r="H38" s="47">
        <v>11</v>
      </c>
      <c r="I38" s="47">
        <v>11</v>
      </c>
      <c r="J38" s="47">
        <v>11</v>
      </c>
      <c r="K38" s="47">
        <v>11</v>
      </c>
      <c r="L38" s="47">
        <v>11</v>
      </c>
      <c r="M38" s="47">
        <v>11</v>
      </c>
      <c r="N38" s="48">
        <f t="shared" si="11"/>
        <v>132</v>
      </c>
    </row>
    <row r="39" spans="1:14" x14ac:dyDescent="0.25">
      <c r="A39" s="49" t="s">
        <v>36</v>
      </c>
      <c r="B39" s="47">
        <v>9</v>
      </c>
      <c r="C39" s="47">
        <v>9</v>
      </c>
      <c r="D39" s="47">
        <v>9</v>
      </c>
      <c r="E39" s="47">
        <v>9</v>
      </c>
      <c r="F39" s="47">
        <v>9</v>
      </c>
      <c r="G39" s="47">
        <v>9</v>
      </c>
      <c r="H39" s="47">
        <v>9</v>
      </c>
      <c r="I39" s="47">
        <v>9</v>
      </c>
      <c r="J39" s="47">
        <v>9</v>
      </c>
      <c r="K39" s="47">
        <v>9</v>
      </c>
      <c r="L39" s="47">
        <v>9</v>
      </c>
      <c r="M39" s="47">
        <v>9</v>
      </c>
      <c r="N39" s="48">
        <f t="shared" si="11"/>
        <v>108</v>
      </c>
    </row>
    <row r="40" spans="1:14" x14ac:dyDescent="0.25">
      <c r="A40" s="50" t="s">
        <v>2</v>
      </c>
      <c r="B40" s="51">
        <f>SUM(B26:B39)</f>
        <v>878599</v>
      </c>
      <c r="C40" s="51">
        <f t="shared" ref="C40:N40" si="12">SUM(C26:C39)</f>
        <v>878619</v>
      </c>
      <c r="D40" s="51">
        <f t="shared" si="12"/>
        <v>878639</v>
      </c>
      <c r="E40" s="51">
        <f t="shared" si="12"/>
        <v>878654</v>
      </c>
      <c r="F40" s="51">
        <f t="shared" si="12"/>
        <v>878671</v>
      </c>
      <c r="G40" s="51">
        <f t="shared" si="12"/>
        <v>878684</v>
      </c>
      <c r="H40" s="51">
        <f t="shared" si="12"/>
        <v>878703</v>
      </c>
      <c r="I40" s="51">
        <f t="shared" si="12"/>
        <v>878722</v>
      </c>
      <c r="J40" s="51">
        <f t="shared" si="12"/>
        <v>878740</v>
      </c>
      <c r="K40" s="51">
        <f t="shared" si="12"/>
        <v>878761</v>
      </c>
      <c r="L40" s="51">
        <f t="shared" si="12"/>
        <v>878779</v>
      </c>
      <c r="M40" s="51">
        <f t="shared" si="12"/>
        <v>878805</v>
      </c>
      <c r="N40" s="51">
        <f t="shared" si="12"/>
        <v>10544376</v>
      </c>
    </row>
    <row r="42" spans="1:14" x14ac:dyDescent="0.25">
      <c r="A42" s="53" t="s">
        <v>64</v>
      </c>
      <c r="B42" s="40"/>
      <c r="C42" s="40"/>
      <c r="D42" s="40"/>
      <c r="E42" s="40"/>
      <c r="F42" s="41"/>
      <c r="G42" s="41"/>
      <c r="H42" s="41"/>
      <c r="I42" s="41"/>
      <c r="J42" s="41"/>
      <c r="K42" s="41"/>
      <c r="L42" s="41"/>
      <c r="M42" s="41"/>
      <c r="N42" s="41"/>
    </row>
    <row r="43" spans="1:14" x14ac:dyDescent="0.25">
      <c r="A43" s="43" t="s">
        <v>51</v>
      </c>
      <c r="B43" s="45">
        <f>B25</f>
        <v>45292</v>
      </c>
      <c r="C43" s="45">
        <f>C25</f>
        <v>45323</v>
      </c>
      <c r="D43" s="45">
        <f>D25</f>
        <v>45352</v>
      </c>
      <c r="E43" s="45">
        <f>E25</f>
        <v>45383</v>
      </c>
      <c r="F43" s="45">
        <f>F25</f>
        <v>45413</v>
      </c>
      <c r="G43" s="45">
        <f t="shared" ref="G43:M43" si="13">G25</f>
        <v>45444</v>
      </c>
      <c r="H43" s="45">
        <f t="shared" si="13"/>
        <v>45474</v>
      </c>
      <c r="I43" s="45">
        <f t="shared" si="13"/>
        <v>45505</v>
      </c>
      <c r="J43" s="45">
        <f t="shared" si="13"/>
        <v>45536</v>
      </c>
      <c r="K43" s="45">
        <f t="shared" si="13"/>
        <v>45566</v>
      </c>
      <c r="L43" s="45">
        <f t="shared" si="13"/>
        <v>45597</v>
      </c>
      <c r="M43" s="45">
        <f t="shared" si="13"/>
        <v>45627</v>
      </c>
      <c r="N43" s="46" t="s">
        <v>2</v>
      </c>
    </row>
    <row r="44" spans="1:14" x14ac:dyDescent="0.25">
      <c r="A44" s="42">
        <v>16</v>
      </c>
      <c r="B44" s="48">
        <f>B8/19</f>
        <v>30.684210526315791</v>
      </c>
      <c r="C44" s="48">
        <f t="shared" ref="C44:M44" si="14">C8/19</f>
        <v>30.684210526315791</v>
      </c>
      <c r="D44" s="48">
        <f t="shared" si="14"/>
        <v>30.684210526315791</v>
      </c>
      <c r="E44" s="48">
        <f t="shared" si="14"/>
        <v>30.684210526315791</v>
      </c>
      <c r="F44" s="48">
        <f t="shared" si="14"/>
        <v>30.684210526315791</v>
      </c>
      <c r="G44" s="48">
        <f t="shared" si="14"/>
        <v>30.684210526315791</v>
      </c>
      <c r="H44" s="48">
        <f t="shared" si="14"/>
        <v>30.684210526315791</v>
      </c>
      <c r="I44" s="48">
        <f t="shared" si="14"/>
        <v>30.684210526315791</v>
      </c>
      <c r="J44" s="48">
        <f t="shared" si="14"/>
        <v>30.684210526315791</v>
      </c>
      <c r="K44" s="48">
        <f t="shared" si="14"/>
        <v>30.684210526315791</v>
      </c>
      <c r="L44" s="48">
        <f t="shared" si="14"/>
        <v>30.684210526315791</v>
      </c>
      <c r="M44" s="48">
        <f t="shared" si="14"/>
        <v>30.684210526315791</v>
      </c>
      <c r="N44" s="48">
        <f>SUM(B44:M44)</f>
        <v>368.21052631578942</v>
      </c>
    </row>
    <row r="46" spans="1:14" x14ac:dyDescent="0.25">
      <c r="A46" s="39" t="s">
        <v>100</v>
      </c>
    </row>
    <row r="47" spans="1:14" ht="17.25" x14ac:dyDescent="0.25">
      <c r="A47" s="39" t="s">
        <v>234</v>
      </c>
    </row>
  </sheetData>
  <mergeCells count="4">
    <mergeCell ref="A1:N1"/>
    <mergeCell ref="A2:N2"/>
    <mergeCell ref="A3:N3"/>
    <mergeCell ref="A4:N4"/>
  </mergeCells>
  <printOptions horizontalCentered="1"/>
  <pageMargins left="0.7" right="0.7" top="0.75" bottom="0.75" header="0.3" footer="0.3"/>
  <pageSetup scale="69" orientation="landscape" blackAndWhite="1" r:id="rId1"/>
  <headerFooter>
    <oddFooter>&amp;L&amp;F 
&amp;A&amp;C&amp;P&amp;R&amp;D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zoomScale="90" zoomScaleNormal="90" workbookViewId="0">
      <selection activeCell="C21" sqref="C21"/>
    </sheetView>
  </sheetViews>
  <sheetFormatPr defaultColWidth="9.140625" defaultRowHeight="15" x14ac:dyDescent="0.25"/>
  <cols>
    <col min="1" max="1" width="4.42578125" style="1" customWidth="1"/>
    <col min="2" max="2" width="38.28515625" style="1" customWidth="1"/>
    <col min="3" max="3" width="13.28515625" style="1" customWidth="1"/>
    <col min="4" max="4" width="15.28515625" style="1" customWidth="1"/>
    <col min="5" max="5" width="15.85546875" style="1" customWidth="1"/>
    <col min="6" max="6" width="12.42578125" style="1" customWidth="1"/>
    <col min="7" max="16384" width="9.140625" style="1"/>
  </cols>
  <sheetData>
    <row r="1" spans="1:15" x14ac:dyDescent="0.25">
      <c r="A1" s="248" t="s">
        <v>0</v>
      </c>
      <c r="B1" s="248"/>
      <c r="C1" s="248"/>
      <c r="D1" s="248"/>
      <c r="E1" s="248"/>
      <c r="F1" s="248"/>
    </row>
    <row r="2" spans="1:15" x14ac:dyDescent="0.25">
      <c r="A2" s="2" t="str">
        <f>'Sch. 111 Charge Rates'!A2</f>
        <v>2024 Gas Schedule 111 Greenhouse Gas Emissions Cap and Invest Adjustment Filing</v>
      </c>
      <c r="B2" s="2"/>
      <c r="C2" s="2"/>
      <c r="D2" s="2"/>
      <c r="E2" s="2"/>
      <c r="F2" s="2"/>
    </row>
    <row r="3" spans="1:15" x14ac:dyDescent="0.25">
      <c r="A3" s="246" t="s">
        <v>90</v>
      </c>
      <c r="B3" s="248"/>
      <c r="C3" s="248"/>
      <c r="D3" s="248"/>
      <c r="E3" s="248"/>
      <c r="F3" s="248"/>
    </row>
    <row r="4" spans="1:15" x14ac:dyDescent="0.25">
      <c r="A4" s="248" t="str">
        <f>'Sch. 111 Charge Rates'!A4:H4</f>
        <v>Proposed Rates Effective January 1, 2024</v>
      </c>
      <c r="B4" s="248"/>
      <c r="C4" s="248"/>
      <c r="D4" s="248"/>
      <c r="E4" s="248"/>
      <c r="F4" s="248"/>
    </row>
    <row r="5" spans="1:15" ht="13.5" customHeight="1" x14ac:dyDescent="0.25">
      <c r="E5" s="4"/>
      <c r="F5" s="4"/>
    </row>
    <row r="6" spans="1:15" ht="13.5" customHeight="1" x14ac:dyDescent="0.25">
      <c r="E6" s="59" t="s">
        <v>92</v>
      </c>
      <c r="F6" s="59" t="s">
        <v>65</v>
      </c>
    </row>
    <row r="7" spans="1:15" ht="17.25" x14ac:dyDescent="0.25">
      <c r="B7" s="4"/>
      <c r="C7" s="4"/>
      <c r="D7" s="23" t="s">
        <v>68</v>
      </c>
      <c r="E7" s="59" t="s">
        <v>4</v>
      </c>
      <c r="F7" s="4" t="s">
        <v>5</v>
      </c>
    </row>
    <row r="8" spans="1:15" x14ac:dyDescent="0.25">
      <c r="A8" s="55" t="s">
        <v>1</v>
      </c>
      <c r="B8" s="4"/>
      <c r="C8" s="4"/>
      <c r="D8" s="90" t="str">
        <f>'Sch. 111 Charge Rates'!D8</f>
        <v>Jan. 2024 -</v>
      </c>
      <c r="E8" s="59" t="s">
        <v>10</v>
      </c>
      <c r="F8" s="23" t="s">
        <v>67</v>
      </c>
    </row>
    <row r="9" spans="1:15" x14ac:dyDescent="0.25">
      <c r="A9" s="6" t="s">
        <v>6</v>
      </c>
      <c r="B9" s="6" t="s">
        <v>7</v>
      </c>
      <c r="C9" s="6" t="s">
        <v>8</v>
      </c>
      <c r="D9" s="46" t="str">
        <f>'Sch. 111 Charge Rates'!D9</f>
        <v>Dec. 2024</v>
      </c>
      <c r="E9" s="60" t="s">
        <v>93</v>
      </c>
      <c r="F9" s="60" t="s">
        <v>93</v>
      </c>
    </row>
    <row r="10" spans="1:15" x14ac:dyDescent="0.25">
      <c r="B10" s="55" t="s">
        <v>12</v>
      </c>
      <c r="C10" s="55" t="s">
        <v>13</v>
      </c>
      <c r="D10" s="7" t="s">
        <v>14</v>
      </c>
      <c r="E10" s="23" t="s">
        <v>15</v>
      </c>
      <c r="F10" s="7" t="s">
        <v>16</v>
      </c>
      <c r="G10" s="3"/>
    </row>
    <row r="11" spans="1:15" x14ac:dyDescent="0.25">
      <c r="A11" s="55">
        <v>1</v>
      </c>
      <c r="B11" s="39" t="s">
        <v>59</v>
      </c>
      <c r="C11" s="55">
        <v>23</v>
      </c>
      <c r="D11" s="8">
        <f>'Low Income Forecast'!N9</f>
        <v>57068869.78391654</v>
      </c>
      <c r="E11" s="10">
        <f>D11*F11</f>
        <v>-13230276.082005372</v>
      </c>
      <c r="F11" s="70">
        <f>-'Sch. 111 Charge Rates'!G11</f>
        <v>-0.23183000000000001</v>
      </c>
    </row>
    <row r="12" spans="1:15" x14ac:dyDescent="0.25">
      <c r="D12" s="22"/>
    </row>
    <row r="13" spans="1:15" ht="17.25" customHeight="1" x14ac:dyDescent="0.25">
      <c r="B13" s="249" t="s">
        <v>284</v>
      </c>
      <c r="C13" s="249"/>
      <c r="D13" s="249"/>
      <c r="E13" s="249"/>
      <c r="F13" s="249"/>
      <c r="G13" s="94"/>
      <c r="H13" s="94"/>
      <c r="I13" s="94"/>
      <c r="J13" s="94"/>
      <c r="K13" s="94"/>
      <c r="L13" s="94"/>
      <c r="M13" s="94"/>
      <c r="N13" s="94"/>
      <c r="O13" s="94"/>
    </row>
    <row r="14" spans="1:15" x14ac:dyDescent="0.25">
      <c r="B14" s="249"/>
      <c r="C14" s="249"/>
      <c r="D14" s="249"/>
      <c r="E14" s="249"/>
      <c r="F14" s="249"/>
      <c r="G14" s="94"/>
      <c r="H14" s="94"/>
      <c r="I14" s="94"/>
      <c r="J14" s="94"/>
      <c r="K14" s="94"/>
      <c r="L14" s="94"/>
      <c r="M14" s="94"/>
      <c r="N14" s="94"/>
      <c r="O14" s="94"/>
    </row>
    <row r="15" spans="1:15" x14ac:dyDescent="0.25">
      <c r="B15" s="249"/>
      <c r="C15" s="249"/>
      <c r="D15" s="249"/>
      <c r="E15" s="249"/>
      <c r="F15" s="249"/>
      <c r="G15" s="94"/>
      <c r="H15" s="94"/>
      <c r="I15" s="94"/>
      <c r="J15" s="94"/>
      <c r="K15" s="94"/>
      <c r="L15" s="94"/>
      <c r="M15" s="94"/>
      <c r="N15" s="94"/>
      <c r="O15" s="94"/>
    </row>
    <row r="16" spans="1:15" x14ac:dyDescent="0.25">
      <c r="B16" s="249"/>
      <c r="C16" s="249"/>
      <c r="D16" s="249"/>
      <c r="E16" s="249"/>
      <c r="F16" s="249"/>
    </row>
    <row r="17" spans="2:6" x14ac:dyDescent="0.25">
      <c r="B17" s="249"/>
      <c r="C17" s="249"/>
      <c r="D17" s="249"/>
      <c r="E17" s="249"/>
      <c r="F17" s="249"/>
    </row>
    <row r="18" spans="2:6" x14ac:dyDescent="0.25">
      <c r="B18" s="249"/>
      <c r="C18" s="249"/>
      <c r="D18" s="249"/>
      <c r="E18" s="249"/>
      <c r="F18" s="249"/>
    </row>
  </sheetData>
  <mergeCells count="4">
    <mergeCell ref="A1:F1"/>
    <mergeCell ref="A3:F3"/>
    <mergeCell ref="A4:F4"/>
    <mergeCell ref="B13:F18"/>
  </mergeCells>
  <printOptions horizontalCentered="1"/>
  <pageMargins left="0.45" right="0.45" top="0.75" bottom="0.75" header="0.3" footer="0.3"/>
  <pageSetup orientation="landscape" blackAndWhite="1" r:id="rId1"/>
  <headerFooter>
    <oddFooter>&amp;L&amp;F 
&amp;A&amp;C&amp;P&amp;R&amp;D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zoomScale="90" zoomScaleNormal="90" workbookViewId="0">
      <selection activeCell="H27" sqref="H27"/>
    </sheetView>
  </sheetViews>
  <sheetFormatPr defaultColWidth="9.140625" defaultRowHeight="15" x14ac:dyDescent="0.25"/>
  <cols>
    <col min="1" max="1" width="4.42578125" style="39" customWidth="1"/>
    <col min="2" max="2" width="38.28515625" style="39" customWidth="1"/>
    <col min="3" max="3" width="13.42578125" style="39" customWidth="1"/>
    <col min="4" max="4" width="15.42578125" style="39" customWidth="1"/>
    <col min="5" max="5" width="14.5703125" style="39" customWidth="1"/>
    <col min="6" max="6" width="16.42578125" style="39" bestFit="1" customWidth="1"/>
    <col min="7" max="7" width="13.42578125" style="39" customWidth="1"/>
    <col min="8" max="8" width="14.42578125" style="39" bestFit="1" customWidth="1"/>
    <col min="9" max="16384" width="9.140625" style="39"/>
  </cols>
  <sheetData>
    <row r="1" spans="1:11" x14ac:dyDescent="0.25">
      <c r="A1" s="246" t="s">
        <v>0</v>
      </c>
      <c r="B1" s="246"/>
      <c r="C1" s="246"/>
      <c r="D1" s="246"/>
      <c r="E1" s="246"/>
      <c r="F1" s="246"/>
      <c r="G1" s="246"/>
      <c r="H1" s="246"/>
    </row>
    <row r="2" spans="1:11" x14ac:dyDescent="0.25">
      <c r="A2" s="58" t="str">
        <f>'Sch. 111 Charge Rates'!A2</f>
        <v>2024 Gas Schedule 111 Greenhouse Gas Emissions Cap and Invest Adjustment Filing</v>
      </c>
      <c r="B2" s="58"/>
      <c r="C2" s="58"/>
      <c r="D2" s="58"/>
      <c r="E2" s="58"/>
      <c r="F2" s="58"/>
      <c r="G2" s="58"/>
      <c r="H2" s="58"/>
    </row>
    <row r="3" spans="1:11" x14ac:dyDescent="0.25">
      <c r="A3" s="246" t="s">
        <v>91</v>
      </c>
      <c r="B3" s="246"/>
      <c r="C3" s="246"/>
      <c r="D3" s="246"/>
      <c r="E3" s="246"/>
      <c r="F3" s="246"/>
      <c r="G3" s="246"/>
      <c r="H3" s="246"/>
    </row>
    <row r="4" spans="1:11" x14ac:dyDescent="0.25">
      <c r="A4" s="246" t="str">
        <f>'Sch. 111 Charge Rates'!A4:H4</f>
        <v>Proposed Rates Effective January 1, 2024</v>
      </c>
      <c r="B4" s="246"/>
      <c r="C4" s="246"/>
      <c r="D4" s="246"/>
      <c r="E4" s="246"/>
      <c r="F4" s="246"/>
      <c r="G4" s="246"/>
      <c r="H4" s="246"/>
    </row>
    <row r="5" spans="1:11" x14ac:dyDescent="0.25">
      <c r="A5" s="89"/>
      <c r="B5" s="89"/>
      <c r="C5" s="89"/>
      <c r="D5" s="89"/>
      <c r="E5" s="89"/>
      <c r="F5" s="89"/>
      <c r="G5" s="89"/>
      <c r="H5" s="89"/>
    </row>
    <row r="6" spans="1:11" ht="13.5" customHeight="1" x14ac:dyDescent="0.25">
      <c r="E6" s="59"/>
      <c r="F6" s="59" t="s">
        <v>92</v>
      </c>
      <c r="G6" s="59"/>
      <c r="H6" s="59" t="s">
        <v>65</v>
      </c>
    </row>
    <row r="7" spans="1:11" ht="17.25" x14ac:dyDescent="0.25">
      <c r="B7" s="59"/>
      <c r="C7" s="59"/>
      <c r="D7" s="23" t="s">
        <v>58</v>
      </c>
      <c r="E7" s="23"/>
      <c r="F7" s="59" t="s">
        <v>4</v>
      </c>
      <c r="G7" s="23" t="s">
        <v>71</v>
      </c>
      <c r="H7" s="23" t="s">
        <v>72</v>
      </c>
    </row>
    <row r="8" spans="1:11" x14ac:dyDescent="0.25">
      <c r="A8" s="56" t="s">
        <v>1</v>
      </c>
      <c r="B8" s="59"/>
      <c r="C8" s="59"/>
      <c r="D8" s="90" t="str">
        <f>'Sch. 111 Charge Rates'!D8</f>
        <v>Jan. 2024 -</v>
      </c>
      <c r="E8" s="23" t="s">
        <v>3</v>
      </c>
      <c r="F8" s="59" t="s">
        <v>10</v>
      </c>
      <c r="G8" s="23" t="s">
        <v>95</v>
      </c>
      <c r="H8" s="23" t="s">
        <v>97</v>
      </c>
    </row>
    <row r="9" spans="1:11" x14ac:dyDescent="0.25">
      <c r="A9" s="60" t="s">
        <v>6</v>
      </c>
      <c r="B9" s="60" t="s">
        <v>7</v>
      </c>
      <c r="C9" s="60" t="s">
        <v>8</v>
      </c>
      <c r="D9" s="46" t="str">
        <f>'Sch. 111 Charge Rates'!D9</f>
        <v>Dec. 2024</v>
      </c>
      <c r="E9" s="60" t="s">
        <v>9</v>
      </c>
      <c r="F9" s="60" t="s">
        <v>93</v>
      </c>
      <c r="G9" s="60" t="s">
        <v>96</v>
      </c>
      <c r="H9" s="60" t="s">
        <v>93</v>
      </c>
    </row>
    <row r="10" spans="1:11" x14ac:dyDescent="0.25">
      <c r="B10" s="71" t="s">
        <v>12</v>
      </c>
      <c r="C10" s="71" t="s">
        <v>13</v>
      </c>
      <c r="D10" s="7" t="s">
        <v>14</v>
      </c>
      <c r="E10" s="23" t="s">
        <v>15</v>
      </c>
      <c r="F10" s="7" t="s">
        <v>16</v>
      </c>
      <c r="G10" s="23" t="s">
        <v>17</v>
      </c>
      <c r="H10" s="73" t="s">
        <v>18</v>
      </c>
      <c r="I10" s="23"/>
    </row>
    <row r="11" spans="1:11" x14ac:dyDescent="0.25">
      <c r="A11" s="56">
        <v>1</v>
      </c>
      <c r="B11" s="39" t="s">
        <v>19</v>
      </c>
      <c r="C11" s="56">
        <v>23</v>
      </c>
      <c r="D11" s="8">
        <f>SUM('CCA Therm Forecast'!N99:N100)</f>
        <v>555750480</v>
      </c>
      <c r="E11" s="9">
        <f>D11/$D$24</f>
        <v>0.57500015741312804</v>
      </c>
      <c r="F11" s="61">
        <f>$F$28*E11</f>
        <v>-78066138.880415335</v>
      </c>
      <c r="G11" s="225">
        <f>SUM('CCA Customer Forecast'!N117:N118)</f>
        <v>8756784.3619149067</v>
      </c>
      <c r="H11" s="62">
        <f>ROUND(F11/G11,2)</f>
        <v>-8.91</v>
      </c>
      <c r="K11" s="63"/>
    </row>
    <row r="12" spans="1:11" ht="17.25" x14ac:dyDescent="0.25">
      <c r="A12" s="56">
        <f>A11+1</f>
        <v>2</v>
      </c>
      <c r="B12" s="87" t="s">
        <v>75</v>
      </c>
      <c r="C12" s="56">
        <v>16</v>
      </c>
      <c r="D12" s="8">
        <f>'CCA Therm Forecast'!N98</f>
        <v>6996</v>
      </c>
      <c r="E12" s="57">
        <f t="shared" ref="E12:E23" si="0">D12/$D$24</f>
        <v>7.2383223155511147E-6</v>
      </c>
      <c r="F12" s="61">
        <f t="shared" ref="F12:F23" si="1">$F$28*E12</f>
        <v>-982.7264703530002</v>
      </c>
      <c r="G12" s="225">
        <f>'F2023 Forecast'!N44</f>
        <v>368.21052631578942</v>
      </c>
      <c r="H12" s="62">
        <f t="shared" ref="H12:H23" si="2">ROUND(F12/G12,2)</f>
        <v>-2.67</v>
      </c>
      <c r="K12" s="63"/>
    </row>
    <row r="13" spans="1:11" x14ac:dyDescent="0.25">
      <c r="A13" s="56">
        <f t="shared" ref="A13:A28" si="3">A12+1</f>
        <v>3</v>
      </c>
      <c r="B13" s="39" t="s">
        <v>21</v>
      </c>
      <c r="C13" s="56">
        <v>31</v>
      </c>
      <c r="D13" s="8">
        <f>'CCA Therm Forecast'!N101</f>
        <v>226449666.31127122</v>
      </c>
      <c r="E13" s="9">
        <f t="shared" si="0"/>
        <v>0.23429326372355316</v>
      </c>
      <c r="F13" s="61">
        <f t="shared" si="1"/>
        <v>-31809331.230230168</v>
      </c>
      <c r="G13" s="225">
        <f>'CCA Customer Forecast'!N119</f>
        <v>680636</v>
      </c>
      <c r="H13" s="62">
        <f t="shared" si="2"/>
        <v>-46.73</v>
      </c>
      <c r="K13" s="63"/>
    </row>
    <row r="14" spans="1:11" x14ac:dyDescent="0.25">
      <c r="A14" s="56">
        <f t="shared" si="3"/>
        <v>4</v>
      </c>
      <c r="B14" s="39" t="s">
        <v>22</v>
      </c>
      <c r="C14" s="56">
        <v>41</v>
      </c>
      <c r="D14" s="8">
        <f>'CCA Therm Forecast'!N102</f>
        <v>61653322.19827313</v>
      </c>
      <c r="E14" s="9">
        <f t="shared" si="0"/>
        <v>6.3788824742084527E-2</v>
      </c>
      <c r="F14" s="61">
        <f t="shared" si="1"/>
        <v>-8660427.6314244177</v>
      </c>
      <c r="G14" s="225">
        <f>'CCA Customer Forecast'!N120</f>
        <v>14802</v>
      </c>
      <c r="H14" s="62">
        <f t="shared" si="2"/>
        <v>-585.08000000000004</v>
      </c>
      <c r="K14" s="63"/>
    </row>
    <row r="15" spans="1:11" x14ac:dyDescent="0.25">
      <c r="A15" s="56">
        <f t="shared" si="3"/>
        <v>5</v>
      </c>
      <c r="B15" s="39" t="s">
        <v>23</v>
      </c>
      <c r="C15" s="56">
        <v>85</v>
      </c>
      <c r="D15" s="8">
        <f>'CCA Therm Forecast'!N103</f>
        <v>14305940.927245032</v>
      </c>
      <c r="E15" s="9">
        <f t="shared" si="0"/>
        <v>1.4801459613869887E-2</v>
      </c>
      <c r="F15" s="61">
        <f t="shared" si="1"/>
        <v>-2009552.1487292792</v>
      </c>
      <c r="G15" s="225">
        <f>'CCA Customer Forecast'!N121</f>
        <v>408</v>
      </c>
      <c r="H15" s="62">
        <f t="shared" si="2"/>
        <v>-4925.37</v>
      </c>
      <c r="K15" s="63"/>
    </row>
    <row r="16" spans="1:11" x14ac:dyDescent="0.25">
      <c r="A16" s="56">
        <f t="shared" si="3"/>
        <v>6</v>
      </c>
      <c r="B16" s="39" t="s">
        <v>24</v>
      </c>
      <c r="C16" s="56">
        <v>86</v>
      </c>
      <c r="D16" s="8">
        <f>'CCA Therm Forecast'!N104</f>
        <v>4872572</v>
      </c>
      <c r="E16" s="9">
        <f t="shared" si="0"/>
        <v>5.0413445742895262E-3</v>
      </c>
      <c r="F16" s="61">
        <f t="shared" si="1"/>
        <v>-684449.03989434801</v>
      </c>
      <c r="G16" s="225">
        <f>'CCA Customer Forecast'!N122</f>
        <v>1198</v>
      </c>
      <c r="H16" s="62">
        <f t="shared" si="2"/>
        <v>-571.33000000000004</v>
      </c>
      <c r="K16" s="63"/>
    </row>
    <row r="17" spans="1:11" x14ac:dyDescent="0.25">
      <c r="A17" s="56">
        <f t="shared" si="3"/>
        <v>7</v>
      </c>
      <c r="B17" s="39" t="s">
        <v>25</v>
      </c>
      <c r="C17" s="56">
        <v>87</v>
      </c>
      <c r="D17" s="8">
        <f>'CCA Therm Forecast'!N105</f>
        <v>1550270.6056976072</v>
      </c>
      <c r="E17" s="9">
        <f t="shared" si="0"/>
        <v>1.6039677416186298E-3</v>
      </c>
      <c r="F17" s="61">
        <f t="shared" si="1"/>
        <v>-217766.14643070573</v>
      </c>
      <c r="G17" s="225">
        <f>'CCA Customer Forecast'!N123</f>
        <v>12</v>
      </c>
      <c r="H17" s="62">
        <f t="shared" si="2"/>
        <v>-18147.18</v>
      </c>
      <c r="K17" s="63"/>
    </row>
    <row r="18" spans="1:11" x14ac:dyDescent="0.25">
      <c r="A18" s="56">
        <f t="shared" si="3"/>
        <v>8</v>
      </c>
      <c r="B18" s="39" t="s">
        <v>26</v>
      </c>
      <c r="C18" s="56" t="s">
        <v>27</v>
      </c>
      <c r="D18" s="8">
        <f>'CCA Therm Forecast'!N106</f>
        <v>952</v>
      </c>
      <c r="E18" s="9">
        <f t="shared" si="0"/>
        <v>9.849746775878589E-7</v>
      </c>
      <c r="F18" s="61">
        <f t="shared" si="1"/>
        <v>-133.72721551973356</v>
      </c>
      <c r="G18" s="225">
        <f>'CCA Customer Forecast'!N124</f>
        <v>12</v>
      </c>
      <c r="H18" s="62">
        <f t="shared" si="2"/>
        <v>-11.14</v>
      </c>
      <c r="K18" s="63"/>
    </row>
    <row r="19" spans="1:11" x14ac:dyDescent="0.25">
      <c r="A19" s="56">
        <f t="shared" si="3"/>
        <v>9</v>
      </c>
      <c r="B19" s="39" t="s">
        <v>28</v>
      </c>
      <c r="C19" s="56" t="s">
        <v>29</v>
      </c>
      <c r="D19" s="8">
        <f>'CCA Therm Forecast'!N107</f>
        <v>21477365</v>
      </c>
      <c r="E19" s="9">
        <f t="shared" si="0"/>
        <v>2.222128221251236E-2</v>
      </c>
      <c r="F19" s="61">
        <f t="shared" si="1"/>
        <v>-3016920.397217419</v>
      </c>
      <c r="G19" s="225">
        <f>'CCA Customer Forecast'!N125</f>
        <v>1128</v>
      </c>
      <c r="H19" s="62">
        <f t="shared" si="2"/>
        <v>-2674.57</v>
      </c>
      <c r="K19" s="63"/>
    </row>
    <row r="20" spans="1:11" x14ac:dyDescent="0.25">
      <c r="A20" s="56">
        <f t="shared" si="3"/>
        <v>10</v>
      </c>
      <c r="B20" s="39" t="s">
        <v>30</v>
      </c>
      <c r="C20" s="56" t="s">
        <v>31</v>
      </c>
      <c r="D20" s="8">
        <f>'CCA Therm Forecast'!N108</f>
        <v>58769691.57454814</v>
      </c>
      <c r="E20" s="9">
        <f t="shared" si="0"/>
        <v>6.0805313036321917E-2</v>
      </c>
      <c r="F20" s="61">
        <f t="shared" si="1"/>
        <v>-8255364.7176658297</v>
      </c>
      <c r="G20" s="225">
        <f>'CCA Customer Forecast'!N126</f>
        <v>984</v>
      </c>
      <c r="H20" s="62">
        <f t="shared" si="2"/>
        <v>-8389.6</v>
      </c>
      <c r="K20" s="63"/>
    </row>
    <row r="21" spans="1:11" x14ac:dyDescent="0.25">
      <c r="A21" s="56">
        <f t="shared" si="3"/>
        <v>11</v>
      </c>
      <c r="B21" s="39" t="s">
        <v>32</v>
      </c>
      <c r="C21" s="56" t="s">
        <v>33</v>
      </c>
      <c r="D21" s="8">
        <f>'CCA Therm Forecast'!N109</f>
        <v>1198658</v>
      </c>
      <c r="E21" s="9">
        <f t="shared" si="0"/>
        <v>1.2401762364370882E-3</v>
      </c>
      <c r="F21" s="61">
        <f t="shared" si="1"/>
        <v>-168375.20661812273</v>
      </c>
      <c r="G21" s="225">
        <f>'CCA Customer Forecast'!N127</f>
        <v>84</v>
      </c>
      <c r="H21" s="62">
        <f t="shared" si="2"/>
        <v>-2004.47</v>
      </c>
      <c r="K21" s="63"/>
    </row>
    <row r="22" spans="1:11" x14ac:dyDescent="0.25">
      <c r="A22" s="56">
        <f t="shared" si="3"/>
        <v>12</v>
      </c>
      <c r="B22" s="39" t="s">
        <v>34</v>
      </c>
      <c r="C22" s="241" t="s">
        <v>294</v>
      </c>
      <c r="D22" s="8">
        <f>'CCA Therm Forecast'!N110</f>
        <v>7573006.0794945797</v>
      </c>
      <c r="E22" s="9">
        <f t="shared" si="0"/>
        <v>7.835314308320452E-3</v>
      </c>
      <c r="F22" s="61">
        <f t="shared" si="1"/>
        <v>-1063778.3782823787</v>
      </c>
      <c r="G22" s="225">
        <f>'CCA Customer Forecast'!N128</f>
        <v>36</v>
      </c>
      <c r="H22" s="62">
        <f t="shared" si="2"/>
        <v>-29549.4</v>
      </c>
      <c r="K22" s="63"/>
    </row>
    <row r="23" spans="1:11" x14ac:dyDescent="0.25">
      <c r="A23" s="56">
        <f t="shared" si="3"/>
        <v>13</v>
      </c>
      <c r="B23" s="39" t="s">
        <v>36</v>
      </c>
      <c r="D23" s="8">
        <f>'CCA Therm Forecast'!N111</f>
        <v>12913388.61947025</v>
      </c>
      <c r="E23" s="9">
        <f t="shared" si="0"/>
        <v>1.3360673100871258E-2</v>
      </c>
      <c r="F23" s="61">
        <f t="shared" si="1"/>
        <v>-1813940.6544180389</v>
      </c>
      <c r="G23" s="225">
        <f>'CCA Customer Forecast'!N129</f>
        <v>84</v>
      </c>
      <c r="H23" s="62">
        <f t="shared" si="2"/>
        <v>-21594.53</v>
      </c>
      <c r="K23" s="63"/>
    </row>
    <row r="24" spans="1:11" x14ac:dyDescent="0.25">
      <c r="A24" s="56">
        <f t="shared" si="3"/>
        <v>14</v>
      </c>
      <c r="B24" s="39" t="s">
        <v>2</v>
      </c>
      <c r="D24" s="64">
        <f t="shared" ref="D24:G24" si="4">SUM(D11:D23)</f>
        <v>966522309.31599998</v>
      </c>
      <c r="E24" s="65">
        <f t="shared" si="4"/>
        <v>1</v>
      </c>
      <c r="F24" s="66">
        <f t="shared" si="4"/>
        <v>-135767160.88501191</v>
      </c>
      <c r="G24" s="67">
        <f t="shared" si="4"/>
        <v>9456536.5724412221</v>
      </c>
      <c r="H24" s="69"/>
    </row>
    <row r="25" spans="1:11" x14ac:dyDescent="0.25">
      <c r="A25" s="56">
        <f t="shared" si="3"/>
        <v>15</v>
      </c>
      <c r="D25" s="68"/>
    </row>
    <row r="26" spans="1:11" x14ac:dyDescent="0.25">
      <c r="A26" s="56">
        <f t="shared" si="3"/>
        <v>16</v>
      </c>
      <c r="B26" s="39" t="s">
        <v>38</v>
      </c>
      <c r="D26" s="68"/>
      <c r="F26" s="82">
        <f>'Rev Req'!E25</f>
        <v>-148997436.96701729</v>
      </c>
    </row>
    <row r="27" spans="1:11" x14ac:dyDescent="0.25">
      <c r="A27" s="56">
        <f t="shared" si="3"/>
        <v>17</v>
      </c>
      <c r="B27" s="39" t="s">
        <v>69</v>
      </c>
      <c r="D27" s="68"/>
      <c r="F27" s="82">
        <f>-'Sch. 111 Low Inc. Credit Rates'!E11</f>
        <v>13230276.082005372</v>
      </c>
    </row>
    <row r="28" spans="1:11" x14ac:dyDescent="0.25">
      <c r="A28" s="56">
        <f t="shared" si="3"/>
        <v>18</v>
      </c>
      <c r="B28" s="39" t="s">
        <v>70</v>
      </c>
      <c r="E28" s="16"/>
      <c r="F28" s="83">
        <f>SUM(F26:F27)</f>
        <v>-135767160.88501191</v>
      </c>
      <c r="G28" s="16"/>
      <c r="H28" s="17"/>
    </row>
    <row r="29" spans="1:11" x14ac:dyDescent="0.25">
      <c r="A29" s="56"/>
      <c r="E29" s="16"/>
      <c r="F29" s="16"/>
      <c r="G29" s="16"/>
      <c r="H29" s="61"/>
    </row>
    <row r="30" spans="1:11" ht="17.25" x14ac:dyDescent="0.25">
      <c r="B30" s="39" t="s">
        <v>103</v>
      </c>
      <c r="D30" s="41"/>
    </row>
    <row r="31" spans="1:11" ht="17.25" x14ac:dyDescent="0.25">
      <c r="B31" s="39" t="s">
        <v>104</v>
      </c>
      <c r="D31" s="41"/>
    </row>
    <row r="32" spans="1:11" ht="17.25" x14ac:dyDescent="0.25">
      <c r="B32" s="39" t="s">
        <v>73</v>
      </c>
      <c r="D32" s="41"/>
    </row>
    <row r="33" spans="2:6" ht="17.25" x14ac:dyDescent="0.25">
      <c r="B33" s="39" t="s">
        <v>74</v>
      </c>
    </row>
    <row r="34" spans="2:6" x14ac:dyDescent="0.25">
      <c r="F34" s="81"/>
    </row>
    <row r="35" spans="2:6" x14ac:dyDescent="0.25">
      <c r="B35" s="39" t="str">
        <f>"* - When, or if, Schedule 88T becomes effective, then the charge of $"&amp;'Sch. 111 Chrg Rates (88T)'!G23&amp;" will apply to 88T and credit will be $"&amp;'Sch. 111 NVC Rates (88T)'!H23&amp;" for 88T and $"&amp;'Sch. 111 NVC Rates (88T)'!H22&amp;" for 87T."</f>
        <v>* - When, or if, Schedule 88T becomes effective, then the charge of $0.23183 will apply to 88T and credit will be $-56567.83 for 88T and $-16040.18 for 87T.</v>
      </c>
      <c r="F35" s="63"/>
    </row>
  </sheetData>
  <mergeCells count="3">
    <mergeCell ref="A1:H1"/>
    <mergeCell ref="A3:H3"/>
    <mergeCell ref="A4:H4"/>
  </mergeCells>
  <printOptions horizontalCentered="1"/>
  <pageMargins left="0.45" right="0.45" top="0.75" bottom="0.75" header="0.3" footer="0.3"/>
  <pageSetup scale="96" orientation="landscape" blackAndWhite="1" r:id="rId1"/>
  <headerFooter>
    <oddFooter>&amp;L&amp;F 
&amp;A&amp;C&amp;P&amp;R&amp;D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90" zoomScaleNormal="90" workbookViewId="0">
      <selection activeCell="J33" sqref="J33"/>
    </sheetView>
  </sheetViews>
  <sheetFormatPr defaultColWidth="9.140625" defaultRowHeight="15" x14ac:dyDescent="0.25"/>
  <cols>
    <col min="1" max="1" width="4.42578125" style="39" customWidth="1"/>
    <col min="2" max="2" width="2.42578125" style="39" customWidth="1"/>
    <col min="3" max="3" width="35.42578125" style="39" bestFit="1" customWidth="1"/>
    <col min="4" max="15" width="12.5703125" style="39" customWidth="1"/>
    <col min="16" max="16" width="13.42578125" style="39" customWidth="1"/>
    <col min="17" max="16384" width="9.140625" style="39"/>
  </cols>
  <sheetData>
    <row r="1" spans="1:16" x14ac:dyDescent="0.25">
      <c r="A1" s="58" t="s">
        <v>0</v>
      </c>
      <c r="B1" s="58"/>
      <c r="C1" s="58"/>
      <c r="D1" s="58"/>
      <c r="E1" s="58"/>
      <c r="F1" s="58"/>
      <c r="G1" s="58"/>
      <c r="H1" s="58"/>
      <c r="I1" s="58"/>
      <c r="J1" s="58"/>
      <c r="K1" s="58"/>
      <c r="L1" s="58"/>
      <c r="M1" s="58"/>
      <c r="N1" s="58"/>
      <c r="O1" s="58"/>
      <c r="P1" s="58"/>
    </row>
    <row r="2" spans="1:16" x14ac:dyDescent="0.25">
      <c r="A2" s="58" t="str">
        <f>'Sch. 111 Charge Rates'!A2</f>
        <v>2024 Gas Schedule 111 Greenhouse Gas Emissions Cap and Invest Adjustment Filing</v>
      </c>
      <c r="B2" s="58"/>
      <c r="C2" s="58"/>
      <c r="D2" s="58"/>
      <c r="E2" s="58"/>
      <c r="F2" s="58"/>
      <c r="G2" s="58"/>
      <c r="H2" s="58"/>
      <c r="I2" s="58"/>
      <c r="J2" s="58"/>
      <c r="K2" s="58"/>
      <c r="L2" s="58"/>
      <c r="M2" s="58"/>
      <c r="N2" s="58"/>
      <c r="O2" s="58"/>
      <c r="P2" s="58"/>
    </row>
    <row r="3" spans="1:16" x14ac:dyDescent="0.25">
      <c r="A3" s="58" t="s">
        <v>228</v>
      </c>
      <c r="B3" s="58"/>
      <c r="C3" s="58"/>
      <c r="D3" s="58"/>
      <c r="E3" s="58"/>
      <c r="F3" s="58"/>
      <c r="G3" s="58"/>
      <c r="H3" s="58"/>
      <c r="I3" s="58"/>
      <c r="J3" s="58"/>
      <c r="K3" s="58"/>
      <c r="L3" s="58"/>
      <c r="M3" s="58"/>
      <c r="N3" s="58"/>
      <c r="O3" s="58"/>
      <c r="P3" s="58"/>
    </row>
    <row r="4" spans="1:16" x14ac:dyDescent="0.25">
      <c r="A4" s="58" t="str">
        <f>'Sch. 111 Charge Rates'!A4:H4</f>
        <v>Proposed Rates Effective January 1, 2024</v>
      </c>
      <c r="B4" s="58"/>
      <c r="C4" s="58"/>
      <c r="D4" s="58"/>
      <c r="E4" s="58"/>
      <c r="F4" s="58"/>
      <c r="G4" s="58"/>
      <c r="H4" s="58"/>
      <c r="I4" s="58"/>
      <c r="J4" s="58"/>
      <c r="K4" s="58"/>
      <c r="L4" s="58"/>
      <c r="M4" s="58"/>
      <c r="N4" s="58"/>
      <c r="O4" s="58"/>
      <c r="P4" s="58"/>
    </row>
    <row r="5" spans="1:16" x14ac:dyDescent="0.25">
      <c r="C5" s="59"/>
      <c r="D5" s="23"/>
      <c r="E5" s="23"/>
      <c r="F5" s="59"/>
      <c r="G5" s="59"/>
      <c r="H5" s="59"/>
      <c r="I5" s="59"/>
      <c r="J5" s="59"/>
      <c r="K5" s="59"/>
      <c r="L5" s="59"/>
      <c r="M5" s="59"/>
      <c r="N5" s="59"/>
      <c r="O5" s="59"/>
    </row>
    <row r="6" spans="1:16" ht="15" customHeight="1" x14ac:dyDescent="0.25">
      <c r="A6" s="72" t="s">
        <v>1</v>
      </c>
      <c r="B6" s="72"/>
      <c r="C6" s="59"/>
      <c r="D6" s="23"/>
      <c r="E6" s="23"/>
      <c r="F6" s="59"/>
      <c r="G6" s="59"/>
      <c r="H6" s="59"/>
      <c r="I6" s="59"/>
      <c r="J6" s="59"/>
      <c r="K6" s="59"/>
      <c r="L6" s="59"/>
      <c r="M6" s="59"/>
      <c r="N6" s="59"/>
      <c r="O6" s="59"/>
    </row>
    <row r="7" spans="1:16" x14ac:dyDescent="0.25">
      <c r="A7" s="60" t="s">
        <v>6</v>
      </c>
      <c r="B7" s="60"/>
      <c r="C7" s="60"/>
      <c r="D7" s="44">
        <v>45292</v>
      </c>
      <c r="E7" s="45">
        <f>EDATE(D7,1)</f>
        <v>45323</v>
      </c>
      <c r="F7" s="45">
        <f t="shared" ref="F7:H7" si="0">EDATE(E7,1)</f>
        <v>45352</v>
      </c>
      <c r="G7" s="45">
        <f t="shared" si="0"/>
        <v>45383</v>
      </c>
      <c r="H7" s="45">
        <f t="shared" si="0"/>
        <v>45413</v>
      </c>
      <c r="I7" s="45">
        <f t="shared" ref="I7" si="1">EDATE(H7,1)</f>
        <v>45444</v>
      </c>
      <c r="J7" s="45">
        <f t="shared" ref="J7" si="2">EDATE(I7,1)</f>
        <v>45474</v>
      </c>
      <c r="K7" s="45">
        <f t="shared" ref="K7" si="3">EDATE(J7,1)</f>
        <v>45505</v>
      </c>
      <c r="L7" s="45">
        <f t="shared" ref="L7" si="4">EDATE(K7,1)</f>
        <v>45536</v>
      </c>
      <c r="M7" s="45">
        <f t="shared" ref="M7" si="5">EDATE(L7,1)</f>
        <v>45566</v>
      </c>
      <c r="N7" s="45">
        <f t="shared" ref="N7" si="6">EDATE(M7,1)</f>
        <v>45597</v>
      </c>
      <c r="O7" s="45">
        <f t="shared" ref="O7" si="7">EDATE(N7,1)</f>
        <v>45627</v>
      </c>
      <c r="P7" s="45" t="s">
        <v>2</v>
      </c>
    </row>
    <row r="8" spans="1:16" x14ac:dyDescent="0.25">
      <c r="C8" s="71" t="s">
        <v>12</v>
      </c>
      <c r="D8" s="71" t="s">
        <v>13</v>
      </c>
      <c r="E8" s="7" t="s">
        <v>14</v>
      </c>
      <c r="F8" s="23" t="s">
        <v>15</v>
      </c>
      <c r="G8" s="7" t="s">
        <v>16</v>
      </c>
      <c r="H8" s="23" t="s">
        <v>17</v>
      </c>
      <c r="I8" s="23" t="s">
        <v>18</v>
      </c>
      <c r="J8" s="23" t="s">
        <v>105</v>
      </c>
      <c r="K8" s="23" t="s">
        <v>106</v>
      </c>
      <c r="L8" s="23" t="s">
        <v>107</v>
      </c>
      <c r="M8" s="23" t="s">
        <v>108</v>
      </c>
      <c r="N8" s="23" t="s">
        <v>109</v>
      </c>
      <c r="O8" s="23" t="s">
        <v>110</v>
      </c>
      <c r="P8" s="73" t="s">
        <v>111</v>
      </c>
    </row>
    <row r="9" spans="1:16" x14ac:dyDescent="0.25">
      <c r="A9" s="72">
        <v>1</v>
      </c>
      <c r="B9" s="78" t="s">
        <v>61</v>
      </c>
      <c r="C9" s="50"/>
      <c r="D9" s="73"/>
      <c r="E9" s="73"/>
      <c r="F9" s="73"/>
      <c r="G9" s="23"/>
      <c r="H9" s="23"/>
      <c r="I9" s="23"/>
      <c r="J9" s="23"/>
      <c r="K9" s="23"/>
      <c r="L9" s="23"/>
      <c r="M9" s="23"/>
      <c r="N9" s="23"/>
      <c r="O9" s="23"/>
      <c r="P9" s="23"/>
    </row>
    <row r="10" spans="1:16" x14ac:dyDescent="0.25">
      <c r="A10" s="72">
        <f>A9+1</f>
        <v>2</v>
      </c>
      <c r="B10" s="39" t="s">
        <v>99</v>
      </c>
    </row>
    <row r="11" spans="1:16" ht="17.25" x14ac:dyDescent="0.25">
      <c r="A11" s="72">
        <f t="shared" ref="A11:A29" si="8">A10+1</f>
        <v>3</v>
      </c>
      <c r="C11" s="87" t="s">
        <v>77</v>
      </c>
      <c r="D11" s="75">
        <f>SUM('CCA Therm Forecast'!B99:B100)</f>
        <v>85099134</v>
      </c>
      <c r="E11" s="75">
        <f>SUM('CCA Therm Forecast'!C99:C100)</f>
        <v>74985418</v>
      </c>
      <c r="F11" s="75">
        <f>SUM('CCA Therm Forecast'!D99:D100)</f>
        <v>68653480</v>
      </c>
      <c r="G11" s="75">
        <f>SUM('CCA Therm Forecast'!E99:E100)</f>
        <v>46949280</v>
      </c>
      <c r="H11" s="75">
        <f>SUM('CCA Therm Forecast'!F99:F100)</f>
        <v>27300857</v>
      </c>
      <c r="I11" s="75">
        <f>SUM('CCA Therm Forecast'!G99:G100)</f>
        <v>18661784</v>
      </c>
      <c r="J11" s="75">
        <f>SUM('CCA Therm Forecast'!H99:H100)</f>
        <v>14141387</v>
      </c>
      <c r="K11" s="75">
        <f>SUM('CCA Therm Forecast'!I99:I100)</f>
        <v>13556472</v>
      </c>
      <c r="L11" s="75">
        <f>SUM('CCA Therm Forecast'!J99:J100)</f>
        <v>17856721</v>
      </c>
      <c r="M11" s="75">
        <f>SUM('CCA Therm Forecast'!K99:K100)</f>
        <v>38270559</v>
      </c>
      <c r="N11" s="75">
        <f>SUM('CCA Therm Forecast'!L99:L100)</f>
        <v>64417242</v>
      </c>
      <c r="O11" s="75">
        <f>SUM('CCA Therm Forecast'!M99:M100)</f>
        <v>85858146</v>
      </c>
      <c r="P11" s="74">
        <f>SUM(D11:O11)</f>
        <v>555750480</v>
      </c>
    </row>
    <row r="12" spans="1:16" x14ac:dyDescent="0.25">
      <c r="A12" s="72">
        <f t="shared" si="8"/>
        <v>4</v>
      </c>
      <c r="C12" s="39" t="s">
        <v>60</v>
      </c>
      <c r="D12" s="76">
        <f>D11/$P11</f>
        <v>0.15312471524990856</v>
      </c>
      <c r="E12" s="76">
        <f t="shared" ref="E12:G12" si="9">E11/$P11</f>
        <v>0.13492641157952756</v>
      </c>
      <c r="F12" s="76">
        <f t="shared" si="9"/>
        <v>0.12353292074529562</v>
      </c>
      <c r="G12" s="76">
        <f t="shared" si="9"/>
        <v>8.4479063337921004E-2</v>
      </c>
      <c r="H12" s="76">
        <f>H11/$P11</f>
        <v>4.9124306649271809E-2</v>
      </c>
      <c r="I12" s="76">
        <f t="shared" ref="I12:O12" si="10">I11/$P11</f>
        <v>3.357942938708753E-2</v>
      </c>
      <c r="J12" s="76">
        <f t="shared" si="10"/>
        <v>2.5445568665995573E-2</v>
      </c>
      <c r="K12" s="76">
        <f t="shared" si="10"/>
        <v>2.4393090942539535E-2</v>
      </c>
      <c r="L12" s="76">
        <f t="shared" si="10"/>
        <v>3.2130824250480181E-2</v>
      </c>
      <c r="M12" s="76">
        <f t="shared" si="10"/>
        <v>6.8862844706854776E-2</v>
      </c>
      <c r="N12" s="76">
        <f t="shared" si="10"/>
        <v>0.11591036682505429</v>
      </c>
      <c r="O12" s="76">
        <f t="shared" si="10"/>
        <v>0.15449045766006356</v>
      </c>
      <c r="P12" s="77">
        <f>SUM(D12:O12)</f>
        <v>1</v>
      </c>
    </row>
    <row r="13" spans="1:16" x14ac:dyDescent="0.25">
      <c r="A13" s="72">
        <f t="shared" si="8"/>
        <v>5</v>
      </c>
      <c r="C13" s="72"/>
      <c r="D13" s="73"/>
      <c r="E13" s="73"/>
      <c r="F13" s="73"/>
      <c r="G13" s="23"/>
      <c r="H13" s="23"/>
      <c r="I13" s="23"/>
      <c r="J13" s="23"/>
      <c r="K13" s="23"/>
      <c r="L13" s="23"/>
      <c r="M13" s="23"/>
      <c r="N13" s="23"/>
      <c r="O13" s="23"/>
      <c r="P13" s="23"/>
    </row>
    <row r="14" spans="1:16" x14ac:dyDescent="0.25">
      <c r="A14" s="72">
        <f t="shared" si="8"/>
        <v>6</v>
      </c>
      <c r="B14" s="39" t="s">
        <v>229</v>
      </c>
    </row>
    <row r="15" spans="1:16" ht="17.25" x14ac:dyDescent="0.25">
      <c r="A15" s="72">
        <f t="shared" si="8"/>
        <v>7</v>
      </c>
      <c r="C15" s="87" t="s">
        <v>77</v>
      </c>
      <c r="D15" s="75">
        <f>'CCA Therm Forecast'!B101+'CCA Therm Forecast'!B106</f>
        <v>29247999.512905676</v>
      </c>
      <c r="E15" s="75">
        <f>'CCA Therm Forecast'!C101+'CCA Therm Forecast'!C106</f>
        <v>26423061.306854788</v>
      </c>
      <c r="F15" s="75">
        <f>'CCA Therm Forecast'!D101+'CCA Therm Forecast'!D106</f>
        <v>23474930.209777679</v>
      </c>
      <c r="G15" s="75">
        <f>'CCA Therm Forecast'!E101+'CCA Therm Forecast'!E106</f>
        <v>16797610.603376113</v>
      </c>
      <c r="H15" s="75">
        <f>'CCA Therm Forecast'!F101+'CCA Therm Forecast'!F106</f>
        <v>12230784.033846406</v>
      </c>
      <c r="I15" s="75">
        <f>'CCA Therm Forecast'!G101+'CCA Therm Forecast'!G106</f>
        <v>9808143.2517203037</v>
      </c>
      <c r="J15" s="75">
        <f>'CCA Therm Forecast'!H101+'CCA Therm Forecast'!H106</f>
        <v>8371899.2239624616</v>
      </c>
      <c r="K15" s="75">
        <f>'CCA Therm Forecast'!I101+'CCA Therm Forecast'!I106</f>
        <v>9199040.224951895</v>
      </c>
      <c r="L15" s="75">
        <f>'CCA Therm Forecast'!J101+'CCA Therm Forecast'!J106</f>
        <v>11324419.394258451</v>
      </c>
      <c r="M15" s="75">
        <f>'CCA Therm Forecast'!K101+'CCA Therm Forecast'!K106</f>
        <v>19179453.239572</v>
      </c>
      <c r="N15" s="75">
        <f>'CCA Therm Forecast'!L101+'CCA Therm Forecast'!L106</f>
        <v>27358734.953316968</v>
      </c>
      <c r="O15" s="75">
        <f>'CCA Therm Forecast'!M101+'CCA Therm Forecast'!M106</f>
        <v>33034542.356728531</v>
      </c>
      <c r="P15" s="74">
        <f>SUM(D15:O15)</f>
        <v>226450618.31127122</v>
      </c>
    </row>
    <row r="16" spans="1:16" x14ac:dyDescent="0.25">
      <c r="A16" s="72">
        <f t="shared" si="8"/>
        <v>8</v>
      </c>
      <c r="C16" s="39" t="s">
        <v>60</v>
      </c>
      <c r="D16" s="76">
        <f>D15/$P15</f>
        <v>0.12915839987993491</v>
      </c>
      <c r="E16" s="76">
        <f t="shared" ref="E16" si="11">E15/$P15</f>
        <v>0.11668354674366381</v>
      </c>
      <c r="F16" s="76">
        <f t="shared" ref="F16" si="12">F15/$P15</f>
        <v>0.1036646770268909</v>
      </c>
      <c r="G16" s="76">
        <f t="shared" ref="G16" si="13">G15/$P15</f>
        <v>7.4177808515791713E-2</v>
      </c>
      <c r="H16" s="76">
        <f t="shared" ref="H16:O16" si="14">H15/$P15</f>
        <v>5.4010821984307379E-2</v>
      </c>
      <c r="I16" s="76">
        <f t="shared" si="14"/>
        <v>4.331250373641448E-2</v>
      </c>
      <c r="J16" s="76">
        <f t="shared" si="14"/>
        <v>3.6970087723296644E-2</v>
      </c>
      <c r="K16" s="76">
        <f t="shared" si="14"/>
        <v>4.0622720721862682E-2</v>
      </c>
      <c r="L16" s="76">
        <f t="shared" si="14"/>
        <v>5.0008339472459702E-2</v>
      </c>
      <c r="M16" s="76">
        <f t="shared" si="14"/>
        <v>8.469596321970993E-2</v>
      </c>
      <c r="N16" s="76">
        <f t="shared" si="14"/>
        <v>0.12081545706230129</v>
      </c>
      <c r="O16" s="76">
        <f t="shared" si="14"/>
        <v>0.14587967391336679</v>
      </c>
      <c r="P16" s="77">
        <f>SUM(D16:O16)</f>
        <v>1.0000000000000002</v>
      </c>
    </row>
    <row r="17" spans="1:16" x14ac:dyDescent="0.25">
      <c r="A17" s="72">
        <f t="shared" si="8"/>
        <v>9</v>
      </c>
      <c r="C17" s="72"/>
      <c r="D17" s="73"/>
      <c r="E17" s="73"/>
      <c r="F17" s="73"/>
      <c r="G17" s="23"/>
      <c r="H17" s="23"/>
      <c r="I17" s="23"/>
      <c r="J17" s="23"/>
      <c r="K17" s="23"/>
      <c r="L17" s="23"/>
      <c r="M17" s="23"/>
      <c r="N17" s="23"/>
      <c r="O17" s="23"/>
      <c r="P17" s="23"/>
    </row>
    <row r="18" spans="1:16" x14ac:dyDescent="0.25">
      <c r="A18" s="105">
        <f t="shared" si="8"/>
        <v>10</v>
      </c>
      <c r="B18" s="78" t="s">
        <v>98</v>
      </c>
      <c r="C18" s="72"/>
      <c r="D18" s="73"/>
      <c r="E18" s="73"/>
      <c r="F18" s="73"/>
      <c r="G18" s="23"/>
      <c r="H18" s="23"/>
      <c r="I18" s="23"/>
      <c r="J18" s="23"/>
      <c r="K18" s="23"/>
      <c r="L18" s="23"/>
      <c r="M18" s="23"/>
      <c r="N18" s="23"/>
      <c r="O18" s="23"/>
      <c r="P18" s="23"/>
    </row>
    <row r="19" spans="1:16" x14ac:dyDescent="0.25">
      <c r="A19" s="105">
        <f t="shared" si="8"/>
        <v>11</v>
      </c>
      <c r="B19" s="39" t="s">
        <v>99</v>
      </c>
    </row>
    <row r="20" spans="1:16" x14ac:dyDescent="0.25">
      <c r="A20" s="105">
        <f t="shared" si="8"/>
        <v>12</v>
      </c>
      <c r="C20" s="39" t="s">
        <v>63</v>
      </c>
      <c r="D20" s="75"/>
      <c r="E20" s="75"/>
      <c r="F20" s="75"/>
      <c r="G20" s="75"/>
      <c r="H20" s="75"/>
      <c r="I20" s="75"/>
      <c r="J20" s="75"/>
      <c r="K20" s="75"/>
      <c r="L20" s="75"/>
      <c r="M20" s="75"/>
      <c r="N20" s="75"/>
      <c r="O20" s="75"/>
      <c r="P20" s="84">
        <f>'Sch. 111 Non-Vol Credit Rates'!H11*12</f>
        <v>-106.92</v>
      </c>
    </row>
    <row r="21" spans="1:16" x14ac:dyDescent="0.25">
      <c r="A21" s="105">
        <f t="shared" si="8"/>
        <v>13</v>
      </c>
      <c r="C21" s="39" t="s">
        <v>76</v>
      </c>
      <c r="D21" s="79">
        <f>ROUND($P$20*D12,2)</f>
        <v>-16.37</v>
      </c>
      <c r="E21" s="79">
        <f t="shared" ref="E21:N21" si="15">ROUND($P$20*E12,2)</f>
        <v>-14.43</v>
      </c>
      <c r="F21" s="79">
        <f t="shared" si="15"/>
        <v>-13.21</v>
      </c>
      <c r="G21" s="79">
        <f t="shared" si="15"/>
        <v>-9.0299999999999994</v>
      </c>
      <c r="H21" s="79">
        <f t="shared" si="15"/>
        <v>-5.25</v>
      </c>
      <c r="I21" s="79">
        <f t="shared" si="15"/>
        <v>-3.59</v>
      </c>
      <c r="J21" s="79">
        <f t="shared" si="15"/>
        <v>-2.72</v>
      </c>
      <c r="K21" s="79">
        <f t="shared" si="15"/>
        <v>-2.61</v>
      </c>
      <c r="L21" s="79">
        <f t="shared" si="15"/>
        <v>-3.44</v>
      </c>
      <c r="M21" s="79">
        <f t="shared" si="15"/>
        <v>-7.36</v>
      </c>
      <c r="N21" s="79">
        <f t="shared" si="15"/>
        <v>-12.39</v>
      </c>
      <c r="O21" s="79">
        <f>ROUND($P$20*O12,2)</f>
        <v>-16.52</v>
      </c>
      <c r="P21" s="80">
        <f>SUM(D21:O21)</f>
        <v>-106.92</v>
      </c>
    </row>
    <row r="22" spans="1:16" x14ac:dyDescent="0.25">
      <c r="A22" s="105">
        <f t="shared" si="8"/>
        <v>14</v>
      </c>
      <c r="D22" s="76"/>
      <c r="E22" s="76"/>
      <c r="F22" s="76"/>
      <c r="G22" s="76"/>
      <c r="H22" s="76"/>
      <c r="I22" s="76"/>
      <c r="J22" s="76"/>
      <c r="K22" s="76"/>
      <c r="L22" s="76"/>
      <c r="M22" s="76"/>
      <c r="N22" s="76"/>
      <c r="O22" s="76"/>
      <c r="P22" s="77"/>
    </row>
    <row r="23" spans="1:16" x14ac:dyDescent="0.25">
      <c r="A23" s="105">
        <f t="shared" si="8"/>
        <v>15</v>
      </c>
      <c r="B23" s="39" t="s">
        <v>62</v>
      </c>
    </row>
    <row r="24" spans="1:16" x14ac:dyDescent="0.25">
      <c r="A24" s="105">
        <f t="shared" si="8"/>
        <v>16</v>
      </c>
      <c r="C24" s="39" t="s">
        <v>63</v>
      </c>
      <c r="D24" s="75"/>
      <c r="E24" s="75"/>
      <c r="F24" s="75"/>
      <c r="G24" s="75"/>
      <c r="H24" s="75"/>
      <c r="I24" s="75"/>
      <c r="J24" s="75"/>
      <c r="K24" s="75"/>
      <c r="L24" s="75"/>
      <c r="M24" s="75"/>
      <c r="N24" s="75"/>
      <c r="O24" s="75"/>
      <c r="P24" s="84">
        <f>'Sch. 111 Non-Vol Credit Rates'!H13*12</f>
        <v>-560.76</v>
      </c>
    </row>
    <row r="25" spans="1:16" x14ac:dyDescent="0.25">
      <c r="A25" s="105">
        <f t="shared" si="8"/>
        <v>17</v>
      </c>
      <c r="C25" s="39" t="s">
        <v>76</v>
      </c>
      <c r="D25" s="79">
        <f>ROUND($P$24*D16,2)</f>
        <v>-72.430000000000007</v>
      </c>
      <c r="E25" s="79">
        <f t="shared" ref="E25:N25" si="16">ROUND($P$24*E16,2)</f>
        <v>-65.430000000000007</v>
      </c>
      <c r="F25" s="79">
        <f t="shared" si="16"/>
        <v>-58.13</v>
      </c>
      <c r="G25" s="79">
        <f t="shared" si="16"/>
        <v>-41.6</v>
      </c>
      <c r="H25" s="79">
        <f t="shared" si="16"/>
        <v>-30.29</v>
      </c>
      <c r="I25" s="79">
        <f t="shared" si="16"/>
        <v>-24.29</v>
      </c>
      <c r="J25" s="79">
        <f t="shared" si="16"/>
        <v>-20.73</v>
      </c>
      <c r="K25" s="79">
        <f t="shared" si="16"/>
        <v>-22.78</v>
      </c>
      <c r="L25" s="79">
        <f t="shared" si="16"/>
        <v>-28.04</v>
      </c>
      <c r="M25" s="79">
        <f t="shared" si="16"/>
        <v>-47.49</v>
      </c>
      <c r="N25" s="79">
        <f t="shared" si="16"/>
        <v>-67.75</v>
      </c>
      <c r="O25" s="79">
        <f>ROUND($P$24*O16,2)</f>
        <v>-81.8</v>
      </c>
      <c r="P25" s="80">
        <f>SUM(D25:O25)</f>
        <v>-560.7600000000001</v>
      </c>
    </row>
    <row r="26" spans="1:16" x14ac:dyDescent="0.25">
      <c r="A26" s="105">
        <f t="shared" si="8"/>
        <v>18</v>
      </c>
      <c r="D26" s="76"/>
      <c r="E26" s="76"/>
      <c r="F26" s="76"/>
      <c r="G26" s="76"/>
      <c r="H26" s="76"/>
      <c r="I26" s="76"/>
      <c r="J26" s="76"/>
      <c r="K26" s="76"/>
      <c r="L26" s="76"/>
      <c r="M26" s="76"/>
      <c r="N26" s="76"/>
      <c r="O26" s="76"/>
      <c r="P26" s="77"/>
    </row>
    <row r="27" spans="1:16" x14ac:dyDescent="0.25">
      <c r="A27" s="105">
        <f t="shared" si="8"/>
        <v>19</v>
      </c>
      <c r="B27" s="39" t="s">
        <v>66</v>
      </c>
    </row>
    <row r="28" spans="1:16" x14ac:dyDescent="0.25">
      <c r="A28" s="105">
        <f t="shared" si="8"/>
        <v>20</v>
      </c>
      <c r="C28" s="39" t="s">
        <v>63</v>
      </c>
      <c r="D28" s="75"/>
      <c r="E28" s="75"/>
      <c r="F28" s="75"/>
      <c r="G28" s="75"/>
      <c r="H28" s="75"/>
      <c r="I28" s="75"/>
      <c r="J28" s="75"/>
      <c r="K28" s="75"/>
      <c r="L28" s="75"/>
      <c r="M28" s="75"/>
      <c r="N28" s="75"/>
      <c r="O28" s="75"/>
      <c r="P28" s="84">
        <f>'Sch. 111 Non-Vol Credit Rates'!H18*12</f>
        <v>-133.68</v>
      </c>
    </row>
    <row r="29" spans="1:16" x14ac:dyDescent="0.25">
      <c r="A29" s="105">
        <f t="shared" si="8"/>
        <v>21</v>
      </c>
      <c r="C29" s="39" t="s">
        <v>76</v>
      </c>
      <c r="D29" s="79">
        <f>ROUND($P$28*D16,2)</f>
        <v>-17.27</v>
      </c>
      <c r="E29" s="79">
        <f t="shared" ref="E29:N29" si="17">ROUND($P$28*E16,2)</f>
        <v>-15.6</v>
      </c>
      <c r="F29" s="79">
        <f t="shared" si="17"/>
        <v>-13.86</v>
      </c>
      <c r="G29" s="79">
        <f t="shared" si="17"/>
        <v>-9.92</v>
      </c>
      <c r="H29" s="79">
        <f t="shared" si="17"/>
        <v>-7.22</v>
      </c>
      <c r="I29" s="79">
        <f t="shared" si="17"/>
        <v>-5.79</v>
      </c>
      <c r="J29" s="79">
        <f t="shared" si="17"/>
        <v>-4.9400000000000004</v>
      </c>
      <c r="K29" s="79">
        <f t="shared" si="17"/>
        <v>-5.43</v>
      </c>
      <c r="L29" s="79">
        <f t="shared" si="17"/>
        <v>-6.69</v>
      </c>
      <c r="M29" s="79">
        <f t="shared" si="17"/>
        <v>-11.32</v>
      </c>
      <c r="N29" s="79">
        <f t="shared" si="17"/>
        <v>-16.149999999999999</v>
      </c>
      <c r="O29" s="79">
        <f>ROUND($P$28*O16,2)</f>
        <v>-19.5</v>
      </c>
      <c r="P29" s="80">
        <f>SUM(D29:O29)</f>
        <v>-133.69</v>
      </c>
    </row>
    <row r="30" spans="1:16" x14ac:dyDescent="0.25">
      <c r="D30" s="76"/>
      <c r="E30" s="76"/>
      <c r="F30" s="76"/>
      <c r="G30" s="76"/>
      <c r="H30" s="76"/>
      <c r="I30" s="76"/>
      <c r="J30" s="76"/>
      <c r="K30" s="76"/>
      <c r="L30" s="76"/>
      <c r="M30" s="76"/>
      <c r="N30" s="76"/>
      <c r="O30" s="76"/>
      <c r="P30" s="77"/>
    </row>
    <row r="31" spans="1:16" ht="17.25" x14ac:dyDescent="0.25">
      <c r="B31" s="39" t="s">
        <v>103</v>
      </c>
      <c r="D31" s="76"/>
      <c r="E31" s="76"/>
      <c r="F31" s="76"/>
      <c r="G31" s="76"/>
      <c r="H31" s="76"/>
      <c r="I31" s="76"/>
      <c r="J31" s="76"/>
      <c r="K31" s="76"/>
      <c r="L31" s="76"/>
      <c r="M31" s="76"/>
      <c r="N31" s="76"/>
      <c r="O31" s="76"/>
      <c r="P31" s="77"/>
    </row>
    <row r="32" spans="1:16" x14ac:dyDescent="0.25">
      <c r="D32" s="41"/>
    </row>
  </sheetData>
  <printOptions horizontalCentered="1"/>
  <pageMargins left="0.45" right="0.45" top="0.75" bottom="0.75" header="0.3" footer="0.3"/>
  <pageSetup scale="62" orientation="landscape" blackAndWhite="1" r:id="rId1"/>
  <headerFooter>
    <oddFooter>&amp;L&amp;F 
&amp;A&amp;C&amp;P&amp;R&amp;D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
  <sheetViews>
    <sheetView workbookViewId="0">
      <selection activeCell="F9" sqref="F9"/>
    </sheetView>
  </sheetViews>
  <sheetFormatPr defaultRowHeight="15" x14ac:dyDescent="0.25"/>
  <sheetData>
    <row r="2" spans="1:1" x14ac:dyDescent="0.25">
      <c r="A2"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90" zoomScaleNormal="90" workbookViewId="0">
      <selection activeCell="B32" sqref="B32"/>
    </sheetView>
  </sheetViews>
  <sheetFormatPr defaultColWidth="9.140625" defaultRowHeight="15" x14ac:dyDescent="0.25"/>
  <cols>
    <col min="1" max="1" width="4.42578125" style="1" customWidth="1"/>
    <col min="2" max="2" width="38.28515625" style="1" customWidth="1"/>
    <col min="3" max="3" width="13.28515625" style="1" customWidth="1"/>
    <col min="4" max="4" width="15.42578125" style="1" customWidth="1"/>
    <col min="5" max="5" width="14.5703125" style="1" customWidth="1"/>
    <col min="6" max="6" width="15.85546875" style="1" customWidth="1"/>
    <col min="7" max="8" width="12.42578125" style="1" customWidth="1"/>
    <col min="9" max="16384" width="9.140625" style="1"/>
  </cols>
  <sheetData>
    <row r="1" spans="1:9" x14ac:dyDescent="0.25">
      <c r="A1" s="248" t="s">
        <v>0</v>
      </c>
      <c r="B1" s="248"/>
      <c r="C1" s="248"/>
      <c r="D1" s="248"/>
      <c r="E1" s="248"/>
      <c r="F1" s="248"/>
      <c r="G1" s="248"/>
      <c r="H1" s="248"/>
    </row>
    <row r="2" spans="1:9" x14ac:dyDescent="0.25">
      <c r="A2" s="58" t="s">
        <v>259</v>
      </c>
      <c r="B2" s="2"/>
      <c r="C2" s="2"/>
      <c r="D2" s="2"/>
      <c r="E2" s="2"/>
      <c r="F2" s="2"/>
      <c r="G2" s="2"/>
      <c r="H2" s="2"/>
    </row>
    <row r="3" spans="1:9" x14ac:dyDescent="0.25">
      <c r="A3" s="246" t="s">
        <v>89</v>
      </c>
      <c r="B3" s="248"/>
      <c r="C3" s="248"/>
      <c r="D3" s="248"/>
      <c r="E3" s="248"/>
      <c r="F3" s="248"/>
      <c r="G3" s="248"/>
      <c r="H3" s="248"/>
    </row>
    <row r="4" spans="1:9" x14ac:dyDescent="0.25">
      <c r="A4" s="246" t="s">
        <v>260</v>
      </c>
      <c r="B4" s="248"/>
      <c r="C4" s="248"/>
      <c r="D4" s="248"/>
      <c r="E4" s="248"/>
      <c r="F4" s="248"/>
      <c r="G4" s="248"/>
      <c r="H4" s="248"/>
    </row>
    <row r="5" spans="1:9" ht="13.5" customHeight="1" x14ac:dyDescent="0.25">
      <c r="E5" s="4"/>
      <c r="F5" s="4"/>
      <c r="G5" s="4"/>
      <c r="H5" s="4"/>
    </row>
    <row r="6" spans="1:9" ht="13.5" customHeight="1" x14ac:dyDescent="0.25">
      <c r="E6" s="4"/>
      <c r="F6" s="59" t="s">
        <v>92</v>
      </c>
      <c r="G6" s="59" t="s">
        <v>65</v>
      </c>
      <c r="H6" s="59" t="s">
        <v>65</v>
      </c>
    </row>
    <row r="7" spans="1:9" ht="17.25" x14ac:dyDescent="0.25">
      <c r="B7" s="4"/>
      <c r="C7" s="4"/>
      <c r="D7" s="23" t="s">
        <v>58</v>
      </c>
      <c r="E7" s="3"/>
      <c r="F7" s="59" t="s">
        <v>4</v>
      </c>
      <c r="G7" s="4" t="s">
        <v>5</v>
      </c>
      <c r="H7" s="4" t="s">
        <v>5</v>
      </c>
    </row>
    <row r="8" spans="1:9" x14ac:dyDescent="0.25">
      <c r="A8" s="230" t="s">
        <v>1</v>
      </c>
      <c r="B8" s="4"/>
      <c r="C8" s="4"/>
      <c r="D8" s="93" t="s">
        <v>264</v>
      </c>
      <c r="E8" s="3" t="s">
        <v>3</v>
      </c>
      <c r="F8" s="59" t="s">
        <v>10</v>
      </c>
      <c r="G8" s="23" t="s">
        <v>94</v>
      </c>
      <c r="H8" s="23" t="s">
        <v>11</v>
      </c>
    </row>
    <row r="9" spans="1:9" x14ac:dyDescent="0.25">
      <c r="A9" s="6" t="s">
        <v>6</v>
      </c>
      <c r="B9" s="6" t="s">
        <v>7</v>
      </c>
      <c r="C9" s="6" t="s">
        <v>8</v>
      </c>
      <c r="D9" s="86" t="s">
        <v>265</v>
      </c>
      <c r="E9" s="6" t="s">
        <v>9</v>
      </c>
      <c r="F9" s="60" t="s">
        <v>93</v>
      </c>
      <c r="G9" s="60" t="s">
        <v>93</v>
      </c>
      <c r="H9" s="60" t="s">
        <v>93</v>
      </c>
    </row>
    <row r="10" spans="1:9" x14ac:dyDescent="0.25">
      <c r="B10" s="230" t="s">
        <v>12</v>
      </c>
      <c r="C10" s="230" t="s">
        <v>13</v>
      </c>
      <c r="D10" s="7" t="s">
        <v>14</v>
      </c>
      <c r="E10" s="23" t="s">
        <v>15</v>
      </c>
      <c r="F10" s="7" t="s">
        <v>16</v>
      </c>
      <c r="G10" s="23" t="s">
        <v>17</v>
      </c>
      <c r="H10" s="231" t="s">
        <v>18</v>
      </c>
      <c r="I10" s="3"/>
    </row>
    <row r="11" spans="1:9" x14ac:dyDescent="0.25">
      <c r="A11" s="230">
        <v>1</v>
      </c>
      <c r="B11" s="1" t="s">
        <v>19</v>
      </c>
      <c r="C11" s="230">
        <v>23</v>
      </c>
      <c r="D11" s="8">
        <f>SUM('CCA Therm Forecast'!N99:N100)</f>
        <v>555750480</v>
      </c>
      <c r="E11" s="9">
        <f t="shared" ref="E11:E24" si="0">D11/$D$25</f>
        <v>0.57500015741312804</v>
      </c>
      <c r="F11" s="10">
        <f t="shared" ref="F11:F24" si="1">$F$27*E11</f>
        <v>128838388.09930171</v>
      </c>
      <c r="G11" s="11">
        <f>ROUND(F11/D11,5)</f>
        <v>0.23183000000000001</v>
      </c>
      <c r="H11" s="12"/>
    </row>
    <row r="12" spans="1:9" x14ac:dyDescent="0.25">
      <c r="A12" s="230">
        <f>A11+1</f>
        <v>2</v>
      </c>
      <c r="B12" s="1" t="s">
        <v>20</v>
      </c>
      <c r="C12" s="230">
        <v>16</v>
      </c>
      <c r="D12" s="8">
        <f>'CCA Therm Forecast'!N98</f>
        <v>6996</v>
      </c>
      <c r="E12" s="57">
        <f t="shared" si="0"/>
        <v>7.2383223155511147E-6</v>
      </c>
      <c r="F12" s="10">
        <f t="shared" si="1"/>
        <v>1621.8669989141795</v>
      </c>
      <c r="G12" s="11">
        <f t="shared" ref="G12:G24" si="2">ROUND(F12/D12,5)</f>
        <v>0.23183000000000001</v>
      </c>
      <c r="H12" s="12">
        <f>ROUND(G12*19,2)</f>
        <v>4.4000000000000004</v>
      </c>
    </row>
    <row r="13" spans="1:9" x14ac:dyDescent="0.25">
      <c r="A13" s="230">
        <f t="shared" ref="A13:A27" si="3">A12+1</f>
        <v>3</v>
      </c>
      <c r="B13" s="1" t="s">
        <v>21</v>
      </c>
      <c r="C13" s="230">
        <v>31</v>
      </c>
      <c r="D13" s="8">
        <f>'CCA Therm Forecast'!N101</f>
        <v>226449666.31127122</v>
      </c>
      <c r="E13" s="9">
        <f t="shared" si="0"/>
        <v>0.23429326372355316</v>
      </c>
      <c r="F13" s="10">
        <f t="shared" si="1"/>
        <v>52497318.568521842</v>
      </c>
      <c r="G13" s="11">
        <f t="shared" si="2"/>
        <v>0.23183000000000001</v>
      </c>
      <c r="H13" s="11"/>
    </row>
    <row r="14" spans="1:9" x14ac:dyDescent="0.25">
      <c r="A14" s="230">
        <f t="shared" si="3"/>
        <v>4</v>
      </c>
      <c r="B14" s="1" t="s">
        <v>22</v>
      </c>
      <c r="C14" s="230">
        <v>41</v>
      </c>
      <c r="D14" s="8">
        <f>'CCA Therm Forecast'!N102</f>
        <v>61653322.19827313</v>
      </c>
      <c r="E14" s="9">
        <f t="shared" si="0"/>
        <v>6.3788824742084527E-2</v>
      </c>
      <c r="F14" s="10">
        <f t="shared" si="1"/>
        <v>14292951.493253604</v>
      </c>
      <c r="G14" s="11">
        <f t="shared" si="2"/>
        <v>0.23183000000000001</v>
      </c>
      <c r="H14" s="11"/>
    </row>
    <row r="15" spans="1:9" x14ac:dyDescent="0.25">
      <c r="A15" s="230">
        <f t="shared" si="3"/>
        <v>5</v>
      </c>
      <c r="B15" s="1" t="s">
        <v>23</v>
      </c>
      <c r="C15" s="230">
        <v>85</v>
      </c>
      <c r="D15" s="8">
        <f>'CCA Therm Forecast'!N103</f>
        <v>14305940.927245032</v>
      </c>
      <c r="E15" s="9">
        <f t="shared" si="0"/>
        <v>1.4801459613869887E-2</v>
      </c>
      <c r="F15" s="10">
        <f t="shared" si="1"/>
        <v>3316514.2193130981</v>
      </c>
      <c r="G15" s="11">
        <f t="shared" si="2"/>
        <v>0.23183000000000001</v>
      </c>
      <c r="H15" s="11"/>
    </row>
    <row r="16" spans="1:9" x14ac:dyDescent="0.25">
      <c r="A16" s="230">
        <f t="shared" si="3"/>
        <v>6</v>
      </c>
      <c r="B16" s="1" t="s">
        <v>24</v>
      </c>
      <c r="C16" s="230">
        <v>86</v>
      </c>
      <c r="D16" s="8">
        <f>'CCA Therm Forecast'!N104</f>
        <v>4872572</v>
      </c>
      <c r="E16" s="9">
        <f t="shared" si="0"/>
        <v>5.0413445742895262E-3</v>
      </c>
      <c r="F16" s="10">
        <f t="shared" si="1"/>
        <v>1129597.4452020098</v>
      </c>
      <c r="G16" s="11">
        <f t="shared" si="2"/>
        <v>0.23183000000000001</v>
      </c>
      <c r="H16" s="11"/>
    </row>
    <row r="17" spans="1:8" x14ac:dyDescent="0.25">
      <c r="A17" s="230">
        <f t="shared" si="3"/>
        <v>7</v>
      </c>
      <c r="B17" s="1" t="s">
        <v>25</v>
      </c>
      <c r="C17" s="230">
        <v>87</v>
      </c>
      <c r="D17" s="8">
        <f>'CCA Therm Forecast'!N105</f>
        <v>1550270.6056976072</v>
      </c>
      <c r="E17" s="9">
        <f t="shared" si="0"/>
        <v>1.6039677416186298E-3</v>
      </c>
      <c r="F17" s="10">
        <f t="shared" si="1"/>
        <v>359395.75968662743</v>
      </c>
      <c r="G17" s="11">
        <f t="shared" si="2"/>
        <v>0.23183000000000001</v>
      </c>
      <c r="H17" s="11"/>
    </row>
    <row r="18" spans="1:8" x14ac:dyDescent="0.25">
      <c r="A18" s="230">
        <f t="shared" si="3"/>
        <v>8</v>
      </c>
      <c r="B18" s="1" t="s">
        <v>26</v>
      </c>
      <c r="C18" s="230" t="s">
        <v>27</v>
      </c>
      <c r="D18" s="8">
        <f>'CCA Therm Forecast'!N106</f>
        <v>952</v>
      </c>
      <c r="E18" s="9">
        <f t="shared" si="0"/>
        <v>9.849746775878589E-7</v>
      </c>
      <c r="F18" s="10">
        <f t="shared" si="1"/>
        <v>220.70002615298725</v>
      </c>
      <c r="G18" s="11">
        <f t="shared" si="2"/>
        <v>0.23183000000000001</v>
      </c>
      <c r="H18" s="11"/>
    </row>
    <row r="19" spans="1:8" x14ac:dyDescent="0.25">
      <c r="A19" s="230">
        <f t="shared" si="3"/>
        <v>9</v>
      </c>
      <c r="B19" s="1" t="s">
        <v>28</v>
      </c>
      <c r="C19" s="230" t="s">
        <v>29</v>
      </c>
      <c r="D19" s="8">
        <f>'CCA Therm Forecast'!N107</f>
        <v>21477365</v>
      </c>
      <c r="E19" s="9">
        <f t="shared" si="0"/>
        <v>2.222128221251236E-2</v>
      </c>
      <c r="F19" s="10">
        <f t="shared" si="1"/>
        <v>4979049.387812241</v>
      </c>
      <c r="G19" s="11">
        <f t="shared" si="2"/>
        <v>0.23183000000000001</v>
      </c>
      <c r="H19" s="11"/>
    </row>
    <row r="20" spans="1:8" x14ac:dyDescent="0.25">
      <c r="A20" s="230">
        <f t="shared" si="3"/>
        <v>10</v>
      </c>
      <c r="B20" s="1" t="s">
        <v>30</v>
      </c>
      <c r="C20" s="230" t="s">
        <v>31</v>
      </c>
      <c r="D20" s="8">
        <f>'CCA Therm Forecast'!N108</f>
        <v>58769691.57454814</v>
      </c>
      <c r="E20" s="9">
        <f t="shared" si="0"/>
        <v>6.0805313036321917E-2</v>
      </c>
      <c r="F20" s="10">
        <f t="shared" si="1"/>
        <v>13624445.869228749</v>
      </c>
      <c r="G20" s="11">
        <f t="shared" si="2"/>
        <v>0.23183000000000001</v>
      </c>
      <c r="H20" s="11"/>
    </row>
    <row r="21" spans="1:8" x14ac:dyDescent="0.25">
      <c r="A21" s="230">
        <f t="shared" si="3"/>
        <v>11</v>
      </c>
      <c r="B21" s="1" t="s">
        <v>32</v>
      </c>
      <c r="C21" s="230" t="s">
        <v>33</v>
      </c>
      <c r="D21" s="8">
        <f>'CCA Therm Forecast'!N109</f>
        <v>1198658</v>
      </c>
      <c r="E21" s="9">
        <f t="shared" si="0"/>
        <v>1.2401762364370882E-3</v>
      </c>
      <c r="F21" s="10">
        <f t="shared" si="1"/>
        <v>277882.19742488174</v>
      </c>
      <c r="G21" s="11">
        <f t="shared" si="2"/>
        <v>0.23183000000000001</v>
      </c>
      <c r="H21" s="11"/>
    </row>
    <row r="22" spans="1:8" x14ac:dyDescent="0.25">
      <c r="A22" s="230">
        <f t="shared" si="3"/>
        <v>12</v>
      </c>
      <c r="B22" s="1" t="s">
        <v>34</v>
      </c>
      <c r="C22" s="241" t="s">
        <v>35</v>
      </c>
      <c r="D22" s="232">
        <f>'CCA Therm Forecast'!N110-D23</f>
        <v>2740550.0794945797</v>
      </c>
      <c r="E22" s="9">
        <f t="shared" si="0"/>
        <v>2.835475242608776E-3</v>
      </c>
      <c r="F22" s="10">
        <f t="shared" si="1"/>
        <v>635335.58216179092</v>
      </c>
      <c r="G22" s="11">
        <f t="shared" si="2"/>
        <v>0.23183000000000001</v>
      </c>
      <c r="H22" s="11"/>
    </row>
    <row r="23" spans="1:8" x14ac:dyDescent="0.25">
      <c r="A23" s="230">
        <f t="shared" si="3"/>
        <v>13</v>
      </c>
      <c r="B23" s="39" t="s">
        <v>286</v>
      </c>
      <c r="C23" s="241" t="s">
        <v>287</v>
      </c>
      <c r="D23" s="8">
        <f>'CCA Therm Forecast'!N117</f>
        <v>4832456</v>
      </c>
      <c r="E23" s="9">
        <f t="shared" si="0"/>
        <v>4.9998390657116747E-3</v>
      </c>
      <c r="F23" s="10">
        <f t="shared" si="1"/>
        <v>1120297.4428394539</v>
      </c>
      <c r="G23" s="11">
        <f t="shared" si="2"/>
        <v>0.23183000000000001</v>
      </c>
      <c r="H23" s="11"/>
    </row>
    <row r="24" spans="1:8" x14ac:dyDescent="0.25">
      <c r="A24" s="230">
        <f t="shared" si="3"/>
        <v>14</v>
      </c>
      <c r="B24" s="1" t="s">
        <v>36</v>
      </c>
      <c r="D24" s="8">
        <f>'CCA Therm Forecast'!N111</f>
        <v>12913388.61947025</v>
      </c>
      <c r="E24" s="9">
        <f t="shared" si="0"/>
        <v>1.3360673100871258E-2</v>
      </c>
      <c r="F24" s="10">
        <f t="shared" si="1"/>
        <v>2993681.9391184584</v>
      </c>
      <c r="G24" s="11">
        <f t="shared" si="2"/>
        <v>0.23183000000000001</v>
      </c>
      <c r="H24" s="11"/>
    </row>
    <row r="25" spans="1:8" x14ac:dyDescent="0.25">
      <c r="A25" s="230">
        <f t="shared" si="3"/>
        <v>15</v>
      </c>
      <c r="B25" s="1" t="s">
        <v>2</v>
      </c>
      <c r="D25" s="20">
        <f>SUM(D11:D24)</f>
        <v>966522309.31599998</v>
      </c>
      <c r="E25" s="21">
        <f>SUM(E11:E24)</f>
        <v>1</v>
      </c>
      <c r="F25" s="13">
        <f>SUM(F11:F24)</f>
        <v>224066700.57088947</v>
      </c>
      <c r="G25" s="14"/>
      <c r="H25" s="14"/>
    </row>
    <row r="26" spans="1:8" x14ac:dyDescent="0.25">
      <c r="A26" s="230">
        <f t="shared" si="3"/>
        <v>16</v>
      </c>
      <c r="D26" s="15"/>
    </row>
    <row r="27" spans="1:8" x14ac:dyDescent="0.25">
      <c r="A27" s="230">
        <f t="shared" si="3"/>
        <v>17</v>
      </c>
      <c r="B27" s="1" t="s">
        <v>37</v>
      </c>
      <c r="E27" s="16"/>
      <c r="F27" s="85">
        <f>'Rev Req'!E14</f>
        <v>224066700.57088953</v>
      </c>
      <c r="G27" s="17"/>
      <c r="H27" s="17"/>
    </row>
    <row r="28" spans="1:8" x14ac:dyDescent="0.25">
      <c r="A28" s="230"/>
      <c r="E28" s="16"/>
      <c r="F28" s="16"/>
      <c r="G28" s="10"/>
      <c r="H28" s="10"/>
    </row>
    <row r="29" spans="1:8" ht="17.25" x14ac:dyDescent="0.25">
      <c r="A29" s="230"/>
      <c r="B29" s="39" t="s">
        <v>103</v>
      </c>
      <c r="D29" s="230"/>
      <c r="E29" s="16"/>
      <c r="F29" s="16"/>
      <c r="G29" s="10"/>
      <c r="H29" s="10"/>
    </row>
    <row r="30" spans="1:8" x14ac:dyDescent="0.25">
      <c r="D30" s="230"/>
    </row>
    <row r="31" spans="1:8" x14ac:dyDescent="0.25">
      <c r="D31" s="22"/>
    </row>
    <row r="32" spans="1:8" x14ac:dyDescent="0.25">
      <c r="D32" s="18"/>
    </row>
    <row r="33" spans="4:6" x14ac:dyDescent="0.25">
      <c r="D33" s="18"/>
      <c r="F33" s="10"/>
    </row>
    <row r="34" spans="4:6" x14ac:dyDescent="0.25">
      <c r="D34" s="18"/>
    </row>
    <row r="35" spans="4:6" x14ac:dyDescent="0.25">
      <c r="D35" s="18"/>
    </row>
    <row r="36" spans="4:6" x14ac:dyDescent="0.25">
      <c r="D36" s="19"/>
    </row>
  </sheetData>
  <mergeCells count="3">
    <mergeCell ref="A1:H1"/>
    <mergeCell ref="A3:H3"/>
    <mergeCell ref="A4:H4"/>
  </mergeCells>
  <printOptions horizontalCentered="1"/>
  <pageMargins left="0.45" right="0.45" top="0.75" bottom="0.75" header="0.3" footer="0.3"/>
  <pageSetup scale="97" orientation="landscape" blackAndWhite="1" r:id="rId1"/>
  <headerFooter>
    <oddFooter>&amp;L&amp;F 
&amp;A&amp;C&amp;P&amp;R&amp;D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zoomScale="90" zoomScaleNormal="90" workbookViewId="0">
      <selection activeCell="D28" sqref="D28"/>
    </sheetView>
  </sheetViews>
  <sheetFormatPr defaultColWidth="9.140625" defaultRowHeight="15" x14ac:dyDescent="0.25"/>
  <cols>
    <col min="1" max="1" width="4.42578125" style="39" customWidth="1"/>
    <col min="2" max="2" width="38.28515625" style="39" customWidth="1"/>
    <col min="3" max="3" width="13.42578125" style="39" customWidth="1"/>
    <col min="4" max="4" width="15.42578125" style="39" customWidth="1"/>
    <col min="5" max="5" width="14.5703125" style="39" customWidth="1"/>
    <col min="6" max="6" width="16.42578125" style="39" bestFit="1" customWidth="1"/>
    <col min="7" max="7" width="13.42578125" style="39" customWidth="1"/>
    <col min="8" max="8" width="14.42578125" style="39" bestFit="1" customWidth="1"/>
    <col min="9" max="16384" width="9.140625" style="39"/>
  </cols>
  <sheetData>
    <row r="1" spans="1:11" x14ac:dyDescent="0.25">
      <c r="A1" s="246" t="s">
        <v>0</v>
      </c>
      <c r="B1" s="246"/>
      <c r="C1" s="246"/>
      <c r="D1" s="246"/>
      <c r="E1" s="246"/>
      <c r="F1" s="246"/>
      <c r="G1" s="246"/>
      <c r="H1" s="246"/>
    </row>
    <row r="2" spans="1:11" x14ac:dyDescent="0.25">
      <c r="A2" s="58" t="str">
        <f>'Sch. 111 Charge Rates'!A2</f>
        <v>2024 Gas Schedule 111 Greenhouse Gas Emissions Cap and Invest Adjustment Filing</v>
      </c>
      <c r="B2" s="58"/>
      <c r="C2" s="58"/>
      <c r="D2" s="58"/>
      <c r="E2" s="58"/>
      <c r="F2" s="58"/>
      <c r="G2" s="58"/>
      <c r="H2" s="58"/>
    </row>
    <row r="3" spans="1:11" x14ac:dyDescent="0.25">
      <c r="A3" s="246" t="s">
        <v>91</v>
      </c>
      <c r="B3" s="246"/>
      <c r="C3" s="246"/>
      <c r="D3" s="246"/>
      <c r="E3" s="246"/>
      <c r="F3" s="246"/>
      <c r="G3" s="246"/>
      <c r="H3" s="246"/>
    </row>
    <row r="4" spans="1:11" x14ac:dyDescent="0.25">
      <c r="A4" s="246" t="str">
        <f>'Sch. 111 Charge Rates'!A4:H4</f>
        <v>Proposed Rates Effective January 1, 2024</v>
      </c>
      <c r="B4" s="246"/>
      <c r="C4" s="246"/>
      <c r="D4" s="246"/>
      <c r="E4" s="246"/>
      <c r="F4" s="246"/>
      <c r="G4" s="246"/>
      <c r="H4" s="246"/>
    </row>
    <row r="5" spans="1:11" x14ac:dyDescent="0.25">
      <c r="A5" s="226"/>
      <c r="B5" s="226"/>
      <c r="C5" s="226"/>
      <c r="D5" s="226"/>
      <c r="E5" s="226"/>
      <c r="F5" s="226"/>
      <c r="G5" s="226"/>
      <c r="H5" s="226"/>
    </row>
    <row r="6" spans="1:11" ht="13.5" customHeight="1" x14ac:dyDescent="0.25">
      <c r="E6" s="59"/>
      <c r="F6" s="59" t="s">
        <v>92</v>
      </c>
      <c r="G6" s="59"/>
      <c r="H6" s="59" t="s">
        <v>65</v>
      </c>
    </row>
    <row r="7" spans="1:11" ht="17.25" x14ac:dyDescent="0.25">
      <c r="B7" s="59"/>
      <c r="C7" s="59"/>
      <c r="D7" s="23" t="s">
        <v>58</v>
      </c>
      <c r="E7" s="23"/>
      <c r="F7" s="59" t="s">
        <v>4</v>
      </c>
      <c r="G7" s="23" t="s">
        <v>71</v>
      </c>
      <c r="H7" s="23" t="s">
        <v>72</v>
      </c>
    </row>
    <row r="8" spans="1:11" x14ac:dyDescent="0.25">
      <c r="A8" s="226" t="s">
        <v>1</v>
      </c>
      <c r="B8" s="59"/>
      <c r="C8" s="59"/>
      <c r="D8" s="226" t="str">
        <f>'Sch. 111 Charge Rates'!D8</f>
        <v>Jan. 2024 -</v>
      </c>
      <c r="E8" s="23" t="s">
        <v>3</v>
      </c>
      <c r="F8" s="59" t="s">
        <v>10</v>
      </c>
      <c r="G8" s="23" t="s">
        <v>95</v>
      </c>
      <c r="H8" s="23" t="s">
        <v>97</v>
      </c>
    </row>
    <row r="9" spans="1:11" x14ac:dyDescent="0.25">
      <c r="A9" s="60" t="s">
        <v>6</v>
      </c>
      <c r="B9" s="60" t="s">
        <v>7</v>
      </c>
      <c r="C9" s="60" t="s">
        <v>8</v>
      </c>
      <c r="D9" s="46" t="str">
        <f>'Sch. 111 Charge Rates'!D9</f>
        <v>Dec. 2024</v>
      </c>
      <c r="E9" s="60" t="s">
        <v>9</v>
      </c>
      <c r="F9" s="60" t="s">
        <v>93</v>
      </c>
      <c r="G9" s="60" t="s">
        <v>96</v>
      </c>
      <c r="H9" s="60" t="s">
        <v>93</v>
      </c>
    </row>
    <row r="10" spans="1:11" x14ac:dyDescent="0.25">
      <c r="B10" s="227" t="s">
        <v>12</v>
      </c>
      <c r="C10" s="227" t="s">
        <v>13</v>
      </c>
      <c r="D10" s="7" t="s">
        <v>14</v>
      </c>
      <c r="E10" s="23" t="s">
        <v>15</v>
      </c>
      <c r="F10" s="7" t="s">
        <v>16</v>
      </c>
      <c r="G10" s="23" t="s">
        <v>17</v>
      </c>
      <c r="H10" s="228" t="s">
        <v>18</v>
      </c>
      <c r="I10" s="23"/>
    </row>
    <row r="11" spans="1:11" x14ac:dyDescent="0.25">
      <c r="A11" s="226">
        <v>1</v>
      </c>
      <c r="B11" s="39" t="s">
        <v>19</v>
      </c>
      <c r="C11" s="226">
        <v>23</v>
      </c>
      <c r="D11" s="8">
        <f>SUM('CCA Therm Forecast'!N99:N100)</f>
        <v>555750480</v>
      </c>
      <c r="E11" s="9">
        <f t="shared" ref="E11:E24" si="0">D11/$D$25</f>
        <v>0.57500015741312804</v>
      </c>
      <c r="F11" s="61">
        <f t="shared" ref="F11:F24" si="1">$F$29*E11</f>
        <v>-78066138.880415335</v>
      </c>
      <c r="G11" s="225">
        <f>SUM('CCA Customer Forecast'!N117:N118)</f>
        <v>8756784.3619149067</v>
      </c>
      <c r="H11" s="62">
        <f>ROUND(F11/G11,2)</f>
        <v>-8.91</v>
      </c>
      <c r="K11" s="81"/>
    </row>
    <row r="12" spans="1:11" ht="17.25" x14ac:dyDescent="0.25">
      <c r="A12" s="226">
        <f>A11+1</f>
        <v>2</v>
      </c>
      <c r="B12" s="87" t="s">
        <v>75</v>
      </c>
      <c r="C12" s="226">
        <v>16</v>
      </c>
      <c r="D12" s="8">
        <f>'CCA Therm Forecast'!N98</f>
        <v>6996</v>
      </c>
      <c r="E12" s="57">
        <f t="shared" si="0"/>
        <v>7.2383223155511147E-6</v>
      </c>
      <c r="F12" s="61">
        <f t="shared" si="1"/>
        <v>-982.7264703530002</v>
      </c>
      <c r="G12" s="225">
        <f>'F2023 Forecast'!N44</f>
        <v>368.21052631578942</v>
      </c>
      <c r="H12" s="62">
        <f t="shared" ref="H12:H24" si="2">ROUND(F12/G12,2)</f>
        <v>-2.67</v>
      </c>
      <c r="K12" s="81"/>
    </row>
    <row r="13" spans="1:11" x14ac:dyDescent="0.25">
      <c r="A13" s="226">
        <f t="shared" ref="A13:A29" si="3">A12+1</f>
        <v>3</v>
      </c>
      <c r="B13" s="39" t="s">
        <v>21</v>
      </c>
      <c r="C13" s="226">
        <v>31</v>
      </c>
      <c r="D13" s="8">
        <f>'CCA Therm Forecast'!N101</f>
        <v>226449666.31127122</v>
      </c>
      <c r="E13" s="9">
        <f t="shared" si="0"/>
        <v>0.23429326372355316</v>
      </c>
      <c r="F13" s="61">
        <f t="shared" si="1"/>
        <v>-31809331.230230168</v>
      </c>
      <c r="G13" s="225">
        <f>'CCA Customer Forecast'!N119</f>
        <v>680636</v>
      </c>
      <c r="H13" s="62">
        <f t="shared" si="2"/>
        <v>-46.73</v>
      </c>
      <c r="K13" s="81"/>
    </row>
    <row r="14" spans="1:11" x14ac:dyDescent="0.25">
      <c r="A14" s="226">
        <f t="shared" si="3"/>
        <v>4</v>
      </c>
      <c r="B14" s="39" t="s">
        <v>22</v>
      </c>
      <c r="C14" s="226">
        <v>41</v>
      </c>
      <c r="D14" s="8">
        <f>'CCA Therm Forecast'!N102</f>
        <v>61653322.19827313</v>
      </c>
      <c r="E14" s="9">
        <f t="shared" si="0"/>
        <v>6.3788824742084527E-2</v>
      </c>
      <c r="F14" s="61">
        <f t="shared" si="1"/>
        <v>-8660427.6314244177</v>
      </c>
      <c r="G14" s="225">
        <f>'CCA Customer Forecast'!N120</f>
        <v>14802</v>
      </c>
      <c r="H14" s="62">
        <f t="shared" si="2"/>
        <v>-585.08000000000004</v>
      </c>
      <c r="K14" s="81"/>
    </row>
    <row r="15" spans="1:11" x14ac:dyDescent="0.25">
      <c r="A15" s="226">
        <f t="shared" si="3"/>
        <v>5</v>
      </c>
      <c r="B15" s="39" t="s">
        <v>23</v>
      </c>
      <c r="C15" s="226">
        <v>85</v>
      </c>
      <c r="D15" s="8">
        <f>'CCA Therm Forecast'!N103</f>
        <v>14305940.927245032</v>
      </c>
      <c r="E15" s="9">
        <f t="shared" si="0"/>
        <v>1.4801459613869887E-2</v>
      </c>
      <c r="F15" s="61">
        <f t="shared" si="1"/>
        <v>-2009552.1487292792</v>
      </c>
      <c r="G15" s="225">
        <f>'CCA Customer Forecast'!N121</f>
        <v>408</v>
      </c>
      <c r="H15" s="62">
        <f t="shared" si="2"/>
        <v>-4925.37</v>
      </c>
      <c r="K15" s="81"/>
    </row>
    <row r="16" spans="1:11" x14ac:dyDescent="0.25">
      <c r="A16" s="226">
        <f t="shared" si="3"/>
        <v>6</v>
      </c>
      <c r="B16" s="39" t="s">
        <v>24</v>
      </c>
      <c r="C16" s="226">
        <v>86</v>
      </c>
      <c r="D16" s="8">
        <f>'CCA Therm Forecast'!N104</f>
        <v>4872572</v>
      </c>
      <c r="E16" s="9">
        <f t="shared" si="0"/>
        <v>5.0413445742895262E-3</v>
      </c>
      <c r="F16" s="61">
        <f t="shared" si="1"/>
        <v>-684449.03989434801</v>
      </c>
      <c r="G16" s="225">
        <f>'CCA Customer Forecast'!N122</f>
        <v>1198</v>
      </c>
      <c r="H16" s="62">
        <f t="shared" si="2"/>
        <v>-571.33000000000004</v>
      </c>
      <c r="K16" s="81"/>
    </row>
    <row r="17" spans="1:11" x14ac:dyDescent="0.25">
      <c r="A17" s="226">
        <f t="shared" si="3"/>
        <v>7</v>
      </c>
      <c r="B17" s="39" t="s">
        <v>25</v>
      </c>
      <c r="C17" s="226">
        <v>87</v>
      </c>
      <c r="D17" s="8">
        <f>'CCA Therm Forecast'!N105</f>
        <v>1550270.6056976072</v>
      </c>
      <c r="E17" s="9">
        <f t="shared" si="0"/>
        <v>1.6039677416186298E-3</v>
      </c>
      <c r="F17" s="61">
        <f t="shared" si="1"/>
        <v>-217766.14643070573</v>
      </c>
      <c r="G17" s="225">
        <f>'CCA Customer Forecast'!N123</f>
        <v>12</v>
      </c>
      <c r="H17" s="62">
        <f t="shared" si="2"/>
        <v>-18147.18</v>
      </c>
      <c r="K17" s="81"/>
    </row>
    <row r="18" spans="1:11" x14ac:dyDescent="0.25">
      <c r="A18" s="226">
        <f t="shared" si="3"/>
        <v>8</v>
      </c>
      <c r="B18" s="39" t="s">
        <v>26</v>
      </c>
      <c r="C18" s="226" t="s">
        <v>27</v>
      </c>
      <c r="D18" s="8">
        <f>'CCA Therm Forecast'!N106</f>
        <v>952</v>
      </c>
      <c r="E18" s="9">
        <f t="shared" si="0"/>
        <v>9.849746775878589E-7</v>
      </c>
      <c r="F18" s="61">
        <f t="shared" si="1"/>
        <v>-133.72721551973356</v>
      </c>
      <c r="G18" s="225">
        <f>'CCA Customer Forecast'!N124</f>
        <v>12</v>
      </c>
      <c r="H18" s="62">
        <f t="shared" si="2"/>
        <v>-11.14</v>
      </c>
      <c r="K18" s="81"/>
    </row>
    <row r="19" spans="1:11" x14ac:dyDescent="0.25">
      <c r="A19" s="226">
        <f t="shared" si="3"/>
        <v>9</v>
      </c>
      <c r="B19" s="39" t="s">
        <v>28</v>
      </c>
      <c r="C19" s="226" t="s">
        <v>29</v>
      </c>
      <c r="D19" s="8">
        <f>'CCA Therm Forecast'!N107</f>
        <v>21477365</v>
      </c>
      <c r="E19" s="9">
        <f t="shared" si="0"/>
        <v>2.222128221251236E-2</v>
      </c>
      <c r="F19" s="61">
        <f t="shared" si="1"/>
        <v>-3016920.397217419</v>
      </c>
      <c r="G19" s="225">
        <f>'CCA Customer Forecast'!N125</f>
        <v>1128</v>
      </c>
      <c r="H19" s="62">
        <f t="shared" si="2"/>
        <v>-2674.57</v>
      </c>
      <c r="K19" s="81"/>
    </row>
    <row r="20" spans="1:11" x14ac:dyDescent="0.25">
      <c r="A20" s="226">
        <f t="shared" si="3"/>
        <v>10</v>
      </c>
      <c r="B20" s="39" t="s">
        <v>30</v>
      </c>
      <c r="C20" s="226" t="s">
        <v>31</v>
      </c>
      <c r="D20" s="8">
        <f>'CCA Therm Forecast'!N108</f>
        <v>58769691.57454814</v>
      </c>
      <c r="E20" s="9">
        <f t="shared" si="0"/>
        <v>6.0805313036321917E-2</v>
      </c>
      <c r="F20" s="61">
        <f t="shared" si="1"/>
        <v>-8255364.7176658297</v>
      </c>
      <c r="G20" s="225">
        <f>'CCA Customer Forecast'!N126</f>
        <v>984</v>
      </c>
      <c r="H20" s="62">
        <f t="shared" si="2"/>
        <v>-8389.6</v>
      </c>
      <c r="K20" s="81"/>
    </row>
    <row r="21" spans="1:11" x14ac:dyDescent="0.25">
      <c r="A21" s="226">
        <f t="shared" si="3"/>
        <v>11</v>
      </c>
      <c r="B21" s="39" t="s">
        <v>32</v>
      </c>
      <c r="C21" s="226" t="s">
        <v>33</v>
      </c>
      <c r="D21" s="8">
        <f>'CCA Therm Forecast'!N109</f>
        <v>1198658</v>
      </c>
      <c r="E21" s="9">
        <f t="shared" si="0"/>
        <v>1.2401762364370882E-3</v>
      </c>
      <c r="F21" s="61">
        <f t="shared" si="1"/>
        <v>-168375.20661812273</v>
      </c>
      <c r="G21" s="225">
        <f>'CCA Customer Forecast'!N127</f>
        <v>84</v>
      </c>
      <c r="H21" s="62">
        <f t="shared" si="2"/>
        <v>-2004.47</v>
      </c>
      <c r="K21" s="81"/>
    </row>
    <row r="22" spans="1:11" x14ac:dyDescent="0.25">
      <c r="A22" s="226">
        <f t="shared" si="3"/>
        <v>12</v>
      </c>
      <c r="B22" s="39" t="s">
        <v>34</v>
      </c>
      <c r="C22" s="241" t="s">
        <v>35</v>
      </c>
      <c r="D22" s="8">
        <f>'CCA Therm Forecast'!N110-D23</f>
        <v>2740550.0794945797</v>
      </c>
      <c r="E22" s="9">
        <f t="shared" si="0"/>
        <v>2.835475242608776E-3</v>
      </c>
      <c r="F22" s="61">
        <f t="shared" si="1"/>
        <v>-384964.42344873387</v>
      </c>
      <c r="G22" s="225">
        <f>'CCA Customer Forecast'!N128-G23</f>
        <v>24</v>
      </c>
      <c r="H22" s="62">
        <f t="shared" si="2"/>
        <v>-16040.18</v>
      </c>
      <c r="K22" s="81"/>
    </row>
    <row r="23" spans="1:11" x14ac:dyDescent="0.25">
      <c r="A23" s="226">
        <f t="shared" si="3"/>
        <v>13</v>
      </c>
      <c r="B23" s="39" t="s">
        <v>286</v>
      </c>
      <c r="C23" s="241" t="s">
        <v>287</v>
      </c>
      <c r="D23" s="8">
        <f>'CCA Therm Forecast'!N117</f>
        <v>4832456</v>
      </c>
      <c r="E23" s="9">
        <f t="shared" si="0"/>
        <v>4.9998390657116747E-3</v>
      </c>
      <c r="F23" s="61">
        <f t="shared" si="1"/>
        <v>-678813.95483364456</v>
      </c>
      <c r="G23" s="225">
        <f>'CCA Customer Forecast'!N133</f>
        <v>12</v>
      </c>
      <c r="H23" s="62">
        <f t="shared" si="2"/>
        <v>-56567.83</v>
      </c>
      <c r="K23" s="81"/>
    </row>
    <row r="24" spans="1:11" x14ac:dyDescent="0.25">
      <c r="A24" s="226">
        <f t="shared" si="3"/>
        <v>14</v>
      </c>
      <c r="B24" s="39" t="s">
        <v>36</v>
      </c>
      <c r="D24" s="8">
        <f>'CCA Therm Forecast'!N111</f>
        <v>12913388.61947025</v>
      </c>
      <c r="E24" s="9">
        <f t="shared" si="0"/>
        <v>1.3360673100871258E-2</v>
      </c>
      <c r="F24" s="61">
        <f t="shared" si="1"/>
        <v>-1813940.6544180389</v>
      </c>
      <c r="G24" s="225">
        <f>'CCA Customer Forecast'!N129</f>
        <v>84</v>
      </c>
      <c r="H24" s="62">
        <f t="shared" si="2"/>
        <v>-21594.53</v>
      </c>
      <c r="K24" s="81"/>
    </row>
    <row r="25" spans="1:11" x14ac:dyDescent="0.25">
      <c r="A25" s="226">
        <f t="shared" si="3"/>
        <v>15</v>
      </c>
      <c r="B25" s="39" t="s">
        <v>2</v>
      </c>
      <c r="D25" s="64">
        <f t="shared" ref="D25:G25" si="4">SUM(D11:D24)</f>
        <v>966522309.31599998</v>
      </c>
      <c r="E25" s="65">
        <f t="shared" si="4"/>
        <v>1</v>
      </c>
      <c r="F25" s="66">
        <f t="shared" si="4"/>
        <v>-135767160.88501188</v>
      </c>
      <c r="G25" s="67">
        <f t="shared" si="4"/>
        <v>9456536.5724412221</v>
      </c>
      <c r="H25" s="69"/>
    </row>
    <row r="26" spans="1:11" x14ac:dyDescent="0.25">
      <c r="A26" s="226">
        <f t="shared" si="3"/>
        <v>16</v>
      </c>
      <c r="D26" s="68"/>
    </row>
    <row r="27" spans="1:11" x14ac:dyDescent="0.25">
      <c r="A27" s="226">
        <f t="shared" si="3"/>
        <v>17</v>
      </c>
      <c r="B27" s="39" t="s">
        <v>38</v>
      </c>
      <c r="D27" s="68"/>
      <c r="F27" s="85">
        <f>'Rev Req'!E25</f>
        <v>-148997436.96701729</v>
      </c>
    </row>
    <row r="28" spans="1:11" x14ac:dyDescent="0.25">
      <c r="A28" s="226">
        <f t="shared" si="3"/>
        <v>18</v>
      </c>
      <c r="B28" s="39" t="s">
        <v>69</v>
      </c>
      <c r="D28" s="68"/>
      <c r="F28" s="85">
        <f>-'Sch. 111 Low Inc. Credit Rates'!E11</f>
        <v>13230276.082005372</v>
      </c>
    </row>
    <row r="29" spans="1:11" x14ac:dyDescent="0.25">
      <c r="A29" s="226">
        <f t="shared" si="3"/>
        <v>19</v>
      </c>
      <c r="B29" s="39" t="s">
        <v>70</v>
      </c>
      <c r="E29" s="16"/>
      <c r="F29" s="83">
        <f>SUM(F27:F28)</f>
        <v>-135767160.88501191</v>
      </c>
      <c r="G29" s="16"/>
      <c r="H29" s="17"/>
    </row>
    <row r="30" spans="1:11" x14ac:dyDescent="0.25">
      <c r="A30" s="226"/>
      <c r="E30" s="16"/>
      <c r="F30" s="16"/>
      <c r="G30" s="16"/>
      <c r="H30" s="61"/>
    </row>
    <row r="31" spans="1:11" ht="17.25" x14ac:dyDescent="0.25">
      <c r="B31" s="39" t="s">
        <v>103</v>
      </c>
      <c r="D31" s="41"/>
    </row>
    <row r="32" spans="1:11" ht="17.25" x14ac:dyDescent="0.25">
      <c r="B32" s="39" t="s">
        <v>104</v>
      </c>
      <c r="D32" s="41"/>
    </row>
    <row r="33" spans="2:6" ht="17.25" x14ac:dyDescent="0.25">
      <c r="B33" s="39" t="s">
        <v>73</v>
      </c>
      <c r="D33" s="41"/>
    </row>
    <row r="34" spans="2:6" ht="17.25" x14ac:dyDescent="0.25">
      <c r="B34" s="39" t="s">
        <v>74</v>
      </c>
    </row>
    <row r="35" spans="2:6" x14ac:dyDescent="0.25">
      <c r="F35" s="81"/>
    </row>
    <row r="36" spans="2:6" x14ac:dyDescent="0.25">
      <c r="F36" s="81"/>
    </row>
  </sheetData>
  <mergeCells count="3">
    <mergeCell ref="A1:H1"/>
    <mergeCell ref="A3:H3"/>
    <mergeCell ref="A4:H4"/>
  </mergeCells>
  <printOptions horizontalCentered="1"/>
  <pageMargins left="0.45" right="0.45" top="0.75" bottom="0.75" header="0.3" footer="0.3"/>
  <pageSetup scale="94" orientation="landscape" blackAndWhite="1" r:id="rId1"/>
  <headerFooter>
    <oddFooter>&amp;L&amp;F 
&amp;A&amp;C&amp;P&amp;R&amp;D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O31" sqref="O31"/>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D3181DA5D0FE148878AD1AEADA19144" ma:contentTypeVersion="24" ma:contentTypeDescription="" ma:contentTypeScope="" ma:versionID="3a4d29b87ec940d9fa9b6788e08fc50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2023-11-22T08:00:00+00:00</OpenedDate>
    <SignificantOrder xmlns="dc463f71-b30c-4ab2-9473-d307f9d35888">false</SignificantOrder>
    <Date1 xmlns="dc463f71-b30c-4ab2-9473-d307f9d35888">2023-11-22T08:00:00+00:00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230968</DocketNumber>
    <DelegatedOrder xmlns="dc463f71-b30c-4ab2-9473-d307f9d35888">false</DelegatedOrder>
  </documentManagement>
</p:properties>
</file>

<file path=customXml/itemProps1.xml><?xml version="1.0" encoding="utf-8"?>
<ds:datastoreItem xmlns:ds="http://schemas.openxmlformats.org/officeDocument/2006/customXml" ds:itemID="{E0E53E89-6DB7-4535-846C-E8B6BF47258C}"/>
</file>

<file path=customXml/itemProps2.xml><?xml version="1.0" encoding="utf-8"?>
<ds:datastoreItem xmlns:ds="http://schemas.openxmlformats.org/officeDocument/2006/customXml" ds:itemID="{50E3AD3A-B714-4188-B94B-DB3B54BF1818}"/>
</file>

<file path=customXml/itemProps3.xml><?xml version="1.0" encoding="utf-8"?>
<ds:datastoreItem xmlns:ds="http://schemas.openxmlformats.org/officeDocument/2006/customXml" ds:itemID="{6CC366A2-C52A-433C-887F-F953485F9C91}"/>
</file>

<file path=customXml/itemProps4.xml><?xml version="1.0" encoding="utf-8"?>
<ds:datastoreItem xmlns:ds="http://schemas.openxmlformats.org/officeDocument/2006/customXml" ds:itemID="{2722C968-2210-4674-9062-0DF8144A0C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Sch. 111 Rate Summary</vt:lpstr>
      <vt:lpstr>Sch. 111 Charge Rates</vt:lpstr>
      <vt:lpstr>Sch. 111 Low Inc. Credit Rates</vt:lpstr>
      <vt:lpstr>Sch. 111 Non-Vol Credit Rates</vt:lpstr>
      <vt:lpstr>Sch.111 Non-Vol Credit Seasonal</vt:lpstr>
      <vt:lpstr>Sch. 88T--&gt;</vt:lpstr>
      <vt:lpstr>Sch. 111 Chrg Rates (88T)</vt:lpstr>
      <vt:lpstr>Sch. 111 NVC Rates (88T)</vt:lpstr>
      <vt:lpstr>Rate Impacts--&gt;</vt:lpstr>
      <vt:lpstr>Rate Impacts Sch 111</vt:lpstr>
      <vt:lpstr>Typical Res Bill Sch 111</vt:lpstr>
      <vt:lpstr>Avg Per Therm</vt:lpstr>
      <vt:lpstr>Sch. 111 Charge</vt:lpstr>
      <vt:lpstr>Sch. 111 Credit</vt:lpstr>
      <vt:lpstr>Work Papers--&gt;</vt:lpstr>
      <vt:lpstr>Rev Req</vt:lpstr>
      <vt:lpstr>Low Income Forecast</vt:lpstr>
      <vt:lpstr>CCA Therm Forecast</vt:lpstr>
      <vt:lpstr>CCA Customer Forecast</vt:lpstr>
      <vt:lpstr>F2023 Forecast</vt:lpstr>
      <vt:lpstr>'Avg Per Therm'!Print_Area</vt:lpstr>
      <vt:lpstr>'CCA Customer Forecast'!Print_Area</vt:lpstr>
      <vt:lpstr>'CCA Therm Forecast'!Print_Area</vt:lpstr>
      <vt:lpstr>'F2023 Forecast'!Print_Area</vt:lpstr>
      <vt:lpstr>'Low Income Forecast'!Print_Area</vt:lpstr>
      <vt:lpstr>'Rate Impacts Sch 111'!Print_Area</vt:lpstr>
      <vt:lpstr>'Sch. 111 Charge'!Print_Area</vt:lpstr>
      <vt:lpstr>'Sch. 111 Charge Rates'!Print_Area</vt:lpstr>
      <vt:lpstr>'Sch. 111 Chrg Rates (88T)'!Print_Area</vt:lpstr>
      <vt:lpstr>'Sch. 111 Credit'!Print_Area</vt:lpstr>
      <vt:lpstr>'Sch. 111 Low Inc. Credit Rates'!Print_Area</vt:lpstr>
      <vt:lpstr>'Sch. 111 Non-Vol Credit Rates'!Print_Area</vt:lpstr>
      <vt:lpstr>'Sch. 111 NVC Rates (88T)'!Print_Area</vt:lpstr>
      <vt:lpstr>'Sch. 111 Rate Summary'!Print_Area</vt:lpstr>
      <vt:lpstr>'Sch.111 Non-Vol Credit Seasonal'!Print_Area</vt:lpstr>
      <vt:lpstr>'Typical Res Bill Sch 111'!Print_Area</vt:lpstr>
      <vt:lpstr>'CCA Customer Forecast'!Print_Titles</vt:lpstr>
      <vt:lpstr>'CCA Therm Forecast'!Print_Titles</vt:lpstr>
      <vt:lpstr>'Sch. 111 Rate Summary'!Print_Titles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Schmidt, Paul</dc:creator>
  <cp:lastModifiedBy>Mickelson, Christopher</cp:lastModifiedBy>
  <cp:lastPrinted>2023-11-22T21:27:06Z</cp:lastPrinted>
  <dcterms:created xsi:type="dcterms:W3CDTF">2023-05-22T00:13:46Z</dcterms:created>
  <dcterms:modified xsi:type="dcterms:W3CDTF">2023-11-22T21:40:15Z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0x0101006E56B4D1795A2E4DB2F0B01679ED314A004D3181DA5D0FE148878AD1AEADA19144</vt:lpwstr>
  </property>
  <property fmtid="{D5CDD505-2E9C-101B-9397-08002B2CF9AE}" pid="3" name="_docset_NoMedatataSyncRequired">
    <vt:lpwstr>False</vt:lpwstr>
  </property>
</Properties>
</file>