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24226"/>
  <mc:AlternateContent xmlns:mc="http://schemas.openxmlformats.org/markup-compatibility/2006">
    <mc:Choice Requires="x15">
      <x15ac:absPath xmlns:x15ac="http://schemas.microsoft.com/office/spreadsheetml/2010/11/ac" url="O:\A_TO_E\COD0812 - Consolidated Disposal Services-3946\General Rate Case\2023\Workpapers\"/>
    </mc:Choice>
  </mc:AlternateContent>
  <xr:revisionPtr revIDLastSave="0" documentId="13_ncr:1_{441E4351-C02F-4CB5-AFB7-0EA588E6B90A}" xr6:coauthVersionLast="47" xr6:coauthVersionMax="47" xr10:uidLastSave="{00000000-0000-0000-0000-000000000000}"/>
  <bookViews>
    <workbookView xWindow="-120" yWindow="-120" windowWidth="29040" windowHeight="15840" tabRatio="725" activeTab="1" xr2:uid="{00000000-000D-0000-FFFF-FFFF00000000}"/>
  </bookViews>
  <sheets>
    <sheet name="Fly Sheet" sheetId="41" r:id="rId1"/>
    <sheet name="LG Nonpublic 2018 V5.0c" sheetId="94" r:id="rId2"/>
    <sheet name="Operations" sheetId="71" r:id="rId3"/>
    <sheet name="Assumptions" sheetId="43" r:id="rId4"/>
    <sheet name="Sch 1 - Restated Exp" sheetId="18" r:id="rId5"/>
    <sheet name="Sch 1, pg 2 - Restated" sheetId="16" r:id="rId6"/>
    <sheet name="Sch 2 - Forecast Exp" sheetId="19" r:id="rId7"/>
    <sheet name="Sch 2, pg 2 - Forecast" sheetId="17" r:id="rId8"/>
    <sheet name="Sch 3 - Reclass Exp" sheetId="21" r:id="rId9"/>
    <sheet name="Sch 3, pg 2 - Reclass" sheetId="20" r:id="rId10"/>
    <sheet name="Sch 4 - 12 Months" sheetId="7" r:id="rId11"/>
    <sheet name="Work Papers" sheetId="42" r:id="rId12"/>
    <sheet name="WP-1 - Summary Depr" sheetId="63" r:id="rId13"/>
    <sheet name="WP-1, pg 2 - Depr" sheetId="64" r:id="rId14"/>
    <sheet name="WP-2 - Labor Analysis" sheetId="11" r:id="rId15"/>
    <sheet name="WP-2, pg 2 - Labor Increase" sheetId="28" r:id="rId16"/>
    <sheet name="WP-2, pg 3 - Benefits Analysis" sheetId="29" r:id="rId17"/>
    <sheet name="WP-4 - Dues &amp; Sub" sheetId="26" r:id="rId18"/>
    <sheet name="WP-5 - Capital Structure" sheetId="54" r:id="rId19"/>
    <sheet name="WP-5, pg 2 - Capital" sheetId="87" r:id="rId20"/>
    <sheet name="WP-6 - Affiliated " sheetId="66" r:id="rId21"/>
    <sheet name="WP-7 - Fuel" sheetId="49" r:id="rId22"/>
    <sheet name="WP-8 - Bad Debts" sheetId="79" r:id="rId23"/>
    <sheet name="WP-9 - Disposal" sheetId="77" r:id="rId24"/>
    <sheet name="WP-10 - Rate Case Cost" sheetId="86" r:id="rId25"/>
    <sheet name="WP -11 Non-Regulated" sheetId="96" r:id="rId26"/>
    <sheet name="WP-11, pg 2 Non-Regulated" sheetId="97" r:id="rId27"/>
    <sheet name="IS-PBC" sheetId="40"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A">#REF!</definedName>
    <definedName name="\c">'[1]10200'!$IU$8196</definedName>
    <definedName name="\E">'[2]#REF'!$AD$4</definedName>
    <definedName name="\R">'[2]#REF'!$AD$8</definedName>
    <definedName name="\y">'[1]10200'!$IU$8196</definedName>
    <definedName name="\z">#REF!</definedName>
    <definedName name="_123Graph_g" hidden="1">'[2]#REF'!$F$9:$F$83</definedName>
    <definedName name="_13054">'[3]10800-10899'!#REF!</definedName>
    <definedName name="_132" hidden="1">[1]XXXXXX!$B$10:$B$10</definedName>
    <definedName name="_132Graph_h" hidden="1">#REF!</definedName>
    <definedName name="_BUN1">'[4]2008 West Group IS'!$AJ$5</definedName>
    <definedName name="_BUN3">'[4]2008 Group Office IS'!$AJ$5</definedName>
    <definedName name="_Fill" hidden="1">#REF!</definedName>
    <definedName name="_Key1" hidden="1">#REF!</definedName>
    <definedName name="_Key2" hidden="1">'[2]#REF'!$D$12</definedName>
    <definedName name="_key5" hidden="1">[1]XXXXXX!$H$10</definedName>
    <definedName name="_max" hidden="1">#REF!</definedName>
    <definedName name="_Mon" hidden="1">#REF!</definedName>
    <definedName name="_Order1" hidden="1">255</definedName>
    <definedName name="_Order2" hidden="1">255</definedName>
    <definedName name="_Order3" hidden="1">0</definedName>
    <definedName name="_PER1">[4]WTB!$DC$8</definedName>
    <definedName name="_PER2">'[4]2008 West Group IS'!$AH$8</definedName>
    <definedName name="_PER3">'[4]2008 West Group IS'!$AI$5</definedName>
    <definedName name="_PER4">'[4]2008 Group Office IS'!$AH$8</definedName>
    <definedName name="_PER5">'[4]2008 Group Office IS'!$AI$5</definedName>
    <definedName name="_Regression_Int">0</definedName>
    <definedName name="_SFD1">'[4]2008 West Group IS'!$AK$5</definedName>
    <definedName name="_SFD3">'[4]2008 Group Office IS'!$AK$5</definedName>
    <definedName name="_SFV1">'[4]2008 West Group IS'!$AK$4</definedName>
    <definedName name="_SFV4">'[4]2008 Group Office IS'!$AK$4</definedName>
    <definedName name="_Sort" hidden="1">#REF!</definedName>
    <definedName name="_Sort1" hidden="1">'[2]#REF'!$A$10:$Z$281</definedName>
    <definedName name="_sort3" hidden="1">[1]XXXXXX!$G$10:$J$11</definedName>
    <definedName name="a">#REF!</definedName>
    <definedName name="aaaaaaa">rank</definedName>
    <definedName name="AD">'[1]ACC DEP 12XXX'!$A$4:$L$22</definedName>
    <definedName name="adfd">rank</definedName>
    <definedName name="ADK">'[1]10250_Recy Chkg'!$D$27</definedName>
    <definedName name="AOK">#REF!</definedName>
    <definedName name="APA">'[5]Income Statement (WMofWA)'!#REF!</definedName>
    <definedName name="APN">'[5]Income Statement (WMofWA)'!#REF!</definedName>
    <definedName name="ASD">'[5]Income Statement (WMofWA)'!#REF!</definedName>
    <definedName name="AST">'[5]Income Statement (WMofWA)'!#REF!</definedName>
    <definedName name="BEGCELL">#REF!</definedName>
    <definedName name="begin">#REF!</definedName>
    <definedName name="BREMAIR_COST_of_SERVICE_STUDY">#REF!</definedName>
    <definedName name="BUN">[4]WTB!$DD$5</definedName>
    <definedName name="BUV">'[5]Income Statement (WMofWA)'!#REF!</definedName>
    <definedName name="Calc">[4]WTB!#REF!</definedName>
    <definedName name="Calc0">[4]WTB!#REF!</definedName>
    <definedName name="Calc1">[4]WTB!#REF!</definedName>
    <definedName name="Calc10">[4]WTB!#REF!</definedName>
    <definedName name="Calc11">[4]WTB!#REF!</definedName>
    <definedName name="Calc12">[4]WTB!#REF!</definedName>
    <definedName name="Calc13">[4]WTB!#REF!</definedName>
    <definedName name="Calc14">[4]WTB!#REF!</definedName>
    <definedName name="Calc15">[4]WTB!#REF!</definedName>
    <definedName name="Calc16">[4]WTB!#REF!</definedName>
    <definedName name="Calc17">[4]WTB!#REF!</definedName>
    <definedName name="Calc18">[4]WTB!#REF!</definedName>
    <definedName name="Calc2">[4]WTB!#REF!</definedName>
    <definedName name="Calc3">[4]WTB!#REF!</definedName>
    <definedName name="Calc4">[4]WTB!#REF!</definedName>
    <definedName name="Calc5">[4]WTB!#REF!</definedName>
    <definedName name="Calc6">[4]WTB!#REF!</definedName>
    <definedName name="Calc7">[4]WTB!#REF!</definedName>
    <definedName name="Calc8">[4]WTB!#REF!</definedName>
    <definedName name="Calc9">[4]WTB!#REF!</definedName>
    <definedName name="clear">#REF!</definedName>
    <definedName name="CUR">'[6]O-9'!#REF!</definedName>
    <definedName name="CURRENCY">'[4]Balance Sheet'!$AD$8</definedName>
    <definedName name="CWR">'[1]SALES TAX RETURN_20140'!$A$1:$E$49</definedName>
    <definedName name="CWRS">#REF!</definedName>
    <definedName name="CYear">'[6]O-9'!#REF!</definedName>
    <definedName name="dasd">rank</definedName>
    <definedName name="_xlnm.Database">#REF!</definedName>
    <definedName name="Database_MI">#REF!</definedName>
    <definedName name="DAY">'[5]Income Statement (WMofWA)'!#REF!</definedName>
    <definedName name="DEBITS">'[1]ASSETS 11XXX'!$A$1:$L$19</definedName>
    <definedName name="Debt_Rate" localSheetId="1">'LG Nonpublic 2018 V5.0c'!$K$27</definedName>
    <definedName name="debtP" localSheetId="1">'LG Nonpublic 2018 V5.0c'!$I$27</definedName>
    <definedName name="deletion">#REF!</definedName>
    <definedName name="Detail">#REF!</definedName>
    <definedName name="End">'[7]IS-Murrey''s'!#REF!</definedName>
    <definedName name="EndTime">'[6]O-9'!#REF!</definedName>
    <definedName name="Equity_percent" localSheetId="1">'LG Nonpublic 2018 V5.0c'!$S$58</definedName>
    <definedName name="equityP" localSheetId="1">'LG Nonpublic 2018 V5.0c'!$I$26</definedName>
    <definedName name="expenses" localSheetId="1">'LG Nonpublic 2018 V5.0c'!$I$8</definedName>
    <definedName name="expenses">#REF!</definedName>
    <definedName name="Financial">[4]WTB!#REF!</definedName>
    <definedName name="FirstColCriteria">[4]WTB!#REF!</definedName>
    <definedName name="FirstHeaderCriteria">[4]WTB!#REF!</definedName>
    <definedName name="flag">[4]WTB!#REF!</definedName>
    <definedName name="Format_Column">#REF!</definedName>
    <definedName name="formata">#REF!</definedName>
    <definedName name="formatb">#REF!</definedName>
    <definedName name="FY">'[5]Income Statement (WMofWA)'!#REF!</definedName>
    <definedName name="Heading1">'[5]Income Statement (WMofWA)'!#REF!</definedName>
    <definedName name="IDN">'[5]Income Statement (WMofWA)'!#REF!</definedName>
    <definedName name="IFN">'[5]Income Statement (WMofWA)'!#REF!</definedName>
    <definedName name="income_statement">'Sch 4 - 12 Months'!$B$10:$O$68</definedName>
    <definedName name="INPUT" localSheetId="1">'LG Nonpublic 2018 V5.0c'!#REF!</definedName>
    <definedName name="INPUT">#REF!</definedName>
    <definedName name="INPUTc" localSheetId="1">#REF!</definedName>
    <definedName name="INPUTc">#REF!</definedName>
    <definedName name="InsertColRange">[4]WTB!#REF!</definedName>
    <definedName name="Investment" localSheetId="1">'LG Nonpublic 2018 V5.0c'!$J$28</definedName>
    <definedName name="LAST_ROW">'[8]Income Statement (Tonnage)'!#REF!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urito">#REF!</definedName>
    <definedName name="LYN">'[5]Income Statement (WMofWA)'!#REF!</definedName>
    <definedName name="master_def">'[7]IS-Murrey''s'!#REF!</definedName>
    <definedName name="MATRIX">#REF!</definedName>
    <definedName name="MthValue">'[6]O-9'!#REF!</definedName>
    <definedName name="New">#REF!</definedName>
    <definedName name="NewOnlyOrg">#REF!</definedName>
    <definedName name="NOTES">#REF!</definedName>
    <definedName name="NvsASD">"V2008-12-31"</definedName>
    <definedName name="NvsAutoDrillOk">"VN"</definedName>
    <definedName name="NvsElapsedTime">0.000729166669771075</definedName>
    <definedName name="NvsEndTime">39896.5868402778</definedName>
    <definedName name="NvsEndTime2">39823.1371643519</definedName>
    <definedName name="NvsEndTime3">39918.4137268519</definedName>
    <definedName name="NvsEndTime4">39825.0263078704</definedName>
    <definedName name="NvsEndTime5">39822.9425347222</definedName>
    <definedName name="NvsInstanceHook">rank</definedName>
    <definedName name="NvsInstanceHook1">rank</definedName>
    <definedName name="NvsInstLang">"VENG"</definedName>
    <definedName name="NvsInstSpec">"%,FBUSINESS_UNIT,V01815"</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"V1950-01-01"</definedName>
    <definedName name="NvsPanelSetid">"VWASTE"</definedName>
    <definedName name="NvsReqBU">"V01815"</definedName>
    <definedName name="NvsReqBUOnly">"VY"</definedName>
    <definedName name="NvsTransLed">"VN"</definedName>
    <definedName name="NvsTreeASD">"V2008-12-31"</definedName>
    <definedName name="NvsValTbl.ACCOUNT">"GL_ACCOUNT_TBL"</definedName>
    <definedName name="NvsValTbl.ACCOUNT_SUM">"ZGL_SACCT_VW"</definedName>
    <definedName name="NvsValTbl.ASSET_CLASS">"ASSET_CLASS_TBL"</definedName>
    <definedName name="NvsValTbl.BUSINESS_UNIT">"BUS_UNIT_TBL_GL"</definedName>
    <definedName name="NvsValTbl.CURRENCY_CD">"CURRENCY_CD_TBL"</definedName>
    <definedName name="NvsValTbl.DEPTID">"DEPT_TBL"</definedName>
    <definedName name="NvsValTbl.OPERATING_UNIT">"OPER_UNIT_TBL"</definedName>
    <definedName name="NvsValTbl.PRODUCT">"PRODUCT_TBL"</definedName>
    <definedName name="OfficerSalary">#REF!</definedName>
    <definedName name="Operations">'[5]Income Statement (WMofWA)'!#REF!</definedName>
    <definedName name="OPR">'[5]Income Statement (WMofWA)'!#REF!</definedName>
    <definedName name="Org11_13">#REF!</definedName>
    <definedName name="Org7_10">#REF!</definedName>
    <definedName name="ORIG2GALWT_">#REF!</definedName>
    <definedName name="ORIG2OH">#REF!</definedName>
    <definedName name="PAGE_1">'WP-1, pg 2 - Depr'!$B$1:$Z$116</definedName>
    <definedName name="PED">'[5]Income Statement (WMofWA)'!#REF!</definedName>
    <definedName name="PER">[4]WTB!$DC$5</definedName>
    <definedName name="Pfd_weighted" localSheetId="1">'LG Nonpublic 2018 V5.0c'!$U$57</definedName>
    <definedName name="_xlnm.Print_Area" localSheetId="3">Assumptions!$A$1:$I$26</definedName>
    <definedName name="_xlnm.Print_Area" localSheetId="0">'Fly Sheet'!$A$1:$H$38</definedName>
    <definedName name="_xlnm.Print_Area" localSheetId="27">'IS-PBC'!$A$1:$R$221</definedName>
    <definedName name="_xlnm.Print_Area" localSheetId="1">'LG Nonpublic 2018 V5.0c'!$F$2:$N$49</definedName>
    <definedName name="_xlnm.Print_Area" localSheetId="2">Operations!$A$1:$N$95</definedName>
    <definedName name="_xlnm.Print_Area" localSheetId="4">'Sch 1 - Restated Exp'!$A$1:$G$48</definedName>
    <definedName name="_xlnm.Print_Area" localSheetId="5">'Sch 1, pg 2 - Restated'!$A$1:$U$76</definedName>
    <definedName name="_xlnm.Print_Area" localSheetId="6">'Sch 2 - Forecast Exp'!$A$1:$I$29</definedName>
    <definedName name="_xlnm.Print_Area" localSheetId="7">'Sch 2, pg 2 - Forecast'!$A$1:$L$83</definedName>
    <definedName name="_xlnm.Print_Area" localSheetId="8">'Sch 3 - Reclass Exp'!$A$1:$I$9</definedName>
    <definedName name="_xlnm.Print_Area" localSheetId="9">'Sch 3, pg 2 - Reclass'!$A$1:$L$82</definedName>
    <definedName name="_xlnm.Print_Area" localSheetId="10">'Sch 4 - 12 Months'!$B$1:$U$77</definedName>
    <definedName name="_xlnm.Print_Area" localSheetId="11">'Work Papers'!$A$1:$H$30</definedName>
    <definedName name="_xlnm.Print_Area" localSheetId="12">'WP-1 - Summary Depr'!$A$1:$P$30</definedName>
    <definedName name="_xlnm.Print_Area" localSheetId="13">'WP-1, pg 2 - Depr'!$A$1:$AF$218</definedName>
    <definedName name="_xlnm.Print_Area" localSheetId="24">'WP-10 - Rate Case Cost'!$A$1:$F$17</definedName>
    <definedName name="_xlnm.Print_Area" localSheetId="14">'WP-2 - Labor Analysis'!$A$1:$AE$75</definedName>
    <definedName name="_xlnm.Print_Area" localSheetId="15">'WP-2, pg 2 - Labor Increase'!$A$1:$Z$101</definedName>
    <definedName name="_xlnm.Print_Area" localSheetId="16">'WP-2, pg 3 - Benefits Analysis'!$A$1:$S$89</definedName>
    <definedName name="_xlnm.Print_Area" localSheetId="17">'WP-4 - Dues &amp; Sub'!$A$1:$U$37</definedName>
    <definedName name="_xlnm.Print_Area" localSheetId="18">'WP-5 - Capital Structure'!$A$1:$H$13</definedName>
    <definedName name="_xlnm.Print_Area" localSheetId="19">'WP-5, pg 2 - Capital'!$A$1:$F$24</definedName>
    <definedName name="_xlnm.Print_Area" localSheetId="20">'WP-6 - Affiliated '!$A$1:$G$9</definedName>
    <definedName name="_xlnm.Print_Area" localSheetId="21">'WP-7 - Fuel'!$A$1:$U$54</definedName>
    <definedName name="_xlnm.Print_Area" localSheetId="22">'WP-8 - Bad Debts'!$A$1:$J$29</definedName>
    <definedName name="_xlnm.Print_Area" localSheetId="23">'WP-9 - Disposal'!$A$1:$Y$81</definedName>
    <definedName name="_xlnm.Print_Area">#REF!</definedName>
    <definedName name="Print_Area_MI" localSheetId="1">#REF!</definedName>
    <definedName name="Print_Area_MI">#REF!</definedName>
    <definedName name="Print_Area_MIc" localSheetId="1">#REF!</definedName>
    <definedName name="Print_Area_MIc">#REF!</definedName>
    <definedName name="_xlnm.Print_Titles" localSheetId="5">'Sch 1, pg 2 - Restated'!$1:$11</definedName>
    <definedName name="_xlnm.Print_Titles" localSheetId="7">'Sch 2, pg 2 - Forecast'!$1:$11</definedName>
    <definedName name="_xlnm.Print_Titles" localSheetId="9">'Sch 3, pg 2 - Reclass'!$1:$11</definedName>
    <definedName name="_xlnm.Print_Titles" localSheetId="10">'Sch 4 - 12 Months'!$1:$10</definedName>
    <definedName name="_xlnm.Print_Titles" localSheetId="13">'WP-1, pg 2 - Depr'!$1:$14</definedName>
    <definedName name="_xlnm.Print_Titles" localSheetId="15">'WP-2, pg 2 - Labor Increase'!$A:$A,'WP-2, pg 2 - Labor Increase'!$1:$5</definedName>
    <definedName name="Print_Titles_MI">#REF!</definedName>
    <definedName name="Print1">#REF!</definedName>
    <definedName name="Print2">#REF!</definedName>
    <definedName name="Prnit_Range">#REF!</definedName>
    <definedName name="PYear">'[6]O-9'!#REF!</definedName>
    <definedName name="QtrValue">#REF!</definedName>
    <definedName name="Quarter_Budget">#REF!</definedName>
    <definedName name="Quarter_Month">#REF!</definedName>
    <definedName name="RBU">'[5]Income Statement (WMofWA)'!#REF!</definedName>
    <definedName name="RCW_81.04.080">#REF!</definedName>
    <definedName name="RECAP">#REF!</definedName>
    <definedName name="RECAP2">#REF!</definedName>
    <definedName name="_xlnm.Recorder">#REF!</definedName>
    <definedName name="RecyDisposal">#REF!</definedName>
    <definedName name="regDebt_weighted" localSheetId="1">'LG Nonpublic 2018 V5.0c'!$U$56</definedName>
    <definedName name="RelatedSalary">#REF!</definedName>
    <definedName name="RevCust">'[9]Schedule 6'!#REF!</definedName>
    <definedName name="Revenue" localSheetId="1">'LG Nonpublic 2018 V5.0c'!$I$7</definedName>
    <definedName name="Revenue">#REF!</definedName>
    <definedName name="RID">'[5]Income Statement (WMofWA)'!#REF!</definedName>
    <definedName name="ROCE">#REF!,#REF!</definedName>
    <definedName name="ROW_SUPRESS">'[5]Income Statement (WMofWA)'!#REF!</definedName>
    <definedName name="RTT">'[5]Income Statement (WMofWA)'!#REF!</definedName>
    <definedName name="sale">#REF!</definedName>
    <definedName name="SALES_TAX_RETURN">#REF!</definedName>
    <definedName name="SCN">'[5]Income Statement (WMofWA)'!#REF!</definedName>
    <definedName name="SFD">[4]WTB!$DE$5</definedName>
    <definedName name="SFD_BU">'[5]Income Statement (WMofWA)'!#REF!</definedName>
    <definedName name="SFD_DEPTID">'[5]Income Statement (WMofWA)'!#REF!</definedName>
    <definedName name="SFD_OP">'[5]Income Statement (WMofWA)'!#REF!</definedName>
    <definedName name="SFD_PROD">'[5]Income Statement (WMofWA)'!#REF!</definedName>
    <definedName name="SFD_PROJ">'[5]Income Statement (WMofWA)'!#REF!</definedName>
    <definedName name="sfdbusunit">#REF!</definedName>
    <definedName name="SFV">[4]WTB!$DE$4</definedName>
    <definedName name="SFV_BU">'[5]Income Statement (WMofWA)'!#REF!</definedName>
    <definedName name="SFV_CUR">#REF!</definedName>
    <definedName name="SFV_CUR1">'[4]2008 West Group IS'!$AM$9</definedName>
    <definedName name="SFV_CUR5">'[4]2008 Group Office IS'!$AM$9</definedName>
    <definedName name="SFV_DEPTID">'[5]Income Statement (WMofWA)'!#REF!</definedName>
    <definedName name="SFV_OP">'[5]Income Statement (WMofWA)'!#REF!</definedName>
    <definedName name="SFV_PROD">'[5]Income Statement (WMofWA)'!#REF!</definedName>
    <definedName name="SFV_PROJ">'[5]Income Statement (WMofWA)'!#REF!</definedName>
    <definedName name="slope" localSheetId="1">'LG Nonpublic 2018 V5.0c'!$Y$58</definedName>
    <definedName name="slope">#REF!</definedName>
    <definedName name="sort">#REF!</definedName>
    <definedName name="Sort1">#REF!</definedName>
    <definedName name="sortcol">'[7]IS-Murrey''s'!#REF!</definedName>
    <definedName name="start">#REF!</definedName>
    <definedName name="Stop">'[6]O-9'!#REF!</definedName>
    <definedName name="SUMMARY">#REF!</definedName>
    <definedName name="Summary_DistrictName">[10]Summary!$B$7</definedName>
    <definedName name="Summary_DistrictNo">[10]Summary!$B$5</definedName>
    <definedName name="SWDisposal">#REF!</definedName>
    <definedName name="taxrate" localSheetId="1">'LG Nonpublic 2018 V5.0c'!$J$38</definedName>
    <definedName name="test">'[11]Sch 4 - 12months'!$B$10:$O$86</definedName>
    <definedName name="Title2">'[6]O-9'!#REF!</definedName>
    <definedName name="TOP">'[3]10800-10899'!#REF!</definedName>
    <definedName name="Total_Interest">'[12]Amortization Table'!$F$18</definedName>
    <definedName name="Variables">'[5]Income Statement (WMofWA)'!#REF!</definedName>
    <definedName name="Waste_Management__Inc.">#REF!</definedName>
    <definedName name="WM">#REF!</definedName>
    <definedName name="x">rank</definedName>
    <definedName name="xx">rank</definedName>
    <definedName name="xxx">rank</definedName>
    <definedName name="y_inter1" localSheetId="1">'LG Nonpublic 2018 V5.0c'!$X$55</definedName>
    <definedName name="y_inter1">#REF!</definedName>
    <definedName name="y_inter2" localSheetId="1">'LG Nonpublic 2018 V5.0c'!$X$56</definedName>
    <definedName name="y_inter2">#REF!</definedName>
    <definedName name="y_inter3" localSheetId="1">'LG Nonpublic 2018 V5.0c'!$Z$55</definedName>
    <definedName name="y_inter3">#REF!</definedName>
    <definedName name="y_inter4" localSheetId="1">'LG Nonpublic 2018 V5.0c'!$Z$56</definedName>
    <definedName name="y_inter4">#REF!</definedName>
    <definedName name="YEAR4">#REF!</definedName>
    <definedName name="yrCur">'[13]Report Template'!$B$2002</definedName>
    <definedName name="yrNext">'[13]Report Template'!$B$2003</definedName>
    <definedName name="YWMedWasteDisp">#REF!</definedName>
    <definedName name="Zero_Format">#REF!</definedName>
  </definedNames>
  <calcPr calcId="191029" iterate="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9" i="71" l="1"/>
  <c r="V30" i="77"/>
  <c r="U27" i="26"/>
  <c r="K27" i="26"/>
  <c r="D39" i="16" s="1"/>
  <c r="U13" i="26"/>
  <c r="U14" i="26"/>
  <c r="U15" i="26"/>
  <c r="U16" i="26"/>
  <c r="U17" i="26"/>
  <c r="U18" i="26"/>
  <c r="U19" i="26"/>
  <c r="U20" i="26"/>
  <c r="U21" i="26"/>
  <c r="U22" i="26"/>
  <c r="U23" i="26"/>
  <c r="U12" i="26"/>
  <c r="J25" i="26"/>
  <c r="K25" i="26"/>
  <c r="L25" i="26"/>
  <c r="M25" i="26"/>
  <c r="N25" i="26"/>
  <c r="O25" i="26"/>
  <c r="P25" i="26"/>
  <c r="Q25" i="26"/>
  <c r="R25" i="26"/>
  <c r="S25" i="26"/>
  <c r="U34" i="26" l="1"/>
  <c r="U25" i="26"/>
  <c r="U29" i="26" s="1"/>
  <c r="A5" i="28" l="1"/>
  <c r="K55" i="29" l="1"/>
  <c r="K75" i="29"/>
  <c r="K68" i="29"/>
  <c r="K27" i="29"/>
  <c r="K22" i="29"/>
  <c r="K13" i="29"/>
  <c r="I26" i="29"/>
  <c r="K79" i="29" l="1"/>
  <c r="K81" i="29" s="1"/>
  <c r="C75" i="29"/>
  <c r="E75" i="29"/>
  <c r="F75" i="29"/>
  <c r="B75" i="29"/>
  <c r="C68" i="29"/>
  <c r="E68" i="29"/>
  <c r="F68" i="29"/>
  <c r="B68" i="29"/>
  <c r="C55" i="29"/>
  <c r="E55" i="29"/>
  <c r="F55" i="29"/>
  <c r="B55" i="29"/>
  <c r="C27" i="29"/>
  <c r="E27" i="29"/>
  <c r="F27" i="29"/>
  <c r="B27" i="29"/>
  <c r="B22" i="29"/>
  <c r="C22" i="29"/>
  <c r="E22" i="29"/>
  <c r="F22" i="29"/>
  <c r="A61" i="29"/>
  <c r="F13" i="29" l="1"/>
  <c r="F79" i="29" s="1"/>
  <c r="F81" i="29" s="1"/>
  <c r="E13" i="29"/>
  <c r="E79" i="29" s="1"/>
  <c r="E81" i="29" s="1"/>
  <c r="D33" i="29" l="1"/>
  <c r="D64" i="29"/>
  <c r="D60" i="29"/>
  <c r="D59" i="29"/>
  <c r="D57" i="29"/>
  <c r="D73" i="29"/>
  <c r="D72" i="29"/>
  <c r="D71" i="29"/>
  <c r="D70" i="29"/>
  <c r="D65" i="29"/>
  <c r="D63" i="29"/>
  <c r="D62" i="29"/>
  <c r="D58" i="29"/>
  <c r="D52" i="29"/>
  <c r="D51" i="29"/>
  <c r="D50" i="29"/>
  <c r="D49" i="29"/>
  <c r="D48" i="29"/>
  <c r="D47" i="29"/>
  <c r="D46" i="29"/>
  <c r="D45" i="29"/>
  <c r="D44" i="29"/>
  <c r="D43" i="29"/>
  <c r="D42" i="29"/>
  <c r="D41" i="29"/>
  <c r="D40" i="29"/>
  <c r="D39" i="29"/>
  <c r="D38" i="29"/>
  <c r="D37" i="29"/>
  <c r="D36" i="29"/>
  <c r="D35" i="29"/>
  <c r="D32" i="29"/>
  <c r="D31" i="29"/>
  <c r="D30" i="29"/>
  <c r="D29" i="29"/>
  <c r="D25" i="29"/>
  <c r="D24" i="29"/>
  <c r="D21" i="29"/>
  <c r="D18" i="29"/>
  <c r="D17" i="29"/>
  <c r="D15" i="29"/>
  <c r="D12" i="29"/>
  <c r="D55" i="29" l="1"/>
  <c r="D68" i="29"/>
  <c r="D75" i="29"/>
  <c r="G75" i="29" s="1"/>
  <c r="D13" i="29"/>
  <c r="J63" i="29"/>
  <c r="J60" i="29"/>
  <c r="J58" i="29"/>
  <c r="J53" i="29"/>
  <c r="J52" i="29"/>
  <c r="J51" i="29"/>
  <c r="J50" i="29"/>
  <c r="J49" i="29"/>
  <c r="J47" i="29"/>
  <c r="J46" i="29"/>
  <c r="J45" i="29"/>
  <c r="J44" i="29"/>
  <c r="J43" i="29"/>
  <c r="J42" i="29"/>
  <c r="J41" i="29"/>
  <c r="J40" i="29"/>
  <c r="J39" i="29"/>
  <c r="J38" i="29"/>
  <c r="J37" i="29"/>
  <c r="J36" i="29"/>
  <c r="J35" i="29"/>
  <c r="J33" i="29"/>
  <c r="J32" i="29"/>
  <c r="J31" i="29"/>
  <c r="J30" i="29"/>
  <c r="J29" i="29"/>
  <c r="J25" i="29"/>
  <c r="J21" i="29"/>
  <c r="J18" i="29"/>
  <c r="J17" i="29"/>
  <c r="J15" i="29"/>
  <c r="D26" i="29"/>
  <c r="D27" i="29" s="1"/>
  <c r="M77" i="29"/>
  <c r="M76" i="29"/>
  <c r="J73" i="29"/>
  <c r="J72" i="29"/>
  <c r="J70" i="29"/>
  <c r="J74" i="29"/>
  <c r="J26" i="29"/>
  <c r="J20" i="29"/>
  <c r="J12" i="29"/>
  <c r="J13" i="29" s="1"/>
  <c r="I25" i="29"/>
  <c r="I27" i="29" s="1"/>
  <c r="I21" i="29"/>
  <c r="I18" i="29"/>
  <c r="I17" i="29"/>
  <c r="I15" i="29"/>
  <c r="I73" i="29"/>
  <c r="I72" i="29"/>
  <c r="I70" i="29"/>
  <c r="I74" i="29"/>
  <c r="I63" i="29"/>
  <c r="I60" i="29"/>
  <c r="I58" i="29"/>
  <c r="I53" i="29"/>
  <c r="I52" i="29"/>
  <c r="I51" i="29"/>
  <c r="I50" i="29"/>
  <c r="I49" i="29"/>
  <c r="I47" i="29"/>
  <c r="I46" i="29"/>
  <c r="I45" i="29"/>
  <c r="I44" i="29"/>
  <c r="I43" i="29"/>
  <c r="I42" i="29"/>
  <c r="I41" i="29"/>
  <c r="I40" i="29"/>
  <c r="I39" i="29"/>
  <c r="I38" i="29"/>
  <c r="I37" i="29"/>
  <c r="I36" i="29"/>
  <c r="I35" i="29"/>
  <c r="I30" i="29"/>
  <c r="I31" i="29"/>
  <c r="I32" i="29"/>
  <c r="I33" i="29"/>
  <c r="I20" i="29"/>
  <c r="I12" i="29"/>
  <c r="I13" i="29" s="1"/>
  <c r="I29" i="29"/>
  <c r="D20" i="29"/>
  <c r="D22" i="29" s="1"/>
  <c r="H12" i="29"/>
  <c r="H20" i="29"/>
  <c r="H60" i="29"/>
  <c r="H73" i="29"/>
  <c r="H72" i="29"/>
  <c r="H70" i="29"/>
  <c r="H74" i="29"/>
  <c r="H63" i="29"/>
  <c r="H58" i="29"/>
  <c r="H68" i="29" s="1"/>
  <c r="H53" i="29"/>
  <c r="H52" i="29"/>
  <c r="H51" i="29"/>
  <c r="H50" i="29"/>
  <c r="H49" i="29"/>
  <c r="H47" i="29"/>
  <c r="H46" i="29"/>
  <c r="H45" i="29"/>
  <c r="H44" i="29"/>
  <c r="H43" i="29"/>
  <c r="H42" i="29"/>
  <c r="H41" i="29"/>
  <c r="H40" i="29"/>
  <c r="H39" i="29"/>
  <c r="H38" i="29"/>
  <c r="H37" i="29"/>
  <c r="H36" i="29"/>
  <c r="H35" i="29"/>
  <c r="H26" i="29"/>
  <c r="H33" i="29"/>
  <c r="H32" i="29"/>
  <c r="H31" i="29"/>
  <c r="H30" i="29"/>
  <c r="H29" i="29"/>
  <c r="H55" i="29" s="1"/>
  <c r="H25" i="29"/>
  <c r="H21" i="29"/>
  <c r="H18" i="29"/>
  <c r="H17" i="29"/>
  <c r="H15" i="29"/>
  <c r="J68" i="29" l="1"/>
  <c r="H22" i="29"/>
  <c r="H27" i="29"/>
  <c r="I68" i="29"/>
  <c r="G55" i="29"/>
  <c r="P55" i="29" s="1"/>
  <c r="J27" i="29"/>
  <c r="J55" i="29"/>
  <c r="I55" i="29"/>
  <c r="I22" i="29"/>
  <c r="H75" i="29"/>
  <c r="J22" i="29"/>
  <c r="I75" i="29"/>
  <c r="J75" i="29"/>
  <c r="P75" i="29"/>
  <c r="G68" i="29"/>
  <c r="P68" i="29" s="1"/>
  <c r="G22" i="29"/>
  <c r="P22" i="29" s="1"/>
  <c r="Q22" i="29" s="1"/>
  <c r="G27" i="29"/>
  <c r="P27" i="29" s="1"/>
  <c r="D79" i="29"/>
  <c r="D81" i="29" s="1"/>
  <c r="I79" i="29" l="1"/>
  <c r="I81" i="29" s="1"/>
  <c r="J79" i="29"/>
  <c r="J81" i="29" s="1"/>
  <c r="D83" i="29"/>
  <c r="D36" i="71" l="1"/>
  <c r="E36" i="71" s="1"/>
  <c r="C63" i="11"/>
  <c r="K60" i="28" l="1"/>
  <c r="K61" i="28"/>
  <c r="E12" i="97"/>
  <c r="A74" i="28"/>
  <c r="A70" i="28"/>
  <c r="A71" i="28"/>
  <c r="A72" i="28"/>
  <c r="A69" i="28"/>
  <c r="A67" i="28"/>
  <c r="A55" i="28"/>
  <c r="A63" i="28"/>
  <c r="A64" i="28"/>
  <c r="A65" i="28"/>
  <c r="A62" i="28"/>
  <c r="A58" i="28"/>
  <c r="A59" i="28"/>
  <c r="A60" i="28"/>
  <c r="A57" i="28"/>
  <c r="A30" i="28"/>
  <c r="A31" i="28"/>
  <c r="A32" i="28"/>
  <c r="A33" i="28"/>
  <c r="A34" i="28"/>
  <c r="A35" i="28"/>
  <c r="A36" i="28"/>
  <c r="A37" i="28"/>
  <c r="A38" i="28"/>
  <c r="A39" i="28"/>
  <c r="A40" i="28"/>
  <c r="A41" i="28"/>
  <c r="A42" i="28"/>
  <c r="A43" i="28"/>
  <c r="A44" i="28"/>
  <c r="A45" i="28"/>
  <c r="A46" i="28"/>
  <c r="A47" i="28"/>
  <c r="A48" i="28"/>
  <c r="A49" i="28"/>
  <c r="A50" i="28"/>
  <c r="A51" i="28"/>
  <c r="A52" i="28"/>
  <c r="A29" i="28"/>
  <c r="A24" i="28"/>
  <c r="A25" i="28"/>
  <c r="A26" i="28"/>
  <c r="A21" i="28"/>
  <c r="A12" i="28"/>
  <c r="A14" i="28"/>
  <c r="A15" i="28"/>
  <c r="A16" i="28"/>
  <c r="A17" i="28"/>
  <c r="A18" i="28"/>
  <c r="A19" i="28"/>
  <c r="A20" i="28"/>
  <c r="A11" i="28"/>
  <c r="G27" i="11"/>
  <c r="H27" i="11"/>
  <c r="I27" i="11"/>
  <c r="J27" i="11"/>
  <c r="E27" i="11"/>
  <c r="C27" i="11"/>
  <c r="F21" i="11"/>
  <c r="G21" i="11"/>
  <c r="H21" i="11"/>
  <c r="I21" i="11"/>
  <c r="J21" i="11"/>
  <c r="C21" i="11"/>
  <c r="O13" i="96"/>
  <c r="O12" i="96"/>
  <c r="O11" i="96"/>
  <c r="O10" i="96"/>
  <c r="O9" i="96"/>
  <c r="Q53" i="28"/>
  <c r="Q54" i="28"/>
  <c r="O14" i="96" l="1"/>
  <c r="O16" i="96" s="1"/>
  <c r="A53" i="29" l="1"/>
  <c r="A66" i="29"/>
  <c r="A54" i="29"/>
  <c r="R39" i="49" l="1"/>
  <c r="R38" i="49"/>
  <c r="R37" i="49"/>
  <c r="R36" i="49"/>
  <c r="R35" i="49"/>
  <c r="R34" i="49"/>
  <c r="R33" i="49"/>
  <c r="R32" i="49"/>
  <c r="R31" i="49"/>
  <c r="R30" i="49"/>
  <c r="R29" i="49"/>
  <c r="R28" i="49"/>
  <c r="E40" i="49"/>
  <c r="R23" i="49"/>
  <c r="S22" i="49"/>
  <c r="Q22" i="49"/>
  <c r="P22" i="49"/>
  <c r="S21" i="49"/>
  <c r="P21" i="49"/>
  <c r="S20" i="49"/>
  <c r="Q20" i="49"/>
  <c r="P20" i="49"/>
  <c r="S19" i="49"/>
  <c r="Q19" i="49"/>
  <c r="P19" i="49"/>
  <c r="S18" i="49"/>
  <c r="T18" i="49" s="1"/>
  <c r="P18" i="49"/>
  <c r="Q17" i="49"/>
  <c r="P17" i="49"/>
  <c r="T17" i="49" s="1"/>
  <c r="S16" i="49"/>
  <c r="P16" i="49"/>
  <c r="S15" i="49"/>
  <c r="Q15" i="49"/>
  <c r="P15" i="49"/>
  <c r="Q14" i="49"/>
  <c r="T14" i="49" s="1"/>
  <c r="P14" i="49"/>
  <c r="Q13" i="49"/>
  <c r="T13" i="49" s="1"/>
  <c r="P13" i="49"/>
  <c r="Q12" i="49"/>
  <c r="P12" i="49"/>
  <c r="T12" i="49" s="1"/>
  <c r="Q11" i="49"/>
  <c r="P11" i="49"/>
  <c r="L23" i="49"/>
  <c r="E23" i="49"/>
  <c r="T20" i="49" l="1"/>
  <c r="P23" i="49"/>
  <c r="T11" i="49"/>
  <c r="T16" i="49"/>
  <c r="T19" i="49"/>
  <c r="T22" i="49"/>
  <c r="T21" i="49"/>
  <c r="S23" i="49"/>
  <c r="Q23" i="49"/>
  <c r="T15" i="49"/>
  <c r="E46" i="49" l="1"/>
  <c r="T23" i="49"/>
  <c r="K66" i="28"/>
  <c r="K54" i="28"/>
  <c r="Q29" i="64"/>
  <c r="G10" i="54"/>
  <c r="M60" i="28"/>
  <c r="M54" i="28"/>
  <c r="N54" i="28" s="1"/>
  <c r="M66" i="28"/>
  <c r="M53" i="28"/>
  <c r="M73" i="28"/>
  <c r="M61" i="28"/>
  <c r="M69" i="28"/>
  <c r="P57" i="28"/>
  <c r="P59" i="28"/>
  <c r="U59" i="28" s="1"/>
  <c r="P62" i="28"/>
  <c r="U62" i="28" s="1"/>
  <c r="P64" i="28"/>
  <c r="U64" i="28" s="1"/>
  <c r="P65" i="28"/>
  <c r="U65" i="28" s="1"/>
  <c r="M58" i="28"/>
  <c r="P48" i="28"/>
  <c r="T48" i="28" s="1"/>
  <c r="M49" i="28"/>
  <c r="P34" i="28"/>
  <c r="T34" i="28" s="1"/>
  <c r="K53" i="28"/>
  <c r="K73" i="28"/>
  <c r="O73" i="28" s="1"/>
  <c r="O60" i="28"/>
  <c r="B29" i="77"/>
  <c r="C24" i="77"/>
  <c r="D24" i="77"/>
  <c r="E24" i="77"/>
  <c r="F24" i="77"/>
  <c r="G24" i="77"/>
  <c r="H24" i="77"/>
  <c r="I24" i="77"/>
  <c r="J24" i="77"/>
  <c r="K24" i="77"/>
  <c r="L24" i="77"/>
  <c r="M24" i="77"/>
  <c r="N24" i="77"/>
  <c r="B24" i="77"/>
  <c r="C64" i="77"/>
  <c r="C41" i="77"/>
  <c r="C61" i="77" s="1"/>
  <c r="C60" i="77"/>
  <c r="C29" i="77"/>
  <c r="O18" i="77"/>
  <c r="T18" i="77" s="1"/>
  <c r="C62" i="77" l="1"/>
  <c r="H47" i="17" s="1"/>
  <c r="C65" i="77"/>
  <c r="N73" i="28"/>
  <c r="P73" i="28" s="1"/>
  <c r="R73" i="28" s="1"/>
  <c r="S73" i="28" s="1"/>
  <c r="N66" i="28"/>
  <c r="O61" i="28"/>
  <c r="N53" i="28"/>
  <c r="O54" i="28"/>
  <c r="P54" i="28" s="1"/>
  <c r="N60" i="28"/>
  <c r="P60" i="28" s="1"/>
  <c r="R60" i="28" s="1"/>
  <c r="L60" i="29" s="1"/>
  <c r="N61" i="28"/>
  <c r="U34" i="28"/>
  <c r="X34" i="28" s="1"/>
  <c r="O66" i="28"/>
  <c r="O53" i="28"/>
  <c r="U57" i="28"/>
  <c r="T57" i="28"/>
  <c r="T65" i="28"/>
  <c r="X65" i="28" s="1"/>
  <c r="T64" i="28"/>
  <c r="X64" i="28" s="1"/>
  <c r="T62" i="28"/>
  <c r="X62" i="28" s="1"/>
  <c r="T59" i="28"/>
  <c r="X59" i="28" s="1"/>
  <c r="U48" i="28"/>
  <c r="X48" i="28" s="1"/>
  <c r="M35" i="28"/>
  <c r="M30" i="28"/>
  <c r="M31" i="28"/>
  <c r="M32" i="28"/>
  <c r="M33" i="28"/>
  <c r="M29" i="28"/>
  <c r="M26" i="28"/>
  <c r="M25" i="28"/>
  <c r="M17" i="28"/>
  <c r="M18" i="28"/>
  <c r="M19" i="28"/>
  <c r="M20" i="28"/>
  <c r="M16" i="28"/>
  <c r="M15" i="28"/>
  <c r="P24" i="28"/>
  <c r="U24" i="28" s="1"/>
  <c r="M11" i="28"/>
  <c r="X57" i="28" l="1"/>
  <c r="P66" i="28"/>
  <c r="U66" i="28" s="1"/>
  <c r="V54" i="28"/>
  <c r="R54" i="28"/>
  <c r="S54" i="28" s="1"/>
  <c r="P53" i="28"/>
  <c r="U73" i="28"/>
  <c r="T73" i="28"/>
  <c r="V73" i="28"/>
  <c r="P61" i="28"/>
  <c r="T61" i="28" s="1"/>
  <c r="V61" i="28"/>
  <c r="T60" i="28"/>
  <c r="V60" i="28"/>
  <c r="U54" i="28"/>
  <c r="T54" i="28"/>
  <c r="U60" i="28"/>
  <c r="T24" i="28"/>
  <c r="V24" i="28"/>
  <c r="T66" i="28" l="1"/>
  <c r="V66" i="28"/>
  <c r="X24" i="28"/>
  <c r="R66" i="28"/>
  <c r="S66" i="28" s="1"/>
  <c r="V53" i="28"/>
  <c r="R53" i="28"/>
  <c r="S53" i="28" s="1"/>
  <c r="U61" i="28"/>
  <c r="R61" i="28"/>
  <c r="S61" i="28" s="1"/>
  <c r="U53" i="28"/>
  <c r="T53" i="28"/>
  <c r="W6" i="28"/>
  <c r="W5" i="28"/>
  <c r="W7" i="28"/>
  <c r="W73" i="28" l="1"/>
  <c r="X73" i="28" s="1"/>
  <c r="W61" i="28"/>
  <c r="X61" i="28" s="1"/>
  <c r="W60" i="28"/>
  <c r="X60" i="28" s="1"/>
  <c r="W54" i="28"/>
  <c r="X54" i="28" s="1"/>
  <c r="W66" i="28"/>
  <c r="X66" i="28" s="1"/>
  <c r="W53" i="28"/>
  <c r="X53" i="28" s="1"/>
  <c r="L136" i="64"/>
  <c r="L102" i="64"/>
  <c r="L173" i="64" l="1"/>
  <c r="L148" i="64"/>
  <c r="N203" i="64"/>
  <c r="O203" i="64" s="1"/>
  <c r="Q203" i="64"/>
  <c r="AA203" i="64"/>
  <c r="AB203" i="64"/>
  <c r="U203" i="64" s="1"/>
  <c r="AD203" i="64"/>
  <c r="AE203" i="64"/>
  <c r="I203" i="64"/>
  <c r="AC203" i="64" s="1"/>
  <c r="D203" i="64"/>
  <c r="Q200" i="64"/>
  <c r="AB200" i="64"/>
  <c r="AD200" i="64"/>
  <c r="AE200" i="64"/>
  <c r="D200" i="64"/>
  <c r="AA200" i="64" s="1"/>
  <c r="I200" i="64"/>
  <c r="AC200" i="64" s="1"/>
  <c r="Q96" i="64"/>
  <c r="AB96" i="64"/>
  <c r="AD96" i="64"/>
  <c r="AE96" i="64"/>
  <c r="Q97" i="64"/>
  <c r="AB97" i="64"/>
  <c r="AD97" i="64"/>
  <c r="AE97" i="64"/>
  <c r="Q95" i="64"/>
  <c r="AB95" i="64"/>
  <c r="AD95" i="64"/>
  <c r="AE95" i="64"/>
  <c r="N97" i="64"/>
  <c r="O97" i="64" s="1"/>
  <c r="D97" i="64"/>
  <c r="AA97" i="64" s="1"/>
  <c r="N95" i="64"/>
  <c r="O95" i="64" s="1"/>
  <c r="D95" i="64"/>
  <c r="AA95" i="64" s="1"/>
  <c r="U95" i="64" s="1"/>
  <c r="I95" i="64" l="1"/>
  <c r="AC95" i="64" s="1"/>
  <c r="U200" i="64"/>
  <c r="P203" i="64"/>
  <c r="R203" i="64" s="1"/>
  <c r="I97" i="64"/>
  <c r="AC97" i="64" s="1"/>
  <c r="P97" i="64" s="1"/>
  <c r="R97" i="64" s="1"/>
  <c r="U97" i="64"/>
  <c r="P95" i="64"/>
  <c r="R95" i="64" s="1"/>
  <c r="B28" i="77" l="1"/>
  <c r="B30" i="77" s="1"/>
  <c r="B31" i="77"/>
  <c r="B32" i="77" l="1"/>
  <c r="E79" i="71"/>
  <c r="I79" i="71" s="1"/>
  <c r="D39" i="71"/>
  <c r="D40" i="71"/>
  <c r="D41" i="71"/>
  <c r="D43" i="71"/>
  <c r="D45" i="71"/>
  <c r="D49" i="71"/>
  <c r="D72" i="71"/>
  <c r="D73" i="71"/>
  <c r="D74" i="71"/>
  <c r="D76" i="71"/>
  <c r="D78" i="71"/>
  <c r="E78" i="71" s="1"/>
  <c r="I78" i="71" s="1"/>
  <c r="E7" i="97"/>
  <c r="E8" i="97"/>
  <c r="E9" i="97"/>
  <c r="E10" i="97"/>
  <c r="E11" i="97"/>
  <c r="O35" i="77"/>
  <c r="P35" i="77" s="1"/>
  <c r="C34" i="77"/>
  <c r="D34" i="77"/>
  <c r="E34" i="77"/>
  <c r="F34" i="77"/>
  <c r="G34" i="77"/>
  <c r="H34" i="77"/>
  <c r="I34" i="77"/>
  <c r="J34" i="77"/>
  <c r="K34" i="77"/>
  <c r="L34" i="77"/>
  <c r="M34" i="77"/>
  <c r="B34" i="77"/>
  <c r="M33" i="77"/>
  <c r="L33" i="77"/>
  <c r="K33" i="77"/>
  <c r="J33" i="77"/>
  <c r="I33" i="77"/>
  <c r="H33" i="77"/>
  <c r="G33" i="77"/>
  <c r="E33" i="77"/>
  <c r="F33" i="77"/>
  <c r="D33" i="77"/>
  <c r="C33" i="77"/>
  <c r="N33" i="77"/>
  <c r="B33" i="77"/>
  <c r="C31" i="77"/>
  <c r="D31" i="77"/>
  <c r="E31" i="77"/>
  <c r="F31" i="77"/>
  <c r="G31" i="77"/>
  <c r="H31" i="77"/>
  <c r="I31" i="77"/>
  <c r="J31" i="77"/>
  <c r="K31" i="77"/>
  <c r="L31" i="77"/>
  <c r="M31" i="77"/>
  <c r="O33" i="77" l="1"/>
  <c r="O34" i="77"/>
  <c r="O31" i="77"/>
  <c r="O25" i="77"/>
  <c r="O26" i="77"/>
  <c r="O24" i="77"/>
  <c r="M28" i="77"/>
  <c r="J29" i="77"/>
  <c r="E29" i="77"/>
  <c r="O16" i="77"/>
  <c r="T16" i="77" l="1"/>
  <c r="S16" i="77"/>
  <c r="A48" i="77"/>
  <c r="A50" i="77" s="1"/>
  <c r="A43" i="77"/>
  <c r="M29" i="77"/>
  <c r="M30" i="77" s="1"/>
  <c r="M32" i="77" s="1"/>
  <c r="L29" i="77"/>
  <c r="K29" i="77"/>
  <c r="I29" i="77"/>
  <c r="H29" i="77"/>
  <c r="G29" i="77"/>
  <c r="F29" i="77"/>
  <c r="D29" i="77"/>
  <c r="C28" i="77"/>
  <c r="C30" i="77" s="1"/>
  <c r="C32" i="77" s="1"/>
  <c r="D28" i="77"/>
  <c r="E28" i="77"/>
  <c r="E30" i="77" s="1"/>
  <c r="E32" i="77" s="1"/>
  <c r="F28" i="77"/>
  <c r="G28" i="77"/>
  <c r="H28" i="77"/>
  <c r="I28" i="77"/>
  <c r="J28" i="77"/>
  <c r="J30" i="77" s="1"/>
  <c r="J32" i="77" s="1"/>
  <c r="K28" i="77"/>
  <c r="L28" i="77"/>
  <c r="L30" i="77" s="1"/>
  <c r="L32" i="77" s="1"/>
  <c r="O17" i="77"/>
  <c r="T17" i="77" l="1"/>
  <c r="S17" i="77"/>
  <c r="K30" i="77"/>
  <c r="K32" i="77" s="1"/>
  <c r="G30" i="77"/>
  <c r="G32" i="77" s="1"/>
  <c r="F30" i="77"/>
  <c r="F32" i="77" s="1"/>
  <c r="H30" i="77"/>
  <c r="H32" i="77" s="1"/>
  <c r="D30" i="77"/>
  <c r="D32" i="77" s="1"/>
  <c r="I30" i="77"/>
  <c r="I32" i="77" s="1"/>
  <c r="O29" i="77"/>
  <c r="O28" i="77"/>
  <c r="P11" i="77"/>
  <c r="P34" i="77" s="1"/>
  <c r="P32" i="77" l="1"/>
  <c r="V29" i="77" s="1"/>
  <c r="P18" i="77"/>
  <c r="V32" i="77" s="1"/>
  <c r="P15" i="77"/>
  <c r="P16" i="77"/>
  <c r="P17" i="77"/>
  <c r="O30" i="77"/>
  <c r="O32" i="77"/>
  <c r="P31" i="77"/>
  <c r="P42" i="77" s="1"/>
  <c r="O22" i="77"/>
  <c r="P22" i="77" s="1"/>
  <c r="O20" i="77"/>
  <c r="P20" i="77" s="1"/>
  <c r="V31" i="77" l="1"/>
  <c r="T29" i="77"/>
  <c r="P36" i="77"/>
  <c r="O21" i="77"/>
  <c r="P21" i="77" s="1"/>
  <c r="D20" i="79" l="1"/>
  <c r="D21" i="79"/>
  <c r="D11" i="79"/>
  <c r="D12" i="79"/>
  <c r="D13" i="79"/>
  <c r="D14" i="79"/>
  <c r="D15" i="79"/>
  <c r="D16" i="79"/>
  <c r="D17" i="79"/>
  <c r="D18" i="79"/>
  <c r="D19" i="79"/>
  <c r="D10" i="79"/>
  <c r="E53" i="97"/>
  <c r="K33" i="96"/>
  <c r="K34" i="96" s="1"/>
  <c r="D23" i="79" l="1"/>
  <c r="D24" i="79" s="1"/>
  <c r="D26" i="79" s="1"/>
  <c r="O14" i="77"/>
  <c r="P14" i="77" s="1"/>
  <c r="O13" i="77"/>
  <c r="P13" i="77" s="1"/>
  <c r="O12" i="77"/>
  <c r="P12" i="77" s="1"/>
  <c r="T30" i="77" s="1"/>
  <c r="P46" i="77" s="1"/>
  <c r="D47" i="20" s="1"/>
  <c r="D48" i="20" s="1"/>
  <c r="L48" i="20" s="1"/>
  <c r="F47" i="71" s="1"/>
  <c r="O19" i="77"/>
  <c r="P19" i="77" s="1"/>
  <c r="T31" i="77" l="1"/>
  <c r="P40" i="77"/>
  <c r="P47" i="77" s="1"/>
  <c r="P25" i="77"/>
  <c r="B27" i="63"/>
  <c r="B25" i="63"/>
  <c r="AE202" i="64"/>
  <c r="AD202" i="64"/>
  <c r="AB202" i="64"/>
  <c r="Q202" i="64"/>
  <c r="N202" i="64"/>
  <c r="O202" i="64" s="1"/>
  <c r="D202" i="64"/>
  <c r="I202" i="64" s="1"/>
  <c r="AC202" i="64" s="1"/>
  <c r="AE201" i="64"/>
  <c r="AD201" i="64"/>
  <c r="AB201" i="64"/>
  <c r="Q201" i="64"/>
  <c r="N201" i="64"/>
  <c r="O201" i="64" s="1"/>
  <c r="D201" i="64"/>
  <c r="AA201" i="64" s="1"/>
  <c r="AA196" i="64"/>
  <c r="AE195" i="64"/>
  <c r="AD195" i="64"/>
  <c r="AB195" i="64"/>
  <c r="Q195" i="64"/>
  <c r="N195" i="64"/>
  <c r="O195" i="64" s="1"/>
  <c r="D195" i="64"/>
  <c r="AE194" i="64"/>
  <c r="AD194" i="64"/>
  <c r="AB194" i="64"/>
  <c r="Q194" i="64"/>
  <c r="N194" i="64"/>
  <c r="O194" i="64" s="1"/>
  <c r="D194" i="64"/>
  <c r="I194" i="64" s="1"/>
  <c r="AC194" i="64" s="1"/>
  <c r="AE193" i="64"/>
  <c r="AD193" i="64"/>
  <c r="AB193" i="64"/>
  <c r="Q193" i="64"/>
  <c r="N193" i="64"/>
  <c r="O193" i="64" s="1"/>
  <c r="D193" i="64"/>
  <c r="I193" i="64" s="1"/>
  <c r="AC193" i="64" s="1"/>
  <c r="AE192" i="64"/>
  <c r="AD192" i="64"/>
  <c r="AB192" i="64"/>
  <c r="Q192" i="64"/>
  <c r="N192" i="64"/>
  <c r="O192" i="64" s="1"/>
  <c r="D192" i="64"/>
  <c r="I192" i="64" s="1"/>
  <c r="AC192" i="64" s="1"/>
  <c r="AE191" i="64"/>
  <c r="AD191" i="64"/>
  <c r="AB191" i="64"/>
  <c r="Q191" i="64"/>
  <c r="N191" i="64"/>
  <c r="O191" i="64" s="1"/>
  <c r="D191" i="64"/>
  <c r="AA191" i="64" s="1"/>
  <c r="AE190" i="64"/>
  <c r="AD190" i="64"/>
  <c r="AB190" i="64"/>
  <c r="Q190" i="64"/>
  <c r="N190" i="64"/>
  <c r="O190" i="64" s="1"/>
  <c r="D190" i="64"/>
  <c r="I190" i="64" s="1"/>
  <c r="AC190" i="64" s="1"/>
  <c r="AE189" i="64"/>
  <c r="AD189" i="64"/>
  <c r="AB189" i="64"/>
  <c r="Q189" i="64"/>
  <c r="N189" i="64"/>
  <c r="O189" i="64" s="1"/>
  <c r="D189" i="64"/>
  <c r="AE188" i="64"/>
  <c r="AD188" i="64"/>
  <c r="AB188" i="64"/>
  <c r="Q188" i="64"/>
  <c r="N188" i="64"/>
  <c r="O188" i="64" s="1"/>
  <c r="D188" i="64"/>
  <c r="AA188" i="64" s="1"/>
  <c r="AE187" i="64"/>
  <c r="AD187" i="64"/>
  <c r="AB187" i="64"/>
  <c r="Q187" i="64"/>
  <c r="N187" i="64"/>
  <c r="O187" i="64" s="1"/>
  <c r="D187" i="64"/>
  <c r="AA187" i="64" s="1"/>
  <c r="AE186" i="64"/>
  <c r="AD186" i="64"/>
  <c r="AB186" i="64"/>
  <c r="Q186" i="64"/>
  <c r="N186" i="64"/>
  <c r="O186" i="64" s="1"/>
  <c r="D186" i="64"/>
  <c r="I186" i="64" s="1"/>
  <c r="AC186" i="64" s="1"/>
  <c r="AE185" i="64"/>
  <c r="AD185" i="64"/>
  <c r="AB185" i="64"/>
  <c r="Q185" i="64"/>
  <c r="N185" i="64"/>
  <c r="O185" i="64" s="1"/>
  <c r="D185" i="64"/>
  <c r="AA185" i="64" s="1"/>
  <c r="AE184" i="64"/>
  <c r="AD184" i="64"/>
  <c r="AB184" i="64"/>
  <c r="Q184" i="64"/>
  <c r="N184" i="64"/>
  <c r="O184" i="64" s="1"/>
  <c r="D184" i="64"/>
  <c r="AA184" i="64" s="1"/>
  <c r="AE183" i="64"/>
  <c r="AD183" i="64"/>
  <c r="AB183" i="64"/>
  <c r="Q183" i="64"/>
  <c r="N183" i="64"/>
  <c r="O183" i="64" s="1"/>
  <c r="D183" i="64"/>
  <c r="AE182" i="64"/>
  <c r="AD182" i="64"/>
  <c r="AB182" i="64"/>
  <c r="Q182" i="64"/>
  <c r="N182" i="64"/>
  <c r="O182" i="64" s="1"/>
  <c r="D182" i="64"/>
  <c r="AA182" i="64" s="1"/>
  <c r="AE181" i="64"/>
  <c r="AD181" i="64"/>
  <c r="AB181" i="64"/>
  <c r="Q181" i="64"/>
  <c r="N181" i="64"/>
  <c r="O181" i="64" s="1"/>
  <c r="D181" i="64"/>
  <c r="AA181" i="64" s="1"/>
  <c r="AE180" i="64"/>
  <c r="AD180" i="64"/>
  <c r="AB180" i="64"/>
  <c r="Q180" i="64"/>
  <c r="N180" i="64"/>
  <c r="O180" i="64" s="1"/>
  <c r="D180" i="64"/>
  <c r="I180" i="64" s="1"/>
  <c r="AC180" i="64" s="1"/>
  <c r="AE179" i="64"/>
  <c r="AD179" i="64"/>
  <c r="AB179" i="64"/>
  <c r="Q179" i="64"/>
  <c r="N179" i="64"/>
  <c r="O179" i="64" s="1"/>
  <c r="D179" i="64"/>
  <c r="AE178" i="64"/>
  <c r="AD178" i="64"/>
  <c r="AB178" i="64"/>
  <c r="Q178" i="64"/>
  <c r="N178" i="64"/>
  <c r="O178" i="64" s="1"/>
  <c r="D178" i="64"/>
  <c r="AA178" i="64" s="1"/>
  <c r="AE177" i="64"/>
  <c r="AD177" i="64"/>
  <c r="AB177" i="64"/>
  <c r="Q177" i="64"/>
  <c r="N177" i="64"/>
  <c r="O177" i="64" s="1"/>
  <c r="D177" i="64"/>
  <c r="AE176" i="64"/>
  <c r="AD176" i="64"/>
  <c r="AB176" i="64"/>
  <c r="Q176" i="64"/>
  <c r="N176" i="64"/>
  <c r="O176" i="64" s="1"/>
  <c r="D176" i="64"/>
  <c r="AA176" i="64" s="1"/>
  <c r="B18" i="63"/>
  <c r="AE169" i="64"/>
  <c r="AD169" i="64"/>
  <c r="AB169" i="64"/>
  <c r="Q169" i="64"/>
  <c r="N169" i="64"/>
  <c r="O169" i="64" s="1"/>
  <c r="D169" i="64"/>
  <c r="AA169" i="64" s="1"/>
  <c r="AE168" i="64"/>
  <c r="AD168" i="64"/>
  <c r="AB168" i="64"/>
  <c r="Q168" i="64"/>
  <c r="N168" i="64"/>
  <c r="O168" i="64" s="1"/>
  <c r="D168" i="64"/>
  <c r="AE167" i="64"/>
  <c r="AD167" i="64"/>
  <c r="AB167" i="64"/>
  <c r="Q167" i="64"/>
  <c r="N167" i="64"/>
  <c r="O167" i="64" s="1"/>
  <c r="D167" i="64"/>
  <c r="I167" i="64" s="1"/>
  <c r="AC167" i="64" s="1"/>
  <c r="AE166" i="64"/>
  <c r="AD166" i="64"/>
  <c r="AB166" i="64"/>
  <c r="Q166" i="64"/>
  <c r="N166" i="64"/>
  <c r="O166" i="64" s="1"/>
  <c r="D166" i="64"/>
  <c r="AE165" i="64"/>
  <c r="AD165" i="64"/>
  <c r="AB165" i="64"/>
  <c r="Q165" i="64"/>
  <c r="N165" i="64"/>
  <c r="O165" i="64" s="1"/>
  <c r="D165" i="64"/>
  <c r="AE164" i="64"/>
  <c r="AD164" i="64"/>
  <c r="AB164" i="64"/>
  <c r="Q164" i="64"/>
  <c r="N164" i="64"/>
  <c r="O164" i="64" s="1"/>
  <c r="D164" i="64"/>
  <c r="I164" i="64" s="1"/>
  <c r="AC164" i="64" s="1"/>
  <c r="AE163" i="64"/>
  <c r="AD163" i="64"/>
  <c r="AB163" i="64"/>
  <c r="Q163" i="64"/>
  <c r="N163" i="64"/>
  <c r="O163" i="64" s="1"/>
  <c r="D163" i="64"/>
  <c r="I163" i="64" s="1"/>
  <c r="AC163" i="64" s="1"/>
  <c r="AE162" i="64"/>
  <c r="AD162" i="64"/>
  <c r="AB162" i="64"/>
  <c r="Q162" i="64"/>
  <c r="N162" i="64"/>
  <c r="O162" i="64" s="1"/>
  <c r="D162" i="64"/>
  <c r="AE161" i="64"/>
  <c r="AD161" i="64"/>
  <c r="AB161" i="64"/>
  <c r="Q161" i="64"/>
  <c r="N161" i="64"/>
  <c r="O161" i="64" s="1"/>
  <c r="D161" i="64"/>
  <c r="AA161" i="64" s="1"/>
  <c r="AE160" i="64"/>
  <c r="AD160" i="64"/>
  <c r="AB160" i="64"/>
  <c r="Q160" i="64"/>
  <c r="N160" i="64"/>
  <c r="D160" i="64"/>
  <c r="AE159" i="64"/>
  <c r="AD159" i="64"/>
  <c r="AB159" i="64"/>
  <c r="Q159" i="64"/>
  <c r="N159" i="64"/>
  <c r="O159" i="64" s="1"/>
  <c r="D159" i="64"/>
  <c r="I159" i="64" s="1"/>
  <c r="AC159" i="64" s="1"/>
  <c r="AE158" i="64"/>
  <c r="AD158" i="64"/>
  <c r="AB158" i="64"/>
  <c r="Q158" i="64"/>
  <c r="N158" i="64"/>
  <c r="O158" i="64" s="1"/>
  <c r="D158" i="64"/>
  <c r="AE157" i="64"/>
  <c r="AD157" i="64"/>
  <c r="AB157" i="64"/>
  <c r="Q157" i="64"/>
  <c r="N157" i="64"/>
  <c r="O157" i="64" s="1"/>
  <c r="D157" i="64"/>
  <c r="AA157" i="64" s="1"/>
  <c r="AE156" i="64"/>
  <c r="AD156" i="64"/>
  <c r="AB156" i="64"/>
  <c r="Q156" i="64"/>
  <c r="N156" i="64"/>
  <c r="O156" i="64" s="1"/>
  <c r="D156" i="64"/>
  <c r="I156" i="64" s="1"/>
  <c r="AC156" i="64" s="1"/>
  <c r="L150" i="64"/>
  <c r="L152" i="64" s="1"/>
  <c r="B17" i="63" s="1"/>
  <c r="AE146" i="64"/>
  <c r="AD146" i="64"/>
  <c r="AB146" i="64"/>
  <c r="Q146" i="64"/>
  <c r="N146" i="64"/>
  <c r="O146" i="64" s="1"/>
  <c r="D146" i="64"/>
  <c r="AE145" i="64"/>
  <c r="AD145" i="64"/>
  <c r="AB145" i="64"/>
  <c r="Q145" i="64"/>
  <c r="N145" i="64"/>
  <c r="O145" i="64" s="1"/>
  <c r="D145" i="64"/>
  <c r="AA145" i="64" s="1"/>
  <c r="AE144" i="64"/>
  <c r="AD144" i="64"/>
  <c r="AB144" i="64"/>
  <c r="Q144" i="64"/>
  <c r="N144" i="64"/>
  <c r="O144" i="64" s="1"/>
  <c r="D144" i="64"/>
  <c r="AA144" i="64" s="1"/>
  <c r="AE143" i="64"/>
  <c r="AD143" i="64"/>
  <c r="AB143" i="64"/>
  <c r="Q143" i="64"/>
  <c r="N143" i="64"/>
  <c r="O143" i="64" s="1"/>
  <c r="D143" i="64"/>
  <c r="I143" i="64" s="1"/>
  <c r="AC143" i="64" s="1"/>
  <c r="AE142" i="64"/>
  <c r="AD142" i="64"/>
  <c r="AB142" i="64"/>
  <c r="Q142" i="64"/>
  <c r="N142" i="64"/>
  <c r="O142" i="64" s="1"/>
  <c r="D142" i="64"/>
  <c r="AA142" i="64" s="1"/>
  <c r="AE141" i="64"/>
  <c r="AD141" i="64"/>
  <c r="AB141" i="64"/>
  <c r="Q141" i="64"/>
  <c r="N141" i="64"/>
  <c r="N148" i="64" s="1"/>
  <c r="N150" i="64" s="1"/>
  <c r="N152" i="64" s="1"/>
  <c r="D17" i="63" s="1"/>
  <c r="D141" i="64"/>
  <c r="I141" i="64" s="1"/>
  <c r="AC141" i="64" s="1"/>
  <c r="L138" i="64"/>
  <c r="B16" i="63" s="1"/>
  <c r="AE134" i="64"/>
  <c r="AD134" i="64"/>
  <c r="AB134" i="64"/>
  <c r="Q134" i="64"/>
  <c r="N134" i="64"/>
  <c r="O134" i="64" s="1"/>
  <c r="D134" i="64"/>
  <c r="AA134" i="64" s="1"/>
  <c r="AE133" i="64"/>
  <c r="AD133" i="64"/>
  <c r="AB133" i="64"/>
  <c r="Q133" i="64"/>
  <c r="N133" i="64"/>
  <c r="O133" i="64" s="1"/>
  <c r="D133" i="64"/>
  <c r="I133" i="64" s="1"/>
  <c r="AC133" i="64" s="1"/>
  <c r="AE132" i="64"/>
  <c r="AD132" i="64"/>
  <c r="AB132" i="64"/>
  <c r="Q132" i="64"/>
  <c r="N132" i="64"/>
  <c r="O132" i="64" s="1"/>
  <c r="D132" i="64"/>
  <c r="I132" i="64" s="1"/>
  <c r="AC132" i="64" s="1"/>
  <c r="AE131" i="64"/>
  <c r="AD131" i="64"/>
  <c r="AB131" i="64"/>
  <c r="Q131" i="64"/>
  <c r="N131" i="64"/>
  <c r="O131" i="64" s="1"/>
  <c r="D131" i="64"/>
  <c r="AA131" i="64" s="1"/>
  <c r="AE130" i="64"/>
  <c r="AD130" i="64"/>
  <c r="AB130" i="64"/>
  <c r="Q130" i="64"/>
  <c r="N130" i="64"/>
  <c r="O130" i="64" s="1"/>
  <c r="D130" i="64"/>
  <c r="I130" i="64" s="1"/>
  <c r="AC130" i="64" s="1"/>
  <c r="AE129" i="64"/>
  <c r="AD129" i="64"/>
  <c r="AB129" i="64"/>
  <c r="Q129" i="64"/>
  <c r="N129" i="64"/>
  <c r="O129" i="64" s="1"/>
  <c r="D129" i="64"/>
  <c r="AE128" i="64"/>
  <c r="AD128" i="64"/>
  <c r="AB128" i="64"/>
  <c r="Q128" i="64"/>
  <c r="N128" i="64"/>
  <c r="O128" i="64" s="1"/>
  <c r="I128" i="64"/>
  <c r="AC128" i="64" s="1"/>
  <c r="D128" i="64"/>
  <c r="AA128" i="64" s="1"/>
  <c r="AE126" i="64"/>
  <c r="AD126" i="64"/>
  <c r="AB126" i="64"/>
  <c r="Q126" i="64"/>
  <c r="N126" i="64"/>
  <c r="O126" i="64" s="1"/>
  <c r="D126" i="64"/>
  <c r="AA126" i="64" s="1"/>
  <c r="AE125" i="64"/>
  <c r="AD125" i="64"/>
  <c r="AB125" i="64"/>
  <c r="Q125" i="64"/>
  <c r="N125" i="64"/>
  <c r="O125" i="64" s="1"/>
  <c r="D125" i="64"/>
  <c r="AA125" i="64" s="1"/>
  <c r="AE124" i="64"/>
  <c r="AD124" i="64"/>
  <c r="AB124" i="64"/>
  <c r="Q124" i="64"/>
  <c r="N124" i="64"/>
  <c r="O124" i="64" s="1"/>
  <c r="D124" i="64"/>
  <c r="AE123" i="64"/>
  <c r="AD123" i="64"/>
  <c r="AB123" i="64"/>
  <c r="Q123" i="64"/>
  <c r="N123" i="64"/>
  <c r="O123" i="64" s="1"/>
  <c r="D123" i="64"/>
  <c r="AA123" i="64" s="1"/>
  <c r="AE122" i="64"/>
  <c r="AD122" i="64"/>
  <c r="AB122" i="64"/>
  <c r="Q122" i="64"/>
  <c r="N122" i="64"/>
  <c r="O122" i="64" s="1"/>
  <c r="D122" i="64"/>
  <c r="I122" i="64" s="1"/>
  <c r="AC122" i="64" s="1"/>
  <c r="AE121" i="64"/>
  <c r="AD121" i="64"/>
  <c r="AB121" i="64"/>
  <c r="Q121" i="64"/>
  <c r="N121" i="64"/>
  <c r="O121" i="64" s="1"/>
  <c r="D121" i="64"/>
  <c r="AA121" i="64" s="1"/>
  <c r="AE120" i="64"/>
  <c r="AD120" i="64"/>
  <c r="AB120" i="64"/>
  <c r="Q120" i="64"/>
  <c r="N120" i="64"/>
  <c r="O120" i="64" s="1"/>
  <c r="D120" i="64"/>
  <c r="I120" i="64" s="1"/>
  <c r="AC120" i="64" s="1"/>
  <c r="AE119" i="64"/>
  <c r="AD119" i="64"/>
  <c r="AB119" i="64"/>
  <c r="Q119" i="64"/>
  <c r="N119" i="64"/>
  <c r="O119" i="64" s="1"/>
  <c r="D119" i="64"/>
  <c r="AA119" i="64" s="1"/>
  <c r="AE118" i="64"/>
  <c r="AD118" i="64"/>
  <c r="AB118" i="64"/>
  <c r="Q118" i="64"/>
  <c r="N118" i="64"/>
  <c r="O118" i="64" s="1"/>
  <c r="D118" i="64"/>
  <c r="AE117" i="64"/>
  <c r="AD117" i="64"/>
  <c r="AB117" i="64"/>
  <c r="Q117" i="64"/>
  <c r="N117" i="64"/>
  <c r="O117" i="64" s="1"/>
  <c r="D117" i="64"/>
  <c r="AA117" i="64" s="1"/>
  <c r="AE116" i="64"/>
  <c r="AD116" i="64"/>
  <c r="AB116" i="64"/>
  <c r="Q116" i="64"/>
  <c r="N116" i="64"/>
  <c r="O116" i="64" s="1"/>
  <c r="D116" i="64"/>
  <c r="AA116" i="64" s="1"/>
  <c r="AE115" i="64"/>
  <c r="AD115" i="64"/>
  <c r="AB115" i="64"/>
  <c r="Q115" i="64"/>
  <c r="N115" i="64"/>
  <c r="O115" i="64" s="1"/>
  <c r="D115" i="64"/>
  <c r="I115" i="64" s="1"/>
  <c r="AC115" i="64" s="1"/>
  <c r="AE114" i="64"/>
  <c r="AD114" i="64"/>
  <c r="AB114" i="64"/>
  <c r="Q114" i="64"/>
  <c r="N114" i="64"/>
  <c r="O114" i="64" s="1"/>
  <c r="D114" i="64"/>
  <c r="I114" i="64" s="1"/>
  <c r="AC114" i="64" s="1"/>
  <c r="AE113" i="64"/>
  <c r="AD113" i="64"/>
  <c r="AB113" i="64"/>
  <c r="Q113" i="64"/>
  <c r="N113" i="64"/>
  <c r="O113" i="64" s="1"/>
  <c r="D113" i="64"/>
  <c r="AE112" i="64"/>
  <c r="AD112" i="64"/>
  <c r="AB112" i="64"/>
  <c r="Q112" i="64"/>
  <c r="N112" i="64"/>
  <c r="O112" i="64" s="1"/>
  <c r="D112" i="64"/>
  <c r="I112" i="64" s="1"/>
  <c r="AC112" i="64" s="1"/>
  <c r="AE111" i="64"/>
  <c r="AD111" i="64"/>
  <c r="AB111" i="64"/>
  <c r="Q111" i="64"/>
  <c r="N111" i="64"/>
  <c r="O111" i="64" s="1"/>
  <c r="D111" i="64"/>
  <c r="I111" i="64" s="1"/>
  <c r="AC111" i="64" s="1"/>
  <c r="AE110" i="64"/>
  <c r="AD110" i="64"/>
  <c r="AB110" i="64"/>
  <c r="Q110" i="64"/>
  <c r="N110" i="64"/>
  <c r="O110" i="64" s="1"/>
  <c r="D110" i="64"/>
  <c r="I110" i="64" s="1"/>
  <c r="AC110" i="64" s="1"/>
  <c r="AE109" i="64"/>
  <c r="AD109" i="64"/>
  <c r="AB109" i="64"/>
  <c r="Q109" i="64"/>
  <c r="N109" i="64"/>
  <c r="O109" i="64" s="1"/>
  <c r="D109" i="64"/>
  <c r="I109" i="64" s="1"/>
  <c r="AC109" i="64" s="1"/>
  <c r="AE108" i="64"/>
  <c r="AD108" i="64"/>
  <c r="AB108" i="64"/>
  <c r="Q108" i="64"/>
  <c r="N108" i="64"/>
  <c r="O108" i="64" s="1"/>
  <c r="D108" i="64"/>
  <c r="AA108" i="64" s="1"/>
  <c r="AE107" i="64"/>
  <c r="AD107" i="64"/>
  <c r="AB107" i="64"/>
  <c r="Q107" i="64"/>
  <c r="N107" i="64"/>
  <c r="O107" i="64" s="1"/>
  <c r="D107" i="64"/>
  <c r="L104" i="64"/>
  <c r="B15" i="63" s="1"/>
  <c r="AE99" i="64"/>
  <c r="AD99" i="64"/>
  <c r="AB99" i="64"/>
  <c r="Q99" i="64"/>
  <c r="N99" i="64"/>
  <c r="O99" i="64" s="1"/>
  <c r="D99" i="64"/>
  <c r="AA99" i="64" s="1"/>
  <c r="AE98" i="64"/>
  <c r="AD98" i="64"/>
  <c r="AB98" i="64"/>
  <c r="Q98" i="64"/>
  <c r="N98" i="64"/>
  <c r="O98" i="64" s="1"/>
  <c r="I98" i="64"/>
  <c r="AC98" i="64" s="1"/>
  <c r="D98" i="64"/>
  <c r="AA98" i="64" s="1"/>
  <c r="U98" i="64" s="1"/>
  <c r="N96" i="64"/>
  <c r="O96" i="64" s="1"/>
  <c r="D96" i="64"/>
  <c r="AE94" i="64"/>
  <c r="AD94" i="64"/>
  <c r="AB94" i="64"/>
  <c r="Q94" i="64"/>
  <c r="N94" i="64"/>
  <c r="O94" i="64" s="1"/>
  <c r="D94" i="64"/>
  <c r="I94" i="64" s="1"/>
  <c r="AC94" i="64" s="1"/>
  <c r="AE93" i="64"/>
  <c r="AD93" i="64"/>
  <c r="AB93" i="64"/>
  <c r="Q93" i="64"/>
  <c r="N93" i="64"/>
  <c r="O93" i="64" s="1"/>
  <c r="D93" i="64"/>
  <c r="AE92" i="64"/>
  <c r="AD92" i="64"/>
  <c r="AB92" i="64"/>
  <c r="Q92" i="64"/>
  <c r="N92" i="64"/>
  <c r="O92" i="64" s="1"/>
  <c r="D92" i="64"/>
  <c r="AA92" i="64" s="1"/>
  <c r="AE91" i="64"/>
  <c r="AD91" i="64"/>
  <c r="AB91" i="64"/>
  <c r="Q91" i="64"/>
  <c r="N91" i="64"/>
  <c r="O91" i="64" s="1"/>
  <c r="D91" i="64"/>
  <c r="I91" i="64" s="1"/>
  <c r="AC91" i="64" s="1"/>
  <c r="AE90" i="64"/>
  <c r="AD90" i="64"/>
  <c r="AB90" i="64"/>
  <c r="Q90" i="64"/>
  <c r="N90" i="64"/>
  <c r="O90" i="64" s="1"/>
  <c r="D90" i="64"/>
  <c r="I90" i="64" s="1"/>
  <c r="AC90" i="64" s="1"/>
  <c r="AE89" i="64"/>
  <c r="AD89" i="64"/>
  <c r="AB89" i="64"/>
  <c r="Q89" i="64"/>
  <c r="N89" i="64"/>
  <c r="O89" i="64" s="1"/>
  <c r="D89" i="64"/>
  <c r="I89" i="64" s="1"/>
  <c r="AC89" i="64" s="1"/>
  <c r="AE88" i="64"/>
  <c r="AD88" i="64"/>
  <c r="AB88" i="64"/>
  <c r="Q88" i="64"/>
  <c r="N88" i="64"/>
  <c r="O88" i="64" s="1"/>
  <c r="D88" i="64"/>
  <c r="AA88" i="64" s="1"/>
  <c r="AE87" i="64"/>
  <c r="AD87" i="64"/>
  <c r="AB87" i="64"/>
  <c r="Q87" i="64"/>
  <c r="N87" i="64"/>
  <c r="O87" i="64" s="1"/>
  <c r="D87" i="64"/>
  <c r="AE86" i="64"/>
  <c r="AD86" i="64"/>
  <c r="AB86" i="64"/>
  <c r="Q86" i="64"/>
  <c r="N86" i="64"/>
  <c r="O86" i="64" s="1"/>
  <c r="D86" i="64"/>
  <c r="I86" i="64" s="1"/>
  <c r="AC86" i="64" s="1"/>
  <c r="AE85" i="64"/>
  <c r="AD85" i="64"/>
  <c r="AB85" i="64"/>
  <c r="Q85" i="64"/>
  <c r="N85" i="64"/>
  <c r="O85" i="64" s="1"/>
  <c r="D85" i="64"/>
  <c r="I85" i="64" s="1"/>
  <c r="AC85" i="64" s="1"/>
  <c r="AE84" i="64"/>
  <c r="AD84" i="64"/>
  <c r="AB84" i="64"/>
  <c r="Q84" i="64"/>
  <c r="N84" i="64"/>
  <c r="O84" i="64" s="1"/>
  <c r="D84" i="64"/>
  <c r="I84" i="64" s="1"/>
  <c r="AC84" i="64" s="1"/>
  <c r="AE83" i="64"/>
  <c r="AD83" i="64"/>
  <c r="AB83" i="64"/>
  <c r="Q83" i="64"/>
  <c r="N83" i="64"/>
  <c r="O83" i="64" s="1"/>
  <c r="D83" i="64"/>
  <c r="I83" i="64" s="1"/>
  <c r="AC83" i="64" s="1"/>
  <c r="AE82" i="64"/>
  <c r="AD82" i="64"/>
  <c r="AB82" i="64"/>
  <c r="Q82" i="64"/>
  <c r="N82" i="64"/>
  <c r="O82" i="64" s="1"/>
  <c r="D82" i="64"/>
  <c r="AA82" i="64" s="1"/>
  <c r="AE81" i="64"/>
  <c r="AD81" i="64"/>
  <c r="AB81" i="64"/>
  <c r="Q81" i="64"/>
  <c r="N81" i="64"/>
  <c r="O81" i="64" s="1"/>
  <c r="D81" i="64"/>
  <c r="AE80" i="64"/>
  <c r="AD80" i="64"/>
  <c r="AB80" i="64"/>
  <c r="Q80" i="64"/>
  <c r="N80" i="64"/>
  <c r="O80" i="64" s="1"/>
  <c r="D80" i="64"/>
  <c r="AA80" i="64" s="1"/>
  <c r="AE79" i="64"/>
  <c r="AD79" i="64"/>
  <c r="AB79" i="64"/>
  <c r="Q79" i="64"/>
  <c r="N79" i="64"/>
  <c r="O79" i="64" s="1"/>
  <c r="D79" i="64"/>
  <c r="I79" i="64" s="1"/>
  <c r="AC79" i="64" s="1"/>
  <c r="AE78" i="64"/>
  <c r="AD78" i="64"/>
  <c r="AB78" i="64"/>
  <c r="Q78" i="64"/>
  <c r="N78" i="64"/>
  <c r="O78" i="64" s="1"/>
  <c r="D78" i="64"/>
  <c r="I78" i="64" s="1"/>
  <c r="AC78" i="64" s="1"/>
  <c r="AE77" i="64"/>
  <c r="AD77" i="64"/>
  <c r="AB77" i="64"/>
  <c r="Q77" i="64"/>
  <c r="N77" i="64"/>
  <c r="O77" i="64" s="1"/>
  <c r="D77" i="64"/>
  <c r="I77" i="64" s="1"/>
  <c r="AC77" i="64" s="1"/>
  <c r="AE76" i="64"/>
  <c r="AD76" i="64"/>
  <c r="AB76" i="64"/>
  <c r="Q76" i="64"/>
  <c r="N76" i="64"/>
  <c r="O76" i="64" s="1"/>
  <c r="D76" i="64"/>
  <c r="I76" i="64" s="1"/>
  <c r="AC76" i="64" s="1"/>
  <c r="AE75" i="64"/>
  <c r="AD75" i="64"/>
  <c r="AB75" i="64"/>
  <c r="Q75" i="64"/>
  <c r="N75" i="64"/>
  <c r="O75" i="64" s="1"/>
  <c r="D75" i="64"/>
  <c r="AE74" i="64"/>
  <c r="AD74" i="64"/>
  <c r="AB74" i="64"/>
  <c r="Q74" i="64"/>
  <c r="N74" i="64"/>
  <c r="O74" i="64" s="1"/>
  <c r="D74" i="64"/>
  <c r="AA74" i="64" s="1"/>
  <c r="AE73" i="64"/>
  <c r="AD73" i="64"/>
  <c r="AB73" i="64"/>
  <c r="Q73" i="64"/>
  <c r="N73" i="64"/>
  <c r="O73" i="64" s="1"/>
  <c r="D73" i="64"/>
  <c r="I73" i="64" s="1"/>
  <c r="AC73" i="64" s="1"/>
  <c r="AE72" i="64"/>
  <c r="AD72" i="64"/>
  <c r="AB72" i="64"/>
  <c r="Q72" i="64"/>
  <c r="N72" i="64"/>
  <c r="O72" i="64" s="1"/>
  <c r="D72" i="64"/>
  <c r="I72" i="64" s="1"/>
  <c r="AC72" i="64" s="1"/>
  <c r="AE71" i="64"/>
  <c r="AD71" i="64"/>
  <c r="AB71" i="64"/>
  <c r="Q71" i="64"/>
  <c r="N71" i="64"/>
  <c r="O71" i="64" s="1"/>
  <c r="D71" i="64"/>
  <c r="AA71" i="64" s="1"/>
  <c r="AE70" i="64"/>
  <c r="AD70" i="64"/>
  <c r="AB70" i="64"/>
  <c r="Q70" i="64"/>
  <c r="N70" i="64"/>
  <c r="O70" i="64" s="1"/>
  <c r="D70" i="64"/>
  <c r="I70" i="64" s="1"/>
  <c r="AC70" i="64" s="1"/>
  <c r="AE69" i="64"/>
  <c r="AD69" i="64"/>
  <c r="AB69" i="64"/>
  <c r="Q69" i="64"/>
  <c r="N69" i="64"/>
  <c r="O69" i="64" s="1"/>
  <c r="D69" i="64"/>
  <c r="I69" i="64" s="1"/>
  <c r="AC69" i="64" s="1"/>
  <c r="AE68" i="64"/>
  <c r="AD68" i="64"/>
  <c r="AB68" i="64"/>
  <c r="Q68" i="64"/>
  <c r="N68" i="64"/>
  <c r="O68" i="64" s="1"/>
  <c r="D68" i="64"/>
  <c r="I68" i="64" s="1"/>
  <c r="AC68" i="64" s="1"/>
  <c r="AE67" i="64"/>
  <c r="AD67" i="64"/>
  <c r="AB67" i="64"/>
  <c r="Q67" i="64"/>
  <c r="N67" i="64"/>
  <c r="O67" i="64" s="1"/>
  <c r="D67" i="64"/>
  <c r="I67" i="64" s="1"/>
  <c r="AC67" i="64" s="1"/>
  <c r="AE66" i="64"/>
  <c r="AD66" i="64"/>
  <c r="AB66" i="64"/>
  <c r="Q66" i="64"/>
  <c r="N66" i="64"/>
  <c r="O66" i="64" s="1"/>
  <c r="D66" i="64"/>
  <c r="AE65" i="64"/>
  <c r="AD65" i="64"/>
  <c r="AB65" i="64"/>
  <c r="Q65" i="64"/>
  <c r="N65" i="64"/>
  <c r="O65" i="64" s="1"/>
  <c r="I65" i="64"/>
  <c r="AC65" i="64" s="1"/>
  <c r="D65" i="64"/>
  <c r="AA65" i="64" s="1"/>
  <c r="AE64" i="64"/>
  <c r="AD64" i="64"/>
  <c r="AB64" i="64"/>
  <c r="Q64" i="64"/>
  <c r="N64" i="64"/>
  <c r="O64" i="64" s="1"/>
  <c r="D64" i="64"/>
  <c r="I64" i="64" s="1"/>
  <c r="AC64" i="64" s="1"/>
  <c r="AE63" i="64"/>
  <c r="AD63" i="64"/>
  <c r="AB63" i="64"/>
  <c r="Q63" i="64"/>
  <c r="N63" i="64"/>
  <c r="O63" i="64" s="1"/>
  <c r="D63" i="64"/>
  <c r="I63" i="64" s="1"/>
  <c r="AC63" i="64" s="1"/>
  <c r="AE62" i="64"/>
  <c r="AD62" i="64"/>
  <c r="AB62" i="64"/>
  <c r="Q62" i="64"/>
  <c r="N62" i="64"/>
  <c r="O62" i="64" s="1"/>
  <c r="D62" i="64"/>
  <c r="AA62" i="64" s="1"/>
  <c r="AE61" i="64"/>
  <c r="AD61" i="64"/>
  <c r="AB61" i="64"/>
  <c r="Q61" i="64"/>
  <c r="N61" i="64"/>
  <c r="O61" i="64" s="1"/>
  <c r="D61" i="64"/>
  <c r="I61" i="64" s="1"/>
  <c r="AC61" i="64" s="1"/>
  <c r="AE60" i="64"/>
  <c r="AD60" i="64"/>
  <c r="AB60" i="64"/>
  <c r="Q60" i="64"/>
  <c r="N60" i="64"/>
  <c r="O60" i="64" s="1"/>
  <c r="D60" i="64"/>
  <c r="AE59" i="64"/>
  <c r="AD59" i="64"/>
  <c r="AB59" i="64"/>
  <c r="Q59" i="64"/>
  <c r="N59" i="64"/>
  <c r="O59" i="64" s="1"/>
  <c r="D59" i="64"/>
  <c r="AA59" i="64" s="1"/>
  <c r="AE58" i="64"/>
  <c r="AD58" i="64"/>
  <c r="AB58" i="64"/>
  <c r="Q58" i="64"/>
  <c r="N58" i="64"/>
  <c r="O58" i="64" s="1"/>
  <c r="D58" i="64"/>
  <c r="I58" i="64" s="1"/>
  <c r="AC58" i="64" s="1"/>
  <c r="AE57" i="64"/>
  <c r="AD57" i="64"/>
  <c r="AB57" i="64"/>
  <c r="Q57" i="64"/>
  <c r="N57" i="64"/>
  <c r="O57" i="64" s="1"/>
  <c r="D57" i="64"/>
  <c r="I57" i="64" s="1"/>
  <c r="AC57" i="64" s="1"/>
  <c r="AE56" i="64"/>
  <c r="AD56" i="64"/>
  <c r="AB56" i="64"/>
  <c r="Q56" i="64"/>
  <c r="N56" i="64"/>
  <c r="O56" i="64" s="1"/>
  <c r="D56" i="64"/>
  <c r="AA56" i="64" s="1"/>
  <c r="AE55" i="64"/>
  <c r="AD55" i="64"/>
  <c r="AB55" i="64"/>
  <c r="Q55" i="64"/>
  <c r="N55" i="64"/>
  <c r="O55" i="64" s="1"/>
  <c r="D55" i="64"/>
  <c r="AA55" i="64" s="1"/>
  <c r="AE54" i="64"/>
  <c r="AD54" i="64"/>
  <c r="AB54" i="64"/>
  <c r="Q54" i="64"/>
  <c r="N54" i="64"/>
  <c r="O54" i="64" s="1"/>
  <c r="D54" i="64"/>
  <c r="AE53" i="64"/>
  <c r="AD53" i="64"/>
  <c r="AB53" i="64"/>
  <c r="Q53" i="64"/>
  <c r="N53" i="64"/>
  <c r="O53" i="64" s="1"/>
  <c r="D53" i="64"/>
  <c r="I53" i="64" s="1"/>
  <c r="AC53" i="64" s="1"/>
  <c r="AE52" i="64"/>
  <c r="AD52" i="64"/>
  <c r="AB52" i="64"/>
  <c r="Q52" i="64"/>
  <c r="N52" i="64"/>
  <c r="O52" i="64" s="1"/>
  <c r="D52" i="64"/>
  <c r="I52" i="64" s="1"/>
  <c r="AC52" i="64" s="1"/>
  <c r="AE51" i="64"/>
  <c r="AD51" i="64"/>
  <c r="AB51" i="64"/>
  <c r="Q51" i="64"/>
  <c r="N51" i="64"/>
  <c r="O51" i="64" s="1"/>
  <c r="D51" i="64"/>
  <c r="AA51" i="64" s="1"/>
  <c r="AE50" i="64"/>
  <c r="AD50" i="64"/>
  <c r="AB50" i="64"/>
  <c r="Q50" i="64"/>
  <c r="N50" i="64"/>
  <c r="O50" i="64" s="1"/>
  <c r="D50" i="64"/>
  <c r="AA50" i="64" s="1"/>
  <c r="AE49" i="64"/>
  <c r="AD49" i="64"/>
  <c r="AB49" i="64"/>
  <c r="Q49" i="64"/>
  <c r="N49" i="64"/>
  <c r="O49" i="64" s="1"/>
  <c r="D49" i="64"/>
  <c r="AA49" i="64" s="1"/>
  <c r="AE48" i="64"/>
  <c r="AD48" i="64"/>
  <c r="AB48" i="64"/>
  <c r="Q48" i="64"/>
  <c r="N48" i="64"/>
  <c r="O48" i="64" s="1"/>
  <c r="D48" i="64"/>
  <c r="AE47" i="64"/>
  <c r="AD47" i="64"/>
  <c r="AB47" i="64"/>
  <c r="Q47" i="64"/>
  <c r="N47" i="64"/>
  <c r="O47" i="64" s="1"/>
  <c r="D47" i="64"/>
  <c r="I47" i="64" s="1"/>
  <c r="AC47" i="64" s="1"/>
  <c r="AE46" i="64"/>
  <c r="AD46" i="64"/>
  <c r="AB46" i="64"/>
  <c r="Q46" i="64"/>
  <c r="N46" i="64"/>
  <c r="O46" i="64" s="1"/>
  <c r="D46" i="64"/>
  <c r="I46" i="64" s="1"/>
  <c r="AC46" i="64" s="1"/>
  <c r="AE45" i="64"/>
  <c r="AD45" i="64"/>
  <c r="AB45" i="64"/>
  <c r="Q45" i="64"/>
  <c r="N45" i="64"/>
  <c r="O45" i="64" s="1"/>
  <c r="D45" i="64"/>
  <c r="AA45" i="64" s="1"/>
  <c r="AE44" i="64"/>
  <c r="AD44" i="64"/>
  <c r="AB44" i="64"/>
  <c r="Q44" i="64"/>
  <c r="N44" i="64"/>
  <c r="O44" i="64" s="1"/>
  <c r="D44" i="64"/>
  <c r="AA44" i="64" s="1"/>
  <c r="AE43" i="64"/>
  <c r="AD43" i="64"/>
  <c r="AB43" i="64"/>
  <c r="Q43" i="64"/>
  <c r="N43" i="64"/>
  <c r="O43" i="64" s="1"/>
  <c r="D43" i="64"/>
  <c r="I43" i="64" s="1"/>
  <c r="AC43" i="64" s="1"/>
  <c r="AE42" i="64"/>
  <c r="AD42" i="64"/>
  <c r="AB42" i="64"/>
  <c r="Q42" i="64"/>
  <c r="N42" i="64"/>
  <c r="O42" i="64" s="1"/>
  <c r="D42" i="64"/>
  <c r="I42" i="64" s="1"/>
  <c r="AC42" i="64" s="1"/>
  <c r="AE41" i="64"/>
  <c r="AD41" i="64"/>
  <c r="AB41" i="64"/>
  <c r="Q41" i="64"/>
  <c r="N41" i="64"/>
  <c r="O41" i="64" s="1"/>
  <c r="D41" i="64"/>
  <c r="I41" i="64" s="1"/>
  <c r="AC41" i="64" s="1"/>
  <c r="AE40" i="64"/>
  <c r="AD40" i="64"/>
  <c r="AB40" i="64"/>
  <c r="Q40" i="64"/>
  <c r="N40" i="64"/>
  <c r="O40" i="64" s="1"/>
  <c r="D40" i="64"/>
  <c r="AE39" i="64"/>
  <c r="AD39" i="64"/>
  <c r="AB39" i="64"/>
  <c r="Q39" i="64"/>
  <c r="N39" i="64"/>
  <c r="O39" i="64" s="1"/>
  <c r="D39" i="64"/>
  <c r="AA39" i="64" s="1"/>
  <c r="AE38" i="64"/>
  <c r="AD38" i="64"/>
  <c r="AB38" i="64"/>
  <c r="Q38" i="64"/>
  <c r="N38" i="64"/>
  <c r="O38" i="64" s="1"/>
  <c r="D38" i="64"/>
  <c r="I38" i="64" s="1"/>
  <c r="AC38" i="64" s="1"/>
  <c r="AE37" i="64"/>
  <c r="AD37" i="64"/>
  <c r="AB37" i="64"/>
  <c r="Q37" i="64"/>
  <c r="N37" i="64"/>
  <c r="O37" i="64" s="1"/>
  <c r="D37" i="64"/>
  <c r="I37" i="64" s="1"/>
  <c r="AC37" i="64" s="1"/>
  <c r="AE36" i="64"/>
  <c r="AD36" i="64"/>
  <c r="AB36" i="64"/>
  <c r="Q36" i="64"/>
  <c r="N36" i="64"/>
  <c r="O36" i="64" s="1"/>
  <c r="D36" i="64"/>
  <c r="I36" i="64" s="1"/>
  <c r="AC36" i="64" s="1"/>
  <c r="AE35" i="64"/>
  <c r="AD35" i="64"/>
  <c r="AB35" i="64"/>
  <c r="Q35" i="64"/>
  <c r="N35" i="64"/>
  <c r="O35" i="64" s="1"/>
  <c r="D35" i="64"/>
  <c r="AA35" i="64" s="1"/>
  <c r="AE34" i="64"/>
  <c r="AD34" i="64"/>
  <c r="AB34" i="64"/>
  <c r="Q34" i="64"/>
  <c r="N34" i="64"/>
  <c r="O34" i="64" s="1"/>
  <c r="D34" i="64"/>
  <c r="AA34" i="64" s="1"/>
  <c r="AE33" i="64"/>
  <c r="AD33" i="64"/>
  <c r="AB33" i="64"/>
  <c r="Q33" i="64"/>
  <c r="N33" i="64"/>
  <c r="O33" i="64" s="1"/>
  <c r="D33" i="64"/>
  <c r="AE32" i="64"/>
  <c r="AD32" i="64"/>
  <c r="AB32" i="64"/>
  <c r="Q32" i="64"/>
  <c r="N32" i="64"/>
  <c r="O32" i="64" s="1"/>
  <c r="D32" i="64"/>
  <c r="I32" i="64" s="1"/>
  <c r="AC32" i="64" s="1"/>
  <c r="AE31" i="64"/>
  <c r="AD31" i="64"/>
  <c r="AB31" i="64"/>
  <c r="Q31" i="64"/>
  <c r="N31" i="64"/>
  <c r="O31" i="64" s="1"/>
  <c r="D31" i="64"/>
  <c r="I31" i="64" s="1"/>
  <c r="AC31" i="64" s="1"/>
  <c r="AE30" i="64"/>
  <c r="AD30" i="64"/>
  <c r="AB30" i="64"/>
  <c r="Q30" i="64"/>
  <c r="N30" i="64"/>
  <c r="O30" i="64" s="1"/>
  <c r="D30" i="64"/>
  <c r="I30" i="64" s="1"/>
  <c r="AC30" i="64" s="1"/>
  <c r="AE29" i="64"/>
  <c r="AD29" i="64"/>
  <c r="AB29" i="64"/>
  <c r="N29" i="64"/>
  <c r="O29" i="64" s="1"/>
  <c r="D29" i="64"/>
  <c r="AA29" i="64" s="1"/>
  <c r="AE28" i="64"/>
  <c r="AD28" i="64"/>
  <c r="AB28" i="64"/>
  <c r="Q28" i="64"/>
  <c r="N28" i="64"/>
  <c r="O28" i="64" s="1"/>
  <c r="D28" i="64"/>
  <c r="AA28" i="64" s="1"/>
  <c r="AE27" i="64"/>
  <c r="AD27" i="64"/>
  <c r="AB27" i="64"/>
  <c r="Q27" i="64"/>
  <c r="N27" i="64"/>
  <c r="O27" i="64" s="1"/>
  <c r="D27" i="64"/>
  <c r="AE26" i="64"/>
  <c r="AD26" i="64"/>
  <c r="AB26" i="64"/>
  <c r="Q26" i="64"/>
  <c r="N26" i="64"/>
  <c r="O26" i="64" s="1"/>
  <c r="D26" i="64"/>
  <c r="AA26" i="64" s="1"/>
  <c r="AE25" i="64"/>
  <c r="AD25" i="64"/>
  <c r="AB25" i="64"/>
  <c r="Q25" i="64"/>
  <c r="N25" i="64"/>
  <c r="O25" i="64" s="1"/>
  <c r="D25" i="64"/>
  <c r="I25" i="64" s="1"/>
  <c r="AC25" i="64" s="1"/>
  <c r="AE24" i="64"/>
  <c r="AD24" i="64"/>
  <c r="AB24" i="64"/>
  <c r="Q24" i="64"/>
  <c r="N24" i="64"/>
  <c r="O24" i="64" s="1"/>
  <c r="D24" i="64"/>
  <c r="AA24" i="64" s="1"/>
  <c r="AE23" i="64"/>
  <c r="AD23" i="64"/>
  <c r="AB23" i="64"/>
  <c r="Q23" i="64"/>
  <c r="N23" i="64"/>
  <c r="O23" i="64" s="1"/>
  <c r="D23" i="64"/>
  <c r="I23" i="64" s="1"/>
  <c r="AC23" i="64" s="1"/>
  <c r="AE22" i="64"/>
  <c r="AD22" i="64"/>
  <c r="AB22" i="64"/>
  <c r="Q22" i="64"/>
  <c r="N22" i="64"/>
  <c r="O22" i="64" s="1"/>
  <c r="D22" i="64"/>
  <c r="AA22" i="64" s="1"/>
  <c r="AE21" i="64"/>
  <c r="AD21" i="64"/>
  <c r="AB21" i="64"/>
  <c r="Q21" i="64"/>
  <c r="N21" i="64"/>
  <c r="O21" i="64" s="1"/>
  <c r="D21" i="64"/>
  <c r="AE20" i="64"/>
  <c r="AD20" i="64"/>
  <c r="AB20" i="64"/>
  <c r="Q20" i="64"/>
  <c r="N20" i="64"/>
  <c r="O20" i="64" s="1"/>
  <c r="D20" i="64"/>
  <c r="I20" i="64" s="1"/>
  <c r="AC20" i="64" s="1"/>
  <c r="AE19" i="64"/>
  <c r="AD19" i="64"/>
  <c r="AB19" i="64"/>
  <c r="Q19" i="64"/>
  <c r="N19" i="64"/>
  <c r="O19" i="64" s="1"/>
  <c r="D19" i="64"/>
  <c r="AA19" i="64" s="1"/>
  <c r="AE18" i="64"/>
  <c r="AD18" i="64"/>
  <c r="AB18" i="64"/>
  <c r="Q18" i="64"/>
  <c r="N18" i="64"/>
  <c r="D18" i="64"/>
  <c r="I18" i="64" s="1"/>
  <c r="AC18" i="64" s="1"/>
  <c r="AE17" i="64"/>
  <c r="AD17" i="64"/>
  <c r="AB17" i="64"/>
  <c r="Q17" i="64"/>
  <c r="N17" i="64"/>
  <c r="D17" i="64"/>
  <c r="AA17" i="64" s="1"/>
  <c r="B5" i="64"/>
  <c r="O18" i="64" l="1"/>
  <c r="L200" i="64"/>
  <c r="AA23" i="64"/>
  <c r="AA94" i="64"/>
  <c r="U94" i="64" s="1"/>
  <c r="I188" i="64"/>
  <c r="AC188" i="64" s="1"/>
  <c r="N102" i="64"/>
  <c r="AA58" i="64"/>
  <c r="P58" i="64" s="1"/>
  <c r="R58" i="64" s="1"/>
  <c r="I47" i="71"/>
  <c r="I26" i="64"/>
  <c r="AC26" i="64" s="1"/>
  <c r="U26" i="64" s="1"/>
  <c r="I55" i="64"/>
  <c r="AC55" i="64" s="1"/>
  <c r="N200" i="64"/>
  <c r="AA77" i="64"/>
  <c r="P77" i="64" s="1"/>
  <c r="I96" i="64"/>
  <c r="AC96" i="64" s="1"/>
  <c r="AA96" i="64"/>
  <c r="AA167" i="64"/>
  <c r="I181" i="64"/>
  <c r="AC181" i="64" s="1"/>
  <c r="U181" i="64" s="1"/>
  <c r="AA90" i="64"/>
  <c r="P90" i="64" s="1"/>
  <c r="AA37" i="64"/>
  <c r="I49" i="64"/>
  <c r="AC49" i="64" s="1"/>
  <c r="P94" i="64"/>
  <c r="R94" i="64" s="1"/>
  <c r="AA41" i="64"/>
  <c r="AA143" i="64"/>
  <c r="U143" i="64" s="1"/>
  <c r="I161" i="64"/>
  <c r="AC161" i="64" s="1"/>
  <c r="AA202" i="64"/>
  <c r="U202" i="64" s="1"/>
  <c r="I35" i="64"/>
  <c r="AC35" i="64" s="1"/>
  <c r="AA186" i="64"/>
  <c r="U186" i="64" s="1"/>
  <c r="AA79" i="64"/>
  <c r="I50" i="64"/>
  <c r="AC50" i="64" s="1"/>
  <c r="P50" i="64" s="1"/>
  <c r="I51" i="64"/>
  <c r="AC51" i="64" s="1"/>
  <c r="I88" i="64"/>
  <c r="AC88" i="64" s="1"/>
  <c r="I116" i="64"/>
  <c r="AC116" i="64" s="1"/>
  <c r="I184" i="64"/>
  <c r="AC184" i="64" s="1"/>
  <c r="P184" i="64" s="1"/>
  <c r="I17" i="64"/>
  <c r="AC17" i="64" s="1"/>
  <c r="I29" i="64"/>
  <c r="AC29" i="64" s="1"/>
  <c r="U29" i="64" s="1"/>
  <c r="AA69" i="64"/>
  <c r="AA83" i="64"/>
  <c r="P83" i="64" s="1"/>
  <c r="R83" i="64" s="1"/>
  <c r="AA133" i="64"/>
  <c r="AA32" i="64"/>
  <c r="P32" i="64" s="1"/>
  <c r="AA164" i="64"/>
  <c r="I169" i="64"/>
  <c r="AC169" i="64" s="1"/>
  <c r="U169" i="64" s="1"/>
  <c r="AA190" i="64"/>
  <c r="P167" i="64"/>
  <c r="R167" i="64" s="1"/>
  <c r="U55" i="64"/>
  <c r="U128" i="64"/>
  <c r="P128" i="64"/>
  <c r="AA38" i="64"/>
  <c r="P38" i="64" s="1"/>
  <c r="U49" i="64"/>
  <c r="AA91" i="64"/>
  <c r="U91" i="64" s="1"/>
  <c r="AA120" i="64"/>
  <c r="U120" i="64" s="1"/>
  <c r="AA156" i="64"/>
  <c r="P156" i="64" s="1"/>
  <c r="I39" i="64"/>
  <c r="AC39" i="64" s="1"/>
  <c r="AA42" i="64"/>
  <c r="AA43" i="64"/>
  <c r="AA47" i="64"/>
  <c r="P47" i="64" s="1"/>
  <c r="U51" i="64"/>
  <c r="AA67" i="64"/>
  <c r="P67" i="64" s="1"/>
  <c r="I71" i="64"/>
  <c r="AC71" i="64" s="1"/>
  <c r="U71" i="64" s="1"/>
  <c r="AA76" i="64"/>
  <c r="I82" i="64"/>
  <c r="AC82" i="64" s="1"/>
  <c r="P82" i="64" s="1"/>
  <c r="I92" i="64"/>
  <c r="AC92" i="64" s="1"/>
  <c r="P92" i="64" s="1"/>
  <c r="AA130" i="64"/>
  <c r="U130" i="64" s="1"/>
  <c r="I144" i="64"/>
  <c r="AC144" i="64" s="1"/>
  <c r="P144" i="64" s="1"/>
  <c r="I145" i="64"/>
  <c r="AC145" i="64" s="1"/>
  <c r="AA159" i="64"/>
  <c r="I176" i="64"/>
  <c r="AC176" i="64" s="1"/>
  <c r="P176" i="64" s="1"/>
  <c r="I178" i="64"/>
  <c r="AC178" i="64" s="1"/>
  <c r="P178" i="64" s="1"/>
  <c r="I182" i="64"/>
  <c r="AC182" i="64" s="1"/>
  <c r="U190" i="64"/>
  <c r="AA192" i="64"/>
  <c r="U192" i="64" s="1"/>
  <c r="AA30" i="64"/>
  <c r="P30" i="64" s="1"/>
  <c r="AA63" i="64"/>
  <c r="P63" i="64" s="1"/>
  <c r="I24" i="64"/>
  <c r="AC24" i="64" s="1"/>
  <c r="I44" i="64"/>
  <c r="AC44" i="64" s="1"/>
  <c r="P44" i="64" s="1"/>
  <c r="AA46" i="64"/>
  <c r="U46" i="64" s="1"/>
  <c r="AA61" i="64"/>
  <c r="I74" i="64"/>
  <c r="AC74" i="64" s="1"/>
  <c r="I80" i="64"/>
  <c r="AC80" i="64" s="1"/>
  <c r="U80" i="64" s="1"/>
  <c r="P88" i="64"/>
  <c r="AA141" i="64"/>
  <c r="P141" i="64" s="1"/>
  <c r="AA163" i="64"/>
  <c r="U163" i="64" s="1"/>
  <c r="AA180" i="64"/>
  <c r="P190" i="64"/>
  <c r="AA193" i="64"/>
  <c r="AA194" i="64"/>
  <c r="U194" i="64" s="1"/>
  <c r="I19" i="64"/>
  <c r="AC19" i="64" s="1"/>
  <c r="AA25" i="64"/>
  <c r="U25" i="64" s="1"/>
  <c r="P37" i="64"/>
  <c r="AA52" i="64"/>
  <c r="P52" i="64" s="1"/>
  <c r="AA57" i="64"/>
  <c r="AA64" i="64"/>
  <c r="U64" i="64" s="1"/>
  <c r="AA72" i="64"/>
  <c r="U72" i="64" s="1"/>
  <c r="I108" i="64"/>
  <c r="AC108" i="64" s="1"/>
  <c r="U108" i="64" s="1"/>
  <c r="AA111" i="64"/>
  <c r="U111" i="64" s="1"/>
  <c r="AA114" i="64"/>
  <c r="AA132" i="64"/>
  <c r="I142" i="64"/>
  <c r="AC142" i="64" s="1"/>
  <c r="U142" i="64" s="1"/>
  <c r="P161" i="64"/>
  <c r="P164" i="64"/>
  <c r="R164" i="64" s="1"/>
  <c r="I187" i="64"/>
  <c r="AC187" i="64" s="1"/>
  <c r="U187" i="64" s="1"/>
  <c r="U47" i="64"/>
  <c r="P74" i="64"/>
  <c r="N104" i="64"/>
  <c r="D15" i="63" s="1"/>
  <c r="I123" i="64"/>
  <c r="AC123" i="64" s="1"/>
  <c r="U123" i="64" s="1"/>
  <c r="I121" i="64"/>
  <c r="AC121" i="64" s="1"/>
  <c r="U121" i="64" s="1"/>
  <c r="I126" i="64"/>
  <c r="AC126" i="64" s="1"/>
  <c r="U126" i="64" s="1"/>
  <c r="U116" i="64"/>
  <c r="AA112" i="64"/>
  <c r="U112" i="64" s="1"/>
  <c r="AA122" i="64"/>
  <c r="U122" i="64" s="1"/>
  <c r="P114" i="64"/>
  <c r="P24" i="64"/>
  <c r="U24" i="64"/>
  <c r="U19" i="64"/>
  <c r="U35" i="64"/>
  <c r="P35" i="64"/>
  <c r="P17" i="64"/>
  <c r="U17" i="64"/>
  <c r="P42" i="64"/>
  <c r="O17" i="64"/>
  <c r="R37" i="64"/>
  <c r="P19" i="64"/>
  <c r="AA27" i="64"/>
  <c r="I27" i="64"/>
  <c r="AC27" i="64" s="1"/>
  <c r="U50" i="64"/>
  <c r="Q102" i="64"/>
  <c r="P57" i="64"/>
  <c r="I59" i="64"/>
  <c r="AC59" i="64" s="1"/>
  <c r="U59" i="64" s="1"/>
  <c r="AA21" i="64"/>
  <c r="I21" i="64"/>
  <c r="AC21" i="64" s="1"/>
  <c r="AA31" i="64"/>
  <c r="AA36" i="64"/>
  <c r="U43" i="64"/>
  <c r="P49" i="64"/>
  <c r="AA54" i="64"/>
  <c r="I54" i="64"/>
  <c r="AC54" i="64" s="1"/>
  <c r="P55" i="64"/>
  <c r="U65" i="64"/>
  <c r="P65" i="64"/>
  <c r="R74" i="64"/>
  <c r="U79" i="64"/>
  <c r="AA18" i="64"/>
  <c r="AA20" i="64"/>
  <c r="P20" i="64" s="1"/>
  <c r="U37" i="64"/>
  <c r="AA53" i="64"/>
  <c r="P61" i="64"/>
  <c r="U61" i="64"/>
  <c r="P76" i="64"/>
  <c r="U76" i="64"/>
  <c r="P23" i="64"/>
  <c r="AA33" i="64"/>
  <c r="I33" i="64"/>
  <c r="AC33" i="64" s="1"/>
  <c r="AA40" i="64"/>
  <c r="I40" i="64"/>
  <c r="AC40" i="64" s="1"/>
  <c r="P41" i="64"/>
  <c r="U42" i="64"/>
  <c r="P43" i="64"/>
  <c r="AA48" i="64"/>
  <c r="I48" i="64"/>
  <c r="AC48" i="64" s="1"/>
  <c r="U57" i="64"/>
  <c r="U39" i="64"/>
  <c r="P39" i="64"/>
  <c r="AA60" i="64"/>
  <c r="I60" i="64"/>
  <c r="AC60" i="64" s="1"/>
  <c r="P51" i="64"/>
  <c r="I45" i="64"/>
  <c r="AC45" i="64" s="1"/>
  <c r="U45" i="64" s="1"/>
  <c r="R19" i="64"/>
  <c r="U23" i="64"/>
  <c r="U69" i="64"/>
  <c r="I62" i="64"/>
  <c r="AC62" i="64" s="1"/>
  <c r="U62" i="64" s="1"/>
  <c r="AA75" i="64"/>
  <c r="I75" i="64"/>
  <c r="AC75" i="64" s="1"/>
  <c r="AA78" i="64"/>
  <c r="U78" i="64" s="1"/>
  <c r="U88" i="64"/>
  <c r="R17" i="64"/>
  <c r="I22" i="64"/>
  <c r="AC22" i="64" s="1"/>
  <c r="U22" i="64" s="1"/>
  <c r="I28" i="64"/>
  <c r="AC28" i="64" s="1"/>
  <c r="P28" i="64" s="1"/>
  <c r="I34" i="64"/>
  <c r="AC34" i="64" s="1"/>
  <c r="P34" i="64" s="1"/>
  <c r="I56" i="64"/>
  <c r="AC56" i="64" s="1"/>
  <c r="P56" i="64" s="1"/>
  <c r="AA85" i="64"/>
  <c r="U85" i="64" s="1"/>
  <c r="AA87" i="64"/>
  <c r="I87" i="64"/>
  <c r="AC87" i="64" s="1"/>
  <c r="AA89" i="64"/>
  <c r="N136" i="64"/>
  <c r="N138" i="64" s="1"/>
  <c r="D16" i="63" s="1"/>
  <c r="AA110" i="64"/>
  <c r="U110" i="64" s="1"/>
  <c r="U114" i="64"/>
  <c r="AA66" i="64"/>
  <c r="I66" i="64"/>
  <c r="AC66" i="64" s="1"/>
  <c r="P69" i="64"/>
  <c r="AA70" i="64"/>
  <c r="AA73" i="64"/>
  <c r="U73" i="64" s="1"/>
  <c r="P79" i="64"/>
  <c r="AA86" i="64"/>
  <c r="U92" i="64"/>
  <c r="O136" i="64"/>
  <c r="O138" i="64" s="1"/>
  <c r="F16" i="63" s="1"/>
  <c r="AA113" i="64"/>
  <c r="I113" i="64"/>
  <c r="AC113" i="64" s="1"/>
  <c r="AA115" i="64"/>
  <c r="U99" i="64"/>
  <c r="P111" i="64"/>
  <c r="P121" i="64"/>
  <c r="AA68" i="64"/>
  <c r="P91" i="64"/>
  <c r="I99" i="64"/>
  <c r="AC99" i="64" s="1"/>
  <c r="P99" i="64" s="1"/>
  <c r="P108" i="64"/>
  <c r="P116" i="64"/>
  <c r="I117" i="64"/>
  <c r="AC117" i="64" s="1"/>
  <c r="U117" i="64" s="1"/>
  <c r="AA124" i="64"/>
  <c r="I124" i="64"/>
  <c r="AC124" i="64" s="1"/>
  <c r="P122" i="64"/>
  <c r="P45" i="64"/>
  <c r="U74" i="64"/>
  <c r="AA81" i="64"/>
  <c r="I81" i="64"/>
  <c r="AC81" i="64" s="1"/>
  <c r="AA84" i="64"/>
  <c r="U84" i="64" s="1"/>
  <c r="AA107" i="64"/>
  <c r="U107" i="64" s="1"/>
  <c r="I107" i="64"/>
  <c r="AC107" i="64" s="1"/>
  <c r="AA109" i="64"/>
  <c r="AA93" i="64"/>
  <c r="I93" i="64"/>
  <c r="AC93" i="64" s="1"/>
  <c r="P98" i="64"/>
  <c r="Q136" i="64"/>
  <c r="AA118" i="64"/>
  <c r="I118" i="64"/>
  <c r="AC118" i="64" s="1"/>
  <c r="I157" i="64"/>
  <c r="AC157" i="64" s="1"/>
  <c r="U157" i="64" s="1"/>
  <c r="U145" i="64"/>
  <c r="U132" i="64"/>
  <c r="AA160" i="64"/>
  <c r="I160" i="64"/>
  <c r="AC160" i="64" s="1"/>
  <c r="P163" i="64"/>
  <c r="AA129" i="64"/>
  <c r="I129" i="64"/>
  <c r="AC129" i="64" s="1"/>
  <c r="P132" i="64"/>
  <c r="P133" i="64"/>
  <c r="U133" i="64"/>
  <c r="I134" i="64"/>
  <c r="AC134" i="64" s="1"/>
  <c r="U134" i="64" s="1"/>
  <c r="P159" i="64"/>
  <c r="O160" i="64"/>
  <c r="O173" i="64" s="1"/>
  <c r="F18" i="63" s="1"/>
  <c r="N173" i="64"/>
  <c r="D18" i="63" s="1"/>
  <c r="AA165" i="64"/>
  <c r="I165" i="64"/>
  <c r="AC165" i="64" s="1"/>
  <c r="I158" i="64"/>
  <c r="AC158" i="64" s="1"/>
  <c r="AA158" i="64"/>
  <c r="U159" i="64"/>
  <c r="O141" i="64"/>
  <c r="O148" i="64" s="1"/>
  <c r="O150" i="64" s="1"/>
  <c r="O152" i="64" s="1"/>
  <c r="F17" i="63" s="1"/>
  <c r="U141" i="64"/>
  <c r="P145" i="64"/>
  <c r="Q148" i="64"/>
  <c r="Q150" i="64" s="1"/>
  <c r="I119" i="64"/>
  <c r="AC119" i="64" s="1"/>
  <c r="U119" i="64" s="1"/>
  <c r="I125" i="64"/>
  <c r="AC125" i="64" s="1"/>
  <c r="P125" i="64" s="1"/>
  <c r="I131" i="64"/>
  <c r="AC131" i="64" s="1"/>
  <c r="U131" i="64" s="1"/>
  <c r="AA146" i="64"/>
  <c r="I146" i="64"/>
  <c r="AC146" i="64" s="1"/>
  <c r="AA179" i="64"/>
  <c r="I179" i="64"/>
  <c r="AC179" i="64" s="1"/>
  <c r="P193" i="64"/>
  <c r="U193" i="64"/>
  <c r="AA168" i="64"/>
  <c r="I168" i="64"/>
  <c r="AC168" i="64" s="1"/>
  <c r="U178" i="64"/>
  <c r="P182" i="64"/>
  <c r="U167" i="64"/>
  <c r="AA183" i="64"/>
  <c r="I183" i="64"/>
  <c r="AC183" i="64" s="1"/>
  <c r="AA189" i="64"/>
  <c r="I189" i="64"/>
  <c r="AC189" i="64" s="1"/>
  <c r="U164" i="64"/>
  <c r="U188" i="64"/>
  <c r="U182" i="64"/>
  <c r="Q173" i="64"/>
  <c r="U161" i="64"/>
  <c r="P169" i="64"/>
  <c r="AA177" i="64"/>
  <c r="I177" i="64"/>
  <c r="AC177" i="64" s="1"/>
  <c r="P181" i="64"/>
  <c r="AA162" i="64"/>
  <c r="I162" i="64"/>
  <c r="AC162" i="64" s="1"/>
  <c r="AA166" i="64"/>
  <c r="P166" i="64" s="1"/>
  <c r="I166" i="64"/>
  <c r="AC166" i="64" s="1"/>
  <c r="P188" i="64"/>
  <c r="R190" i="64"/>
  <c r="AA195" i="64"/>
  <c r="I195" i="64"/>
  <c r="AC195" i="64" s="1"/>
  <c r="P180" i="64"/>
  <c r="P186" i="64"/>
  <c r="I185" i="64"/>
  <c r="AC185" i="64" s="1"/>
  <c r="P185" i="64" s="1"/>
  <c r="I191" i="64"/>
  <c r="AC191" i="64" s="1"/>
  <c r="U191" i="64" s="1"/>
  <c r="I201" i="64"/>
  <c r="AC201" i="64" s="1"/>
  <c r="U201" i="64" s="1"/>
  <c r="P202" i="64" l="1"/>
  <c r="P157" i="64"/>
  <c r="U184" i="64"/>
  <c r="P130" i="64"/>
  <c r="R130" i="64" s="1"/>
  <c r="U83" i="64"/>
  <c r="P71" i="64"/>
  <c r="O102" i="64"/>
  <c r="O104" i="64" s="1"/>
  <c r="F15" i="63" s="1"/>
  <c r="P26" i="64"/>
  <c r="P29" i="64"/>
  <c r="P192" i="64"/>
  <c r="P142" i="64"/>
  <c r="P112" i="64"/>
  <c r="U77" i="64"/>
  <c r="U52" i="64"/>
  <c r="U58" i="64"/>
  <c r="U44" i="64"/>
  <c r="B26" i="63"/>
  <c r="B28" i="63" s="1"/>
  <c r="L205" i="64"/>
  <c r="L207" i="64" s="1"/>
  <c r="B19" i="63" s="1"/>
  <c r="B21" i="63" s="1"/>
  <c r="B29" i="63" s="1"/>
  <c r="O200" i="64"/>
  <c r="N205" i="64"/>
  <c r="N207" i="64" s="1"/>
  <c r="D19" i="63" s="1"/>
  <c r="D21" i="63" s="1"/>
  <c r="R128" i="64"/>
  <c r="R32" i="64"/>
  <c r="P143" i="64"/>
  <c r="P148" i="64" s="1"/>
  <c r="P150" i="64" s="1"/>
  <c r="P152" i="64" s="1"/>
  <c r="H17" i="63" s="1"/>
  <c r="P80" i="64"/>
  <c r="U32" i="64"/>
  <c r="U63" i="64"/>
  <c r="U90" i="64"/>
  <c r="P120" i="64"/>
  <c r="U96" i="64"/>
  <c r="P96" i="64"/>
  <c r="R184" i="64"/>
  <c r="P25" i="64"/>
  <c r="P72" i="64"/>
  <c r="P183" i="64"/>
  <c r="P54" i="64"/>
  <c r="R54" i="64" s="1"/>
  <c r="P146" i="64"/>
  <c r="P201" i="64"/>
  <c r="R183" i="64"/>
  <c r="R178" i="64"/>
  <c r="P177" i="64"/>
  <c r="P73" i="64"/>
  <c r="U28" i="64"/>
  <c r="P195" i="64"/>
  <c r="R195" i="64" s="1"/>
  <c r="U185" i="64"/>
  <c r="R163" i="64"/>
  <c r="P129" i="64"/>
  <c r="R92" i="64"/>
  <c r="P75" i="64"/>
  <c r="P62" i="64"/>
  <c r="R52" i="64"/>
  <c r="R82" i="64"/>
  <c r="R67" i="64"/>
  <c r="R141" i="64"/>
  <c r="R176" i="64"/>
  <c r="R156" i="64"/>
  <c r="T156" i="64"/>
  <c r="P191" i="64"/>
  <c r="U176" i="64"/>
  <c r="R159" i="64"/>
  <c r="U156" i="64"/>
  <c r="R111" i="64"/>
  <c r="R88" i="64"/>
  <c r="U38" i="64"/>
  <c r="P27" i="64"/>
  <c r="R25" i="64"/>
  <c r="U30" i="64"/>
  <c r="P22" i="64"/>
  <c r="P123" i="64"/>
  <c r="U180" i="64"/>
  <c r="U144" i="64"/>
  <c r="P64" i="64"/>
  <c r="R64" i="64" s="1"/>
  <c r="P46" i="64"/>
  <c r="P194" i="64"/>
  <c r="U82" i="64"/>
  <c r="P126" i="64"/>
  <c r="P59" i="64"/>
  <c r="R180" i="64"/>
  <c r="P187" i="64"/>
  <c r="R187" i="64" s="1"/>
  <c r="P189" i="64"/>
  <c r="R161" i="64"/>
  <c r="R108" i="64"/>
  <c r="P85" i="64"/>
  <c r="R85" i="64" s="1"/>
  <c r="U67" i="64"/>
  <c r="R47" i="64"/>
  <c r="R41" i="64"/>
  <c r="U41" i="64" s="1"/>
  <c r="R35" i="64"/>
  <c r="R72" i="64"/>
  <c r="R63" i="64"/>
  <c r="R61" i="64"/>
  <c r="P117" i="64"/>
  <c r="R117" i="64" s="1"/>
  <c r="R114" i="64"/>
  <c r="U125" i="64"/>
  <c r="R116" i="64"/>
  <c r="P124" i="64"/>
  <c r="R124" i="64" s="1"/>
  <c r="P119" i="64"/>
  <c r="R146" i="64"/>
  <c r="R125" i="64"/>
  <c r="R28" i="64"/>
  <c r="R20" i="64"/>
  <c r="R202" i="64"/>
  <c r="R192" i="64"/>
  <c r="U162" i="64"/>
  <c r="P162" i="64"/>
  <c r="R169" i="64"/>
  <c r="P131" i="64"/>
  <c r="R142" i="64"/>
  <c r="R201" i="64"/>
  <c r="R181" i="64"/>
  <c r="R157" i="64"/>
  <c r="V156" i="64"/>
  <c r="U165" i="64"/>
  <c r="P113" i="64"/>
  <c r="U113" i="64"/>
  <c r="R133" i="64"/>
  <c r="P165" i="64"/>
  <c r="U177" i="64"/>
  <c r="U183" i="64"/>
  <c r="R186" i="64"/>
  <c r="R144" i="64"/>
  <c r="R145" i="64"/>
  <c r="U93" i="64"/>
  <c r="P78" i="64"/>
  <c r="U68" i="64"/>
  <c r="P68" i="64"/>
  <c r="P110" i="64"/>
  <c r="U75" i="64"/>
  <c r="R34" i="64"/>
  <c r="P48" i="64"/>
  <c r="U48" i="64"/>
  <c r="P93" i="64"/>
  <c r="U53" i="64"/>
  <c r="U31" i="64"/>
  <c r="U56" i="64"/>
  <c r="R23" i="64"/>
  <c r="R26" i="64"/>
  <c r="P168" i="64"/>
  <c r="U168" i="64"/>
  <c r="R166" i="64"/>
  <c r="R191" i="64"/>
  <c r="R132" i="64"/>
  <c r="R185" i="64"/>
  <c r="R188" i="64"/>
  <c r="R182" i="64"/>
  <c r="R193" i="64"/>
  <c r="U129" i="64"/>
  <c r="R76" i="64"/>
  <c r="R122" i="64"/>
  <c r="R121" i="64"/>
  <c r="R120" i="64"/>
  <c r="U86" i="64"/>
  <c r="P86" i="64"/>
  <c r="P70" i="64"/>
  <c r="U70" i="64"/>
  <c r="R99" i="64"/>
  <c r="P84" i="64"/>
  <c r="R51" i="64"/>
  <c r="P40" i="64"/>
  <c r="R50" i="64"/>
  <c r="R49" i="64"/>
  <c r="P31" i="64"/>
  <c r="P53" i="64"/>
  <c r="R69" i="64"/>
  <c r="R56" i="64"/>
  <c r="P60" i="64"/>
  <c r="U60" i="64"/>
  <c r="R45" i="64"/>
  <c r="R57" i="64"/>
  <c r="U34" i="64"/>
  <c r="U146" i="64"/>
  <c r="R30" i="64"/>
  <c r="R39" i="64"/>
  <c r="R43" i="64"/>
  <c r="U33" i="64"/>
  <c r="P33" i="64"/>
  <c r="R71" i="64"/>
  <c r="R42" i="64"/>
  <c r="R38" i="64"/>
  <c r="U118" i="64"/>
  <c r="P118" i="64"/>
  <c r="U109" i="64"/>
  <c r="P109" i="64"/>
  <c r="R91" i="64"/>
  <c r="R98" i="64"/>
  <c r="U81" i="64"/>
  <c r="P81" i="64"/>
  <c r="U124" i="64"/>
  <c r="R90" i="64"/>
  <c r="R112" i="64"/>
  <c r="P66" i="64"/>
  <c r="U66" i="64"/>
  <c r="R55" i="64"/>
  <c r="R73" i="64"/>
  <c r="U20" i="64"/>
  <c r="U21" i="64"/>
  <c r="P21" i="64"/>
  <c r="P102" i="64" s="1"/>
  <c r="R62" i="64"/>
  <c r="U189" i="64"/>
  <c r="P158" i="64"/>
  <c r="U158" i="64"/>
  <c r="P134" i="64"/>
  <c r="U115" i="64"/>
  <c r="P115" i="64"/>
  <c r="U89" i="64"/>
  <c r="P89" i="64"/>
  <c r="U195" i="64"/>
  <c r="U179" i="64"/>
  <c r="P179" i="64"/>
  <c r="P160" i="64"/>
  <c r="U160" i="64"/>
  <c r="U166" i="64"/>
  <c r="P107" i="64"/>
  <c r="R75" i="64"/>
  <c r="R77" i="64"/>
  <c r="U87" i="64"/>
  <c r="P87" i="64"/>
  <c r="P18" i="64"/>
  <c r="U18" i="64"/>
  <c r="R65" i="64"/>
  <c r="U54" i="64"/>
  <c r="U36" i="64"/>
  <c r="P36" i="64"/>
  <c r="R79" i="64"/>
  <c r="U27" i="64"/>
  <c r="R44" i="64"/>
  <c r="R24" i="64"/>
  <c r="U205" i="64" l="1"/>
  <c r="R143" i="64"/>
  <c r="R148" i="64" s="1"/>
  <c r="R150" i="64" s="1"/>
  <c r="R152" i="64" s="1"/>
  <c r="P200" i="64"/>
  <c r="R200" i="64" s="1"/>
  <c r="O205" i="64"/>
  <c r="O207" i="64" s="1"/>
  <c r="F19" i="63" s="1"/>
  <c r="R129" i="64"/>
  <c r="R177" i="64"/>
  <c r="R29" i="64"/>
  <c r="R96" i="64"/>
  <c r="R80" i="64"/>
  <c r="R189" i="64"/>
  <c r="R27" i="64"/>
  <c r="R123" i="64"/>
  <c r="R194" i="64"/>
  <c r="R22" i="64"/>
  <c r="R59" i="64"/>
  <c r="R46" i="64"/>
  <c r="R119" i="64"/>
  <c r="R126" i="64"/>
  <c r="R87" i="64"/>
  <c r="P136" i="64"/>
  <c r="P138" i="64" s="1"/>
  <c r="H16" i="63" s="1"/>
  <c r="R107" i="64"/>
  <c r="R21" i="64"/>
  <c r="R60" i="64"/>
  <c r="R40" i="64"/>
  <c r="U40" i="64" s="1"/>
  <c r="U102" i="64" s="1"/>
  <c r="R168" i="64"/>
  <c r="R113" i="64"/>
  <c r="R33" i="64"/>
  <c r="U148" i="64"/>
  <c r="U150" i="64" s="1"/>
  <c r="U152" i="64" s="1"/>
  <c r="R110" i="64"/>
  <c r="U136" i="64"/>
  <c r="U138" i="64" s="1"/>
  <c r="R89" i="64"/>
  <c r="R18" i="64"/>
  <c r="R115" i="64"/>
  <c r="R158" i="64"/>
  <c r="R109" i="64"/>
  <c r="R53" i="64"/>
  <c r="R84" i="64"/>
  <c r="P173" i="64"/>
  <c r="H18" i="63" s="1"/>
  <c r="R93" i="64"/>
  <c r="R78" i="64"/>
  <c r="U207" i="64"/>
  <c r="X156" i="64"/>
  <c r="R162" i="64"/>
  <c r="R118" i="64"/>
  <c r="P104" i="64"/>
  <c r="H15" i="63" s="1"/>
  <c r="R31" i="64"/>
  <c r="U173" i="64"/>
  <c r="R68" i="64"/>
  <c r="R165" i="64"/>
  <c r="R66" i="64"/>
  <c r="R36" i="64"/>
  <c r="R131" i="64"/>
  <c r="R160" i="64"/>
  <c r="R179" i="64"/>
  <c r="R81" i="64"/>
  <c r="R70" i="64"/>
  <c r="R48" i="64"/>
  <c r="R134" i="64"/>
  <c r="R86" i="64"/>
  <c r="R102" i="64" l="1"/>
  <c r="P205" i="64"/>
  <c r="P207" i="64" s="1"/>
  <c r="H19" i="63" s="1"/>
  <c r="R205" i="64"/>
  <c r="R207" i="64" s="1"/>
  <c r="R173" i="64"/>
  <c r="U104" i="64"/>
  <c r="R136" i="64"/>
  <c r="R138" i="64" s="1"/>
  <c r="Y156" i="64"/>
  <c r="Z156" i="64" s="1"/>
  <c r="AF156" i="64" s="1"/>
  <c r="R104" i="64"/>
  <c r="M72" i="28" l="1"/>
  <c r="M71" i="28"/>
  <c r="M63" i="28"/>
  <c r="M52" i="28"/>
  <c r="M51" i="28"/>
  <c r="M50" i="28"/>
  <c r="M47" i="28"/>
  <c r="M46" i="28"/>
  <c r="M45" i="28"/>
  <c r="M44" i="28"/>
  <c r="M43" i="28"/>
  <c r="M42" i="28"/>
  <c r="M41" i="28"/>
  <c r="M40" i="28"/>
  <c r="M39" i="28"/>
  <c r="M38" i="28"/>
  <c r="M37" i="28"/>
  <c r="M36" i="28"/>
  <c r="M14" i="28"/>
  <c r="W12" i="28" l="1"/>
  <c r="V12" i="28" l="1"/>
  <c r="J40" i="49" l="1"/>
  <c r="C40" i="49"/>
  <c r="N29" i="49"/>
  <c r="G44" i="49" s="1"/>
  <c r="N38" i="49"/>
  <c r="N13" i="49"/>
  <c r="A81" i="29" l="1"/>
  <c r="AB72" i="11" l="1"/>
  <c r="A60" i="29" l="1"/>
  <c r="A59" i="29"/>
  <c r="A34" i="29"/>
  <c r="Z34" i="11"/>
  <c r="J34" i="28" s="1"/>
  <c r="S34" i="28" s="1"/>
  <c r="K34" i="11"/>
  <c r="Y34" i="11" s="1"/>
  <c r="I34" i="28" s="1"/>
  <c r="Z58" i="11"/>
  <c r="J60" i="28" s="1"/>
  <c r="S60" i="28" s="1"/>
  <c r="K58" i="11"/>
  <c r="Y58" i="11" s="1"/>
  <c r="I60" i="28" s="1"/>
  <c r="Z57" i="11"/>
  <c r="J59" i="28" s="1"/>
  <c r="S59" i="28" s="1"/>
  <c r="K57" i="11"/>
  <c r="Y57" i="11" s="1"/>
  <c r="I59" i="28" s="1"/>
  <c r="G9" i="54" l="1"/>
  <c r="F9" i="54"/>
  <c r="K14" i="11" l="1"/>
  <c r="Z11" i="11"/>
  <c r="J11" i="28" s="1"/>
  <c r="J12" i="28" s="1"/>
  <c r="C12" i="11"/>
  <c r="C23" i="49" l="1"/>
  <c r="C43" i="49" s="1"/>
  <c r="G11" i="49"/>
  <c r="O15" i="77" l="1"/>
  <c r="C71" i="77" l="1"/>
  <c r="T15" i="77"/>
  <c r="T19" i="77" s="1"/>
  <c r="S15" i="77"/>
  <c r="S19" i="77" s="1"/>
  <c r="S20" i="77" s="1"/>
  <c r="P23" i="77"/>
  <c r="M80" i="71"/>
  <c r="P27" i="77" l="1"/>
  <c r="P43" i="77"/>
  <c r="F22" i="97" s="1"/>
  <c r="Q68" i="29"/>
  <c r="K28" i="96"/>
  <c r="K17" i="96"/>
  <c r="F26" i="71"/>
  <c r="G26" i="71"/>
  <c r="B21" i="79"/>
  <c r="B20" i="79"/>
  <c r="B19" i="79"/>
  <c r="B18" i="79"/>
  <c r="B17" i="79"/>
  <c r="B16" i="79"/>
  <c r="B15" i="79"/>
  <c r="B14" i="79"/>
  <c r="B13" i="79"/>
  <c r="B12" i="79"/>
  <c r="B11" i="79"/>
  <c r="B10" i="79"/>
  <c r="B23" i="79" l="1"/>
  <c r="P25" i="7"/>
  <c r="D24" i="7"/>
  <c r="E24" i="7"/>
  <c r="F24" i="7"/>
  <c r="G24" i="7"/>
  <c r="H24" i="7"/>
  <c r="I24" i="7"/>
  <c r="J24" i="7"/>
  <c r="K24" i="7"/>
  <c r="L24" i="7"/>
  <c r="M24" i="7"/>
  <c r="N24" i="7"/>
  <c r="D23" i="7"/>
  <c r="E23" i="7"/>
  <c r="F23" i="7"/>
  <c r="G23" i="7"/>
  <c r="H23" i="7"/>
  <c r="I23" i="7"/>
  <c r="J23" i="7"/>
  <c r="K23" i="7"/>
  <c r="L23" i="7"/>
  <c r="M23" i="7"/>
  <c r="N23" i="7"/>
  <c r="C24" i="7"/>
  <c r="C23" i="7"/>
  <c r="D19" i="7"/>
  <c r="E19" i="7"/>
  <c r="F19" i="7"/>
  <c r="G19" i="7"/>
  <c r="H19" i="7"/>
  <c r="I19" i="7"/>
  <c r="J19" i="7"/>
  <c r="K19" i="7"/>
  <c r="L19" i="7"/>
  <c r="M19" i="7"/>
  <c r="N19" i="7"/>
  <c r="D18" i="7"/>
  <c r="E18" i="7"/>
  <c r="F18" i="7"/>
  <c r="G18" i="7"/>
  <c r="H18" i="7"/>
  <c r="I18" i="7"/>
  <c r="J18" i="7"/>
  <c r="K18" i="7"/>
  <c r="L18" i="7"/>
  <c r="M18" i="7"/>
  <c r="N18" i="7"/>
  <c r="D17" i="7"/>
  <c r="E17" i="7"/>
  <c r="F17" i="7"/>
  <c r="G17" i="7"/>
  <c r="H17" i="7"/>
  <c r="I17" i="7"/>
  <c r="J17" i="7"/>
  <c r="K17" i="7"/>
  <c r="L17" i="7"/>
  <c r="M17" i="7"/>
  <c r="N17" i="7"/>
  <c r="D16" i="7"/>
  <c r="E16" i="7"/>
  <c r="F16" i="7"/>
  <c r="G16" i="7"/>
  <c r="H16" i="7"/>
  <c r="I16" i="7"/>
  <c r="J16" i="7"/>
  <c r="K16" i="7"/>
  <c r="L16" i="7"/>
  <c r="M16" i="7"/>
  <c r="N16" i="7"/>
  <c r="D15" i="7"/>
  <c r="E15" i="7"/>
  <c r="F15" i="7"/>
  <c r="G15" i="7"/>
  <c r="H15" i="7"/>
  <c r="I15" i="7"/>
  <c r="J15" i="7"/>
  <c r="K15" i="7"/>
  <c r="L15" i="7"/>
  <c r="M15" i="7"/>
  <c r="N15" i="7"/>
  <c r="D14" i="7"/>
  <c r="E14" i="7"/>
  <c r="F14" i="7"/>
  <c r="G14" i="7"/>
  <c r="H14" i="7"/>
  <c r="I14" i="7"/>
  <c r="J14" i="7"/>
  <c r="K14" i="7"/>
  <c r="L14" i="7"/>
  <c r="M14" i="7"/>
  <c r="N14" i="7"/>
  <c r="D22" i="7"/>
  <c r="E22" i="7"/>
  <c r="F22" i="7"/>
  <c r="G22" i="7"/>
  <c r="H22" i="7"/>
  <c r="I22" i="7"/>
  <c r="J22" i="7"/>
  <c r="K22" i="7"/>
  <c r="L22" i="7"/>
  <c r="M22" i="7"/>
  <c r="N22" i="7"/>
  <c r="E13" i="7"/>
  <c r="F13" i="7"/>
  <c r="G13" i="7"/>
  <c r="H13" i="7"/>
  <c r="I13" i="7"/>
  <c r="J13" i="7"/>
  <c r="K13" i="7"/>
  <c r="L13" i="7"/>
  <c r="M13" i="7"/>
  <c r="N13" i="7"/>
  <c r="F12" i="7"/>
  <c r="G12" i="7"/>
  <c r="H12" i="7"/>
  <c r="I12" i="7"/>
  <c r="J12" i="7"/>
  <c r="K12" i="7"/>
  <c r="L12" i="7"/>
  <c r="M12" i="7"/>
  <c r="N12" i="7"/>
  <c r="E12" i="7"/>
  <c r="D12" i="7"/>
  <c r="D13" i="7"/>
  <c r="C19" i="7" l="1"/>
  <c r="C18" i="7"/>
  <c r="C17" i="7"/>
  <c r="C16" i="7"/>
  <c r="C15" i="7"/>
  <c r="C14" i="7"/>
  <c r="C13" i="7"/>
  <c r="C12" i="7"/>
  <c r="O12" i="7" s="1"/>
  <c r="Q12" i="7" s="1"/>
  <c r="L23" i="20" l="1"/>
  <c r="L24" i="20"/>
  <c r="L25" i="20"/>
  <c r="L26" i="20"/>
  <c r="L27" i="20"/>
  <c r="T25" i="16"/>
  <c r="T24" i="16"/>
  <c r="T23" i="16"/>
  <c r="A30" i="16"/>
  <c r="D74" i="7"/>
  <c r="E74" i="7"/>
  <c r="F74" i="7"/>
  <c r="G74" i="7"/>
  <c r="H74" i="7"/>
  <c r="I74" i="7"/>
  <c r="J74" i="7"/>
  <c r="K74" i="7"/>
  <c r="L74" i="7"/>
  <c r="M74" i="7"/>
  <c r="N74" i="7"/>
  <c r="C74" i="7"/>
  <c r="D63" i="7"/>
  <c r="E63" i="7"/>
  <c r="F63" i="7"/>
  <c r="G63" i="7"/>
  <c r="H63" i="7"/>
  <c r="I63" i="7"/>
  <c r="J63" i="7"/>
  <c r="K63" i="7"/>
  <c r="L63" i="7"/>
  <c r="M63" i="7"/>
  <c r="N63" i="7"/>
  <c r="C63" i="7"/>
  <c r="D55" i="7"/>
  <c r="E55" i="7"/>
  <c r="F55" i="7"/>
  <c r="G55" i="7"/>
  <c r="H55" i="7"/>
  <c r="I55" i="7"/>
  <c r="J55" i="7"/>
  <c r="K55" i="7"/>
  <c r="L55" i="7"/>
  <c r="M55" i="7"/>
  <c r="N55" i="7"/>
  <c r="C55" i="7"/>
  <c r="D49" i="7"/>
  <c r="E49" i="7"/>
  <c r="F49" i="7"/>
  <c r="G49" i="7"/>
  <c r="H49" i="7"/>
  <c r="I49" i="7"/>
  <c r="J49" i="7"/>
  <c r="K49" i="7"/>
  <c r="L49" i="7"/>
  <c r="M49" i="7"/>
  <c r="N49" i="7"/>
  <c r="C49" i="7"/>
  <c r="D41" i="7"/>
  <c r="E41" i="7"/>
  <c r="F41" i="7"/>
  <c r="G41" i="7"/>
  <c r="H41" i="7"/>
  <c r="I41" i="7"/>
  <c r="J41" i="7"/>
  <c r="K41" i="7"/>
  <c r="L41" i="7"/>
  <c r="M41" i="7"/>
  <c r="N41" i="7"/>
  <c r="C41" i="7"/>
  <c r="D65" i="7"/>
  <c r="E65" i="7"/>
  <c r="F65" i="7"/>
  <c r="G65" i="7"/>
  <c r="H65" i="7"/>
  <c r="I65" i="7"/>
  <c r="J65" i="7"/>
  <c r="K65" i="7"/>
  <c r="L65" i="7"/>
  <c r="M65" i="7"/>
  <c r="N65" i="7"/>
  <c r="C65" i="7"/>
  <c r="D32" i="7"/>
  <c r="E32" i="7"/>
  <c r="F32" i="7"/>
  <c r="G32" i="7"/>
  <c r="H32" i="7"/>
  <c r="I32" i="7"/>
  <c r="J32" i="7"/>
  <c r="K32" i="7"/>
  <c r="L32" i="7"/>
  <c r="M32" i="7"/>
  <c r="N32" i="7"/>
  <c r="D31" i="7"/>
  <c r="E31" i="7"/>
  <c r="F31" i="7"/>
  <c r="G31" i="7"/>
  <c r="H31" i="7"/>
  <c r="I31" i="7"/>
  <c r="J31" i="7"/>
  <c r="K31" i="7"/>
  <c r="L31" i="7"/>
  <c r="M31" i="7"/>
  <c r="N31" i="7"/>
  <c r="C31" i="7"/>
  <c r="C32" i="7"/>
  <c r="D33" i="7"/>
  <c r="E33" i="7"/>
  <c r="F33" i="7"/>
  <c r="G33" i="7"/>
  <c r="H33" i="7"/>
  <c r="I33" i="7"/>
  <c r="J33" i="7"/>
  <c r="K33" i="7"/>
  <c r="L33" i="7"/>
  <c r="M33" i="7"/>
  <c r="N33" i="7"/>
  <c r="C33" i="7"/>
  <c r="D29" i="7"/>
  <c r="E29" i="7"/>
  <c r="F29" i="7"/>
  <c r="G29" i="7"/>
  <c r="H29" i="7"/>
  <c r="I29" i="7"/>
  <c r="J29" i="7"/>
  <c r="K29" i="7"/>
  <c r="L29" i="7"/>
  <c r="M29" i="7"/>
  <c r="N29" i="7"/>
  <c r="C29" i="7"/>
  <c r="D61" i="7"/>
  <c r="E61" i="7"/>
  <c r="F61" i="7"/>
  <c r="G61" i="7"/>
  <c r="H61" i="7"/>
  <c r="I61" i="7"/>
  <c r="J61" i="7"/>
  <c r="K61" i="7"/>
  <c r="L61" i="7"/>
  <c r="M61" i="7"/>
  <c r="N61" i="7"/>
  <c r="C61" i="7"/>
  <c r="D52" i="7"/>
  <c r="E52" i="7"/>
  <c r="F52" i="7"/>
  <c r="G52" i="7"/>
  <c r="H52" i="7"/>
  <c r="I52" i="7"/>
  <c r="J52" i="7"/>
  <c r="K52" i="7"/>
  <c r="L52" i="7"/>
  <c r="M52" i="7"/>
  <c r="N52" i="7"/>
  <c r="C52" i="7"/>
  <c r="D42" i="7"/>
  <c r="E42" i="7"/>
  <c r="F42" i="7"/>
  <c r="G42" i="7"/>
  <c r="H42" i="7"/>
  <c r="I42" i="7"/>
  <c r="J42" i="7"/>
  <c r="K42" i="7"/>
  <c r="L42" i="7"/>
  <c r="M42" i="7"/>
  <c r="N42" i="7"/>
  <c r="C42" i="7"/>
  <c r="D34" i="7"/>
  <c r="E34" i="7"/>
  <c r="F34" i="7"/>
  <c r="G34" i="7"/>
  <c r="H34" i="7"/>
  <c r="I34" i="7"/>
  <c r="J34" i="7"/>
  <c r="K34" i="7"/>
  <c r="L34" i="7"/>
  <c r="M34" i="7"/>
  <c r="N34" i="7"/>
  <c r="C34" i="7"/>
  <c r="D50" i="7"/>
  <c r="E50" i="7"/>
  <c r="F50" i="7"/>
  <c r="G50" i="7"/>
  <c r="H50" i="7"/>
  <c r="I50" i="7"/>
  <c r="J50" i="7"/>
  <c r="K50" i="7"/>
  <c r="L50" i="7"/>
  <c r="M50" i="7"/>
  <c r="N50" i="7"/>
  <c r="C50" i="7"/>
  <c r="D46" i="7"/>
  <c r="E46" i="7"/>
  <c r="F46" i="7"/>
  <c r="G46" i="7"/>
  <c r="H46" i="7"/>
  <c r="I46" i="7"/>
  <c r="J46" i="7"/>
  <c r="K46" i="7"/>
  <c r="L46" i="7"/>
  <c r="M46" i="7"/>
  <c r="N46" i="7"/>
  <c r="C46" i="7"/>
  <c r="D47" i="7"/>
  <c r="E47" i="7"/>
  <c r="F47" i="7"/>
  <c r="G47" i="7"/>
  <c r="H47" i="7"/>
  <c r="I47" i="7"/>
  <c r="J47" i="7"/>
  <c r="K47" i="7"/>
  <c r="L47" i="7"/>
  <c r="M47" i="7"/>
  <c r="N47" i="7"/>
  <c r="C47" i="7"/>
  <c r="D62" i="7"/>
  <c r="E62" i="7"/>
  <c r="F62" i="7"/>
  <c r="G62" i="7"/>
  <c r="H62" i="7"/>
  <c r="I62" i="7"/>
  <c r="J62" i="7"/>
  <c r="K62" i="7"/>
  <c r="L62" i="7"/>
  <c r="M62" i="7"/>
  <c r="N62" i="7"/>
  <c r="C62" i="7"/>
  <c r="D48" i="7"/>
  <c r="E48" i="7"/>
  <c r="F48" i="7"/>
  <c r="G48" i="7"/>
  <c r="H48" i="7"/>
  <c r="I48" i="7"/>
  <c r="J48" i="7"/>
  <c r="K48" i="7"/>
  <c r="L48" i="7"/>
  <c r="M48" i="7"/>
  <c r="N48" i="7"/>
  <c r="C48" i="7"/>
  <c r="D53" i="7"/>
  <c r="E53" i="7"/>
  <c r="F53" i="7"/>
  <c r="G53" i="7"/>
  <c r="H53" i="7"/>
  <c r="I53" i="7"/>
  <c r="J53" i="7"/>
  <c r="K53" i="7"/>
  <c r="L53" i="7"/>
  <c r="M53" i="7"/>
  <c r="N53" i="7"/>
  <c r="C53" i="7"/>
  <c r="D59" i="7"/>
  <c r="E59" i="7"/>
  <c r="F59" i="7"/>
  <c r="G59" i="7"/>
  <c r="H59" i="7"/>
  <c r="I59" i="7"/>
  <c r="J59" i="7"/>
  <c r="K59" i="7"/>
  <c r="L59" i="7"/>
  <c r="M59" i="7"/>
  <c r="N59" i="7"/>
  <c r="C59" i="7"/>
  <c r="D64" i="7"/>
  <c r="E64" i="7"/>
  <c r="F64" i="7"/>
  <c r="G64" i="7"/>
  <c r="H64" i="7"/>
  <c r="I64" i="7"/>
  <c r="J64" i="7"/>
  <c r="K64" i="7"/>
  <c r="L64" i="7"/>
  <c r="M64" i="7"/>
  <c r="N64" i="7"/>
  <c r="C64" i="7"/>
  <c r="D36" i="7"/>
  <c r="E36" i="7"/>
  <c r="F36" i="7"/>
  <c r="G36" i="7"/>
  <c r="H36" i="7"/>
  <c r="I36" i="7"/>
  <c r="J36" i="7"/>
  <c r="K36" i="7"/>
  <c r="L36" i="7"/>
  <c r="M36" i="7"/>
  <c r="N36" i="7"/>
  <c r="C36" i="7"/>
  <c r="D35" i="7"/>
  <c r="E35" i="7"/>
  <c r="F35" i="7"/>
  <c r="G35" i="7"/>
  <c r="H35" i="7"/>
  <c r="I35" i="7"/>
  <c r="J35" i="7"/>
  <c r="K35" i="7"/>
  <c r="L35" i="7"/>
  <c r="M35" i="7"/>
  <c r="N35" i="7"/>
  <c r="C35" i="7"/>
  <c r="D51" i="7"/>
  <c r="E51" i="7"/>
  <c r="F51" i="7"/>
  <c r="G51" i="7"/>
  <c r="H51" i="7"/>
  <c r="I51" i="7"/>
  <c r="J51" i="7"/>
  <c r="K51" i="7"/>
  <c r="L51" i="7"/>
  <c r="M51" i="7"/>
  <c r="N51" i="7"/>
  <c r="C51" i="7"/>
  <c r="D44" i="7"/>
  <c r="E44" i="7"/>
  <c r="F44" i="7"/>
  <c r="G44" i="7"/>
  <c r="H44" i="7"/>
  <c r="I44" i="7"/>
  <c r="J44" i="7"/>
  <c r="K44" i="7"/>
  <c r="L44" i="7"/>
  <c r="M44" i="7"/>
  <c r="N44" i="7"/>
  <c r="C44" i="7"/>
  <c r="D43" i="7"/>
  <c r="E43" i="7"/>
  <c r="F43" i="7"/>
  <c r="G43" i="7"/>
  <c r="H43" i="7"/>
  <c r="I43" i="7"/>
  <c r="J43" i="7"/>
  <c r="K43" i="7"/>
  <c r="L43" i="7"/>
  <c r="M43" i="7"/>
  <c r="N43" i="7"/>
  <c r="C43" i="7"/>
  <c r="D37" i="7"/>
  <c r="E37" i="7"/>
  <c r="F37" i="7"/>
  <c r="G37" i="7"/>
  <c r="H37" i="7"/>
  <c r="I37" i="7"/>
  <c r="J37" i="7"/>
  <c r="K37" i="7"/>
  <c r="L37" i="7"/>
  <c r="M37" i="7"/>
  <c r="N37" i="7"/>
  <c r="C37" i="7"/>
  <c r="D38" i="7"/>
  <c r="E38" i="7"/>
  <c r="F38" i="7"/>
  <c r="G38" i="7"/>
  <c r="H38" i="7"/>
  <c r="I38" i="7"/>
  <c r="J38" i="7"/>
  <c r="K38" i="7"/>
  <c r="L38" i="7"/>
  <c r="M38" i="7"/>
  <c r="N38" i="7"/>
  <c r="C38" i="7"/>
  <c r="D39" i="7"/>
  <c r="E39" i="7"/>
  <c r="F39" i="7"/>
  <c r="G39" i="7"/>
  <c r="H39" i="7"/>
  <c r="I39" i="7"/>
  <c r="J39" i="7"/>
  <c r="K39" i="7"/>
  <c r="L39" i="7"/>
  <c r="M39" i="7"/>
  <c r="N39" i="7"/>
  <c r="C39" i="7"/>
  <c r="D28" i="7"/>
  <c r="E28" i="7"/>
  <c r="F28" i="7"/>
  <c r="G28" i="7"/>
  <c r="H28" i="7"/>
  <c r="I28" i="7"/>
  <c r="J28" i="7"/>
  <c r="K28" i="7"/>
  <c r="L28" i="7"/>
  <c r="M28" i="7"/>
  <c r="N28" i="7"/>
  <c r="C28" i="7"/>
  <c r="D56" i="7"/>
  <c r="E56" i="7"/>
  <c r="F56" i="7"/>
  <c r="G56" i="7"/>
  <c r="H56" i="7"/>
  <c r="I56" i="7"/>
  <c r="J56" i="7"/>
  <c r="K56" i="7"/>
  <c r="L56" i="7"/>
  <c r="M56" i="7"/>
  <c r="N56" i="7"/>
  <c r="C56" i="7"/>
  <c r="D60" i="7"/>
  <c r="E60" i="7"/>
  <c r="F60" i="7"/>
  <c r="G60" i="7"/>
  <c r="H60" i="7"/>
  <c r="I60" i="7"/>
  <c r="J60" i="7"/>
  <c r="K60" i="7"/>
  <c r="L60" i="7"/>
  <c r="M60" i="7"/>
  <c r="N60" i="7"/>
  <c r="C60" i="7"/>
  <c r="O74" i="7" l="1"/>
  <c r="O63" i="7"/>
  <c r="O55" i="7"/>
  <c r="O49" i="7"/>
  <c r="O32" i="7"/>
  <c r="C40" i="71" s="1"/>
  <c r="O65" i="7"/>
  <c r="O41" i="7"/>
  <c r="C50" i="71" s="1"/>
  <c r="D45" i="7"/>
  <c r="E45" i="7"/>
  <c r="F45" i="7"/>
  <c r="G45" i="7"/>
  <c r="H45" i="7"/>
  <c r="I45" i="7"/>
  <c r="J45" i="7"/>
  <c r="K45" i="7"/>
  <c r="L45" i="7"/>
  <c r="M45" i="7"/>
  <c r="N45" i="7"/>
  <c r="C45" i="7"/>
  <c r="D54" i="7"/>
  <c r="E54" i="7"/>
  <c r="F54" i="7"/>
  <c r="G54" i="7"/>
  <c r="H54" i="7"/>
  <c r="I54" i="7"/>
  <c r="J54" i="7"/>
  <c r="K54" i="7"/>
  <c r="L54" i="7"/>
  <c r="M54" i="7"/>
  <c r="N54" i="7"/>
  <c r="C54" i="7"/>
  <c r="D58" i="7"/>
  <c r="E58" i="7"/>
  <c r="F58" i="7"/>
  <c r="G58" i="7"/>
  <c r="H58" i="7"/>
  <c r="I58" i="7"/>
  <c r="J58" i="7"/>
  <c r="K58" i="7"/>
  <c r="L58" i="7"/>
  <c r="M58" i="7"/>
  <c r="N58" i="7"/>
  <c r="C58" i="7"/>
  <c r="D68" i="7"/>
  <c r="E68" i="7"/>
  <c r="F68" i="7"/>
  <c r="G68" i="7"/>
  <c r="H68" i="7"/>
  <c r="I68" i="7"/>
  <c r="J68" i="7"/>
  <c r="K68" i="7"/>
  <c r="L68" i="7"/>
  <c r="M68" i="7"/>
  <c r="N68" i="7"/>
  <c r="C68" i="7"/>
  <c r="D30" i="7"/>
  <c r="E30" i="7"/>
  <c r="F30" i="7"/>
  <c r="G30" i="7"/>
  <c r="H30" i="7"/>
  <c r="I30" i="7"/>
  <c r="J30" i="7"/>
  <c r="K30" i="7"/>
  <c r="L30" i="7"/>
  <c r="M30" i="7"/>
  <c r="N30" i="7"/>
  <c r="C30" i="7"/>
  <c r="D57" i="7"/>
  <c r="E57" i="7"/>
  <c r="F57" i="7"/>
  <c r="G57" i="7"/>
  <c r="H57" i="7"/>
  <c r="I57" i="7"/>
  <c r="J57" i="7"/>
  <c r="K57" i="7"/>
  <c r="L57" i="7"/>
  <c r="M57" i="7"/>
  <c r="N57" i="7"/>
  <c r="C57" i="7"/>
  <c r="D66" i="7"/>
  <c r="E66" i="7"/>
  <c r="F66" i="7"/>
  <c r="G66" i="7"/>
  <c r="H66" i="7"/>
  <c r="I66" i="7"/>
  <c r="J66" i="7"/>
  <c r="K66" i="7"/>
  <c r="L66" i="7"/>
  <c r="M66" i="7"/>
  <c r="N66" i="7"/>
  <c r="C66" i="7"/>
  <c r="E16" i="97" l="1"/>
  <c r="E40" i="71"/>
  <c r="I40" i="71" s="1"/>
  <c r="L40" i="71" s="1"/>
  <c r="N40" i="71" s="1"/>
  <c r="E25" i="97"/>
  <c r="Q49" i="7"/>
  <c r="S49" i="7" s="1"/>
  <c r="C58" i="71"/>
  <c r="Q32" i="7"/>
  <c r="S32" i="7" s="1"/>
  <c r="Q55" i="7"/>
  <c r="S55" i="7" s="1"/>
  <c r="C64" i="71"/>
  <c r="Q74" i="7"/>
  <c r="C85" i="71"/>
  <c r="Q65" i="7"/>
  <c r="S65" i="7" s="1"/>
  <c r="C74" i="71"/>
  <c r="Q63" i="7"/>
  <c r="S63" i="7" s="1"/>
  <c r="C72" i="71"/>
  <c r="O57" i="7"/>
  <c r="C66" i="71" s="1"/>
  <c r="O13" i="7"/>
  <c r="Q13" i="7" s="1"/>
  <c r="O15" i="7"/>
  <c r="O17" i="7"/>
  <c r="O19" i="7"/>
  <c r="O24" i="7"/>
  <c r="C24" i="71" s="1"/>
  <c r="C22" i="7"/>
  <c r="D21" i="7"/>
  <c r="E21" i="7"/>
  <c r="F21" i="7"/>
  <c r="G21" i="7"/>
  <c r="H21" i="7"/>
  <c r="I21" i="7"/>
  <c r="J21" i="7"/>
  <c r="K21" i="7"/>
  <c r="L21" i="7"/>
  <c r="M21" i="7"/>
  <c r="N21" i="7"/>
  <c r="C21" i="7"/>
  <c r="D20" i="7"/>
  <c r="E20" i="7"/>
  <c r="F20" i="7"/>
  <c r="G20" i="7"/>
  <c r="H20" i="7"/>
  <c r="I20" i="7"/>
  <c r="J20" i="7"/>
  <c r="K20" i="7"/>
  <c r="L20" i="7"/>
  <c r="M20" i="7"/>
  <c r="N20" i="7"/>
  <c r="C20" i="7"/>
  <c r="S13" i="7" l="1"/>
  <c r="U13" i="7"/>
  <c r="C19" i="71"/>
  <c r="D19" i="71" s="1"/>
  <c r="Q19" i="7"/>
  <c r="C17" i="71"/>
  <c r="Q17" i="7"/>
  <c r="I85" i="71"/>
  <c r="L85" i="71" s="1"/>
  <c r="N85" i="71" s="1"/>
  <c r="C15" i="71"/>
  <c r="Q15" i="7"/>
  <c r="D15" i="71"/>
  <c r="E15" i="71" s="1"/>
  <c r="I15" i="71" s="1"/>
  <c r="L15" i="71" s="1"/>
  <c r="E33" i="97"/>
  <c r="D24" i="71"/>
  <c r="E24" i="71" s="1"/>
  <c r="I24" i="71" s="1"/>
  <c r="L24" i="71" s="1"/>
  <c r="E49" i="97"/>
  <c r="E74" i="71"/>
  <c r="I74" i="71" s="1"/>
  <c r="E39" i="97"/>
  <c r="D64" i="71" s="1"/>
  <c r="E64" i="71" s="1"/>
  <c r="I64" i="71" s="1"/>
  <c r="E41" i="97"/>
  <c r="F41" i="97" s="1"/>
  <c r="D66" i="71" s="1"/>
  <c r="E66" i="71" s="1"/>
  <c r="I66" i="71" s="1"/>
  <c r="D17" i="71"/>
  <c r="E17" i="71" s="1"/>
  <c r="I17" i="71" s="1"/>
  <c r="L17" i="71" s="1"/>
  <c r="E47" i="97"/>
  <c r="E72" i="71"/>
  <c r="I72" i="71" s="1"/>
  <c r="C13" i="71"/>
  <c r="O18" i="7"/>
  <c r="Q18" i="7" s="1"/>
  <c r="S18" i="7" s="1"/>
  <c r="O16" i="7"/>
  <c r="Q16" i="7" s="1"/>
  <c r="S16" i="7" s="1"/>
  <c r="O21" i="7"/>
  <c r="C21" i="71" s="1"/>
  <c r="O20" i="7"/>
  <c r="O23" i="7"/>
  <c r="C23" i="71" s="1"/>
  <c r="E23" i="71" s="1"/>
  <c r="I23" i="71" s="1"/>
  <c r="O22" i="7"/>
  <c r="C22" i="71" s="1"/>
  <c r="E22" i="71" s="1"/>
  <c r="I22" i="71" s="1"/>
  <c r="O14" i="7"/>
  <c r="Q14" i="7" s="1"/>
  <c r="S14" i="7" s="1"/>
  <c r="U19" i="7" l="1"/>
  <c r="S19" i="7"/>
  <c r="U15" i="7"/>
  <c r="S15" i="7"/>
  <c r="U17" i="7"/>
  <c r="S17" i="7"/>
  <c r="E19" i="71"/>
  <c r="I19" i="71" s="1"/>
  <c r="L19" i="71" s="1"/>
  <c r="D13" i="71"/>
  <c r="E13" i="71" s="1"/>
  <c r="I13" i="71" s="1"/>
  <c r="L13" i="71" s="1"/>
  <c r="D21" i="71"/>
  <c r="E21" i="71" s="1"/>
  <c r="I21" i="71" s="1"/>
  <c r="L21" i="71" s="1"/>
  <c r="L22" i="71"/>
  <c r="N22" i="71" s="1"/>
  <c r="L23" i="71"/>
  <c r="N23" i="71" s="1"/>
  <c r="Q20" i="7"/>
  <c r="C20" i="71"/>
  <c r="D67" i="7"/>
  <c r="E67" i="7"/>
  <c r="F67" i="7"/>
  <c r="G67" i="7"/>
  <c r="H67" i="7"/>
  <c r="I67" i="7"/>
  <c r="J67" i="7"/>
  <c r="K67" i="7"/>
  <c r="L67" i="7"/>
  <c r="M67" i="7"/>
  <c r="N67" i="7"/>
  <c r="C67" i="7"/>
  <c r="A5" i="54"/>
  <c r="A5" i="26"/>
  <c r="A5" i="29"/>
  <c r="A4" i="11"/>
  <c r="J80" i="20"/>
  <c r="S20" i="7" l="1"/>
  <c r="U20" i="7"/>
  <c r="D20" i="71"/>
  <c r="D26" i="71" s="1"/>
  <c r="E20" i="71"/>
  <c r="I20" i="71" s="1"/>
  <c r="L20" i="71" s="1"/>
  <c r="J23" i="49"/>
  <c r="E43" i="49" s="1"/>
  <c r="N21" i="49" l="1"/>
  <c r="N19" i="49"/>
  <c r="N16" i="49"/>
  <c r="A1" i="29"/>
  <c r="A1" i="21" l="1"/>
  <c r="A1" i="17"/>
  <c r="A1" i="19"/>
  <c r="A1" i="43"/>
  <c r="O68" i="7"/>
  <c r="C77" i="71" s="1"/>
  <c r="E52" i="97" s="1"/>
  <c r="A1" i="49"/>
  <c r="A71" i="29"/>
  <c r="A72" i="29"/>
  <c r="A73" i="29"/>
  <c r="A75" i="29"/>
  <c r="A70" i="29"/>
  <c r="A68" i="29"/>
  <c r="A58" i="29"/>
  <c r="A62" i="29"/>
  <c r="A63" i="29"/>
  <c r="A64" i="29"/>
  <c r="A65" i="29"/>
  <c r="A57" i="29"/>
  <c r="A55" i="29"/>
  <c r="A52" i="29"/>
  <c r="A51" i="29"/>
  <c r="A50" i="29"/>
  <c r="A49" i="29"/>
  <c r="A42" i="29"/>
  <c r="A43" i="29"/>
  <c r="A44" i="29"/>
  <c r="A45" i="29"/>
  <c r="A46" i="29"/>
  <c r="A47" i="29"/>
  <c r="A48" i="29"/>
  <c r="A30" i="29"/>
  <c r="A31" i="29"/>
  <c r="A32" i="29"/>
  <c r="A33" i="29"/>
  <c r="A35" i="29"/>
  <c r="A37" i="29"/>
  <c r="A38" i="29"/>
  <c r="A39" i="29"/>
  <c r="A40" i="29"/>
  <c r="A41" i="29"/>
  <c r="A29" i="29"/>
  <c r="A16" i="29"/>
  <c r="A17" i="29"/>
  <c r="A18" i="29"/>
  <c r="A19" i="29"/>
  <c r="A20" i="29"/>
  <c r="A21" i="29"/>
  <c r="A24" i="29"/>
  <c r="A25" i="29"/>
  <c r="A26" i="29"/>
  <c r="A27" i="29"/>
  <c r="A15" i="29"/>
  <c r="H41" i="11"/>
  <c r="H53" i="11" s="1"/>
  <c r="H69" i="11"/>
  <c r="I69" i="11"/>
  <c r="J69" i="11"/>
  <c r="E69" i="11"/>
  <c r="C69" i="11"/>
  <c r="H63" i="11"/>
  <c r="I63" i="11"/>
  <c r="J63" i="11"/>
  <c r="E63" i="11"/>
  <c r="I53" i="11"/>
  <c r="J53" i="11"/>
  <c r="C53" i="11"/>
  <c r="G51" i="11"/>
  <c r="F51" i="11"/>
  <c r="G50" i="11"/>
  <c r="F50" i="11"/>
  <c r="G49" i="11"/>
  <c r="F49" i="11"/>
  <c r="E17" i="11"/>
  <c r="K17" i="11" s="1"/>
  <c r="Y17" i="11" s="1"/>
  <c r="I17" i="28" s="1"/>
  <c r="G68" i="11"/>
  <c r="G69" i="11" s="1"/>
  <c r="G46" i="11"/>
  <c r="F46" i="11"/>
  <c r="Z67" i="11"/>
  <c r="J71" i="28" s="1"/>
  <c r="Z68" i="11"/>
  <c r="J72" i="28" s="1"/>
  <c r="F67" i="11"/>
  <c r="K67" i="11" s="1"/>
  <c r="Y67" i="11" s="1"/>
  <c r="I71" i="28" s="1"/>
  <c r="F24" i="11"/>
  <c r="F27" i="11" s="1"/>
  <c r="Z24" i="11"/>
  <c r="J24" i="28" s="1"/>
  <c r="K45" i="11"/>
  <c r="Y45" i="11" s="1"/>
  <c r="I45" i="28" s="1"/>
  <c r="Z45" i="11"/>
  <c r="J45" i="28" s="1"/>
  <c r="Z46" i="11"/>
  <c r="J46" i="28" s="1"/>
  <c r="K47" i="11"/>
  <c r="Y47" i="11" s="1"/>
  <c r="I47" i="28" s="1"/>
  <c r="Z47" i="11"/>
  <c r="J47" i="28" s="1"/>
  <c r="K48" i="11"/>
  <c r="Y48" i="11" s="1"/>
  <c r="I48" i="28" s="1"/>
  <c r="Z48" i="11"/>
  <c r="J48" i="28" s="1"/>
  <c r="S48" i="28" s="1"/>
  <c r="Z49" i="11"/>
  <c r="J49" i="28" s="1"/>
  <c r="Z50" i="11"/>
  <c r="J50" i="28" s="1"/>
  <c r="G44" i="11"/>
  <c r="F44" i="11"/>
  <c r="K43" i="11"/>
  <c r="Y43" i="11" s="1"/>
  <c r="I43" i="28" s="1"/>
  <c r="Z43" i="11"/>
  <c r="J43" i="28" s="1"/>
  <c r="K42" i="11"/>
  <c r="Y42" i="11" s="1"/>
  <c r="I42" i="28" s="1"/>
  <c r="Z42" i="11"/>
  <c r="J42" i="28" s="1"/>
  <c r="G41" i="11"/>
  <c r="F41" i="11"/>
  <c r="Z41" i="11"/>
  <c r="J41" i="28" s="1"/>
  <c r="G60" i="11"/>
  <c r="G63" i="11" s="1"/>
  <c r="F60" i="11"/>
  <c r="F63" i="11" s="1"/>
  <c r="F65" i="11"/>
  <c r="G40" i="11"/>
  <c r="F40" i="11"/>
  <c r="G39" i="11"/>
  <c r="F39" i="11"/>
  <c r="G37" i="11"/>
  <c r="F37" i="11"/>
  <c r="G36" i="11"/>
  <c r="F36" i="11"/>
  <c r="G35" i="11"/>
  <c r="F35" i="11"/>
  <c r="F33" i="11"/>
  <c r="F32" i="11"/>
  <c r="E32" i="11"/>
  <c r="F30" i="11"/>
  <c r="E30" i="11"/>
  <c r="F29" i="11"/>
  <c r="E29" i="11"/>
  <c r="G32" i="11"/>
  <c r="E11" i="11"/>
  <c r="E15" i="11"/>
  <c r="Z31" i="11"/>
  <c r="J31" i="28" s="1"/>
  <c r="G30" i="11"/>
  <c r="Z29" i="11"/>
  <c r="J29" i="28" s="1"/>
  <c r="G29" i="11"/>
  <c r="G12" i="11"/>
  <c r="W21" i="11"/>
  <c r="V21" i="11"/>
  <c r="T21" i="11"/>
  <c r="S21" i="11"/>
  <c r="Q21" i="11"/>
  <c r="P21" i="11"/>
  <c r="N21" i="11"/>
  <c r="M21" i="11"/>
  <c r="Z19" i="11"/>
  <c r="J19" i="28" s="1"/>
  <c r="K19" i="11"/>
  <c r="Y19" i="11" s="1"/>
  <c r="I19" i="28" s="1"/>
  <c r="Z18" i="11"/>
  <c r="J18" i="28" s="1"/>
  <c r="K18" i="11"/>
  <c r="Y18" i="11" s="1"/>
  <c r="I18" i="28" s="1"/>
  <c r="Z26" i="11"/>
  <c r="J26" i="28" s="1"/>
  <c r="K26" i="11"/>
  <c r="Y26" i="11" s="1"/>
  <c r="I26" i="28" s="1"/>
  <c r="Z25" i="11"/>
  <c r="J25" i="28" s="1"/>
  <c r="K25" i="11"/>
  <c r="Y25" i="11" s="1"/>
  <c r="I25" i="28" s="1"/>
  <c r="Z20" i="11"/>
  <c r="J20" i="28" s="1"/>
  <c r="K20" i="11"/>
  <c r="Y20" i="11" s="1"/>
  <c r="I20" i="28" s="1"/>
  <c r="Z17" i="11"/>
  <c r="J17" i="28" s="1"/>
  <c r="Z16" i="11"/>
  <c r="J16" i="28" s="1"/>
  <c r="K16" i="11"/>
  <c r="Y16" i="11" s="1"/>
  <c r="I16" i="28" s="1"/>
  <c r="Z15" i="11"/>
  <c r="J15" i="28" s="1"/>
  <c r="Z14" i="11"/>
  <c r="J14" i="28" s="1"/>
  <c r="Y14" i="11"/>
  <c r="I14" i="28" s="1"/>
  <c r="W26" i="28" l="1"/>
  <c r="N26" i="28"/>
  <c r="O26" i="28"/>
  <c r="W19" i="28"/>
  <c r="N19" i="28"/>
  <c r="O19" i="28"/>
  <c r="W43" i="28"/>
  <c r="O43" i="28"/>
  <c r="N43" i="28"/>
  <c r="P43" i="28" s="1"/>
  <c r="W47" i="28"/>
  <c r="O47" i="28"/>
  <c r="N47" i="28"/>
  <c r="S24" i="28"/>
  <c r="J27" i="28"/>
  <c r="W17" i="28"/>
  <c r="N17" i="28"/>
  <c r="O17" i="28"/>
  <c r="W20" i="28"/>
  <c r="O20" i="28"/>
  <c r="N20" i="28"/>
  <c r="W16" i="28"/>
  <c r="N16" i="28"/>
  <c r="P16" i="28" s="1"/>
  <c r="O16" i="28"/>
  <c r="W14" i="28"/>
  <c r="O14" i="28"/>
  <c r="N14" i="28"/>
  <c r="W25" i="28"/>
  <c r="W27" i="28" s="1"/>
  <c r="N25" i="28"/>
  <c r="O25" i="28"/>
  <c r="W18" i="28"/>
  <c r="O18" i="28"/>
  <c r="N18" i="28"/>
  <c r="P18" i="28" s="1"/>
  <c r="W42" i="28"/>
  <c r="O42" i="28"/>
  <c r="N42" i="28"/>
  <c r="W71" i="28"/>
  <c r="N71" i="28"/>
  <c r="P71" i="28" s="1"/>
  <c r="O71" i="28"/>
  <c r="J21" i="28"/>
  <c r="W45" i="28"/>
  <c r="O45" i="28"/>
  <c r="N45" i="28"/>
  <c r="C72" i="11"/>
  <c r="Z27" i="11"/>
  <c r="AC27" i="11" s="1"/>
  <c r="K15" i="11"/>
  <c r="E21" i="11"/>
  <c r="Z21" i="11"/>
  <c r="AC21" i="11" s="1"/>
  <c r="AD21" i="11" s="1"/>
  <c r="B35" i="20" s="1"/>
  <c r="K49" i="11"/>
  <c r="Y49" i="11" s="1"/>
  <c r="I49" i="28" s="1"/>
  <c r="A36" i="29"/>
  <c r="K50" i="11"/>
  <c r="Y50" i="11" s="1"/>
  <c r="I50" i="28" s="1"/>
  <c r="F69" i="11"/>
  <c r="E53" i="11"/>
  <c r="G53" i="11"/>
  <c r="G72" i="11" s="1"/>
  <c r="K24" i="11"/>
  <c r="F53" i="11"/>
  <c r="K29" i="11"/>
  <c r="K41" i="11"/>
  <c r="Y41" i="11" s="1"/>
  <c r="I41" i="28" s="1"/>
  <c r="K68" i="11"/>
  <c r="Y68" i="11" s="1"/>
  <c r="I72" i="28" s="1"/>
  <c r="K46" i="11"/>
  <c r="Y46" i="11" s="1"/>
  <c r="I46" i="28" s="1"/>
  <c r="C101" i="40"/>
  <c r="D101" i="40"/>
  <c r="E101" i="40"/>
  <c r="F101" i="40"/>
  <c r="G101" i="40"/>
  <c r="H101" i="40"/>
  <c r="I101" i="40"/>
  <c r="J101" i="40"/>
  <c r="K101" i="40"/>
  <c r="L101" i="40"/>
  <c r="M101" i="40"/>
  <c r="B101" i="40"/>
  <c r="B219" i="40"/>
  <c r="C219" i="40"/>
  <c r="D219" i="40"/>
  <c r="E219" i="40"/>
  <c r="F219" i="40"/>
  <c r="G219" i="40"/>
  <c r="H219" i="40"/>
  <c r="I219" i="40"/>
  <c r="J219" i="40"/>
  <c r="K219" i="40"/>
  <c r="L219" i="40"/>
  <c r="M219" i="40"/>
  <c r="O106" i="40"/>
  <c r="O186" i="40"/>
  <c r="O187" i="40"/>
  <c r="O188" i="40"/>
  <c r="O189" i="40"/>
  <c r="O190" i="40"/>
  <c r="O191" i="40"/>
  <c r="O192" i="40"/>
  <c r="O193" i="40"/>
  <c r="O194" i="40"/>
  <c r="O195" i="40"/>
  <c r="O196" i="40"/>
  <c r="O197" i="40"/>
  <c r="O198" i="40"/>
  <c r="O199" i="40"/>
  <c r="O200" i="40"/>
  <c r="O201" i="40"/>
  <c r="O202" i="40"/>
  <c r="O203" i="40"/>
  <c r="O204" i="40"/>
  <c r="O205" i="40"/>
  <c r="O206" i="40"/>
  <c r="O207" i="40"/>
  <c r="O208" i="40"/>
  <c r="O209" i="40"/>
  <c r="O210" i="40"/>
  <c r="O211" i="40"/>
  <c r="O212" i="40"/>
  <c r="O213" i="40"/>
  <c r="O214" i="40"/>
  <c r="O215" i="40"/>
  <c r="O216" i="40"/>
  <c r="O217" i="40"/>
  <c r="O218" i="40"/>
  <c r="O68" i="40"/>
  <c r="O185" i="40"/>
  <c r="O184" i="40"/>
  <c r="O183" i="40"/>
  <c r="O182" i="40"/>
  <c r="O181" i="40"/>
  <c r="O180" i="40"/>
  <c r="O179" i="40"/>
  <c r="O178" i="40"/>
  <c r="O177" i="40"/>
  <c r="O176" i="40"/>
  <c r="O175" i="40"/>
  <c r="O174" i="40"/>
  <c r="O173" i="40"/>
  <c r="O172" i="40"/>
  <c r="O171" i="40"/>
  <c r="O170" i="40"/>
  <c r="O169" i="40"/>
  <c r="O168" i="40"/>
  <c r="O167" i="40"/>
  <c r="O166" i="40"/>
  <c r="O165" i="40"/>
  <c r="O164" i="40"/>
  <c r="O163" i="40"/>
  <c r="O162" i="40"/>
  <c r="O161" i="40"/>
  <c r="O160" i="40"/>
  <c r="O159" i="40"/>
  <c r="O158" i="40"/>
  <c r="O157" i="40"/>
  <c r="O156" i="40"/>
  <c r="O155" i="40"/>
  <c r="O154" i="40"/>
  <c r="O153" i="40"/>
  <c r="O152" i="40"/>
  <c r="O151" i="40"/>
  <c r="O150" i="40"/>
  <c r="O149" i="40"/>
  <c r="O148" i="40"/>
  <c r="O147" i="40"/>
  <c r="O146" i="40"/>
  <c r="O145" i="40"/>
  <c r="O144" i="40"/>
  <c r="O143" i="40"/>
  <c r="O142" i="40"/>
  <c r="O141" i="40"/>
  <c r="O140" i="40"/>
  <c r="O139" i="40"/>
  <c r="T33" i="77" s="1"/>
  <c r="T34" i="77" s="1"/>
  <c r="O138" i="40"/>
  <c r="O137" i="40"/>
  <c r="O136" i="40"/>
  <c r="O135" i="40"/>
  <c r="O134" i="40"/>
  <c r="O133" i="40"/>
  <c r="O132" i="40"/>
  <c r="O131" i="40"/>
  <c r="V33" i="77" s="1"/>
  <c r="V34" i="77" s="1"/>
  <c r="O130" i="40"/>
  <c r="O129" i="40"/>
  <c r="E47" i="49" s="1"/>
  <c r="O128" i="40"/>
  <c r="O127" i="40"/>
  <c r="O126" i="40"/>
  <c r="O125" i="40"/>
  <c r="O124" i="40"/>
  <c r="O123" i="40"/>
  <c r="O122" i="40"/>
  <c r="O121" i="40"/>
  <c r="O120" i="40"/>
  <c r="O119" i="40"/>
  <c r="O118" i="40"/>
  <c r="O117" i="40"/>
  <c r="O116" i="40"/>
  <c r="O115" i="40"/>
  <c r="O114" i="40"/>
  <c r="O113" i="40"/>
  <c r="O112" i="40"/>
  <c r="O111" i="40"/>
  <c r="O110" i="40"/>
  <c r="O109" i="40"/>
  <c r="O108" i="40"/>
  <c r="O107" i="40"/>
  <c r="C74" i="11" s="1"/>
  <c r="O100" i="40"/>
  <c r="O99" i="40"/>
  <c r="P96" i="40"/>
  <c r="M80" i="40"/>
  <c r="L80" i="40"/>
  <c r="L103" i="40" s="1"/>
  <c r="L221" i="40" s="1"/>
  <c r="K80" i="40"/>
  <c r="J80" i="40"/>
  <c r="J103" i="40" s="1"/>
  <c r="J221" i="40" s="1"/>
  <c r="I80" i="40"/>
  <c r="H80" i="40"/>
  <c r="H103" i="40" s="1"/>
  <c r="G80" i="40"/>
  <c r="F80" i="40"/>
  <c r="F103" i="40" s="1"/>
  <c r="F221" i="40" s="1"/>
  <c r="E80" i="40"/>
  <c r="D80" i="40"/>
  <c r="D103" i="40" s="1"/>
  <c r="D221" i="40" s="1"/>
  <c r="C80" i="40"/>
  <c r="B80" i="40"/>
  <c r="B103" i="40" s="1"/>
  <c r="O78" i="40"/>
  <c r="O77" i="40"/>
  <c r="O76" i="40"/>
  <c r="O75" i="40"/>
  <c r="O74" i="40"/>
  <c r="O73" i="40"/>
  <c r="O72" i="40"/>
  <c r="O71" i="40"/>
  <c r="O70" i="40"/>
  <c r="O69" i="40"/>
  <c r="O67" i="40"/>
  <c r="O66" i="40"/>
  <c r="O65" i="40"/>
  <c r="O64" i="40"/>
  <c r="O63" i="40"/>
  <c r="O62" i="40"/>
  <c r="O61" i="40"/>
  <c r="O60" i="40"/>
  <c r="O59" i="40"/>
  <c r="O58" i="40"/>
  <c r="O57" i="40"/>
  <c r="O56" i="40"/>
  <c r="O55" i="40"/>
  <c r="O54" i="40"/>
  <c r="O53" i="40"/>
  <c r="O52" i="40"/>
  <c r="O51" i="40"/>
  <c r="O50" i="40"/>
  <c r="O49" i="40"/>
  <c r="O48" i="40"/>
  <c r="O47" i="40"/>
  <c r="O46" i="40"/>
  <c r="O45" i="40"/>
  <c r="O44" i="40"/>
  <c r="O43" i="40"/>
  <c r="O42" i="40"/>
  <c r="O41" i="40"/>
  <c r="O40" i="40"/>
  <c r="O39" i="40"/>
  <c r="O38" i="40"/>
  <c r="O37" i="40"/>
  <c r="O36" i="40"/>
  <c r="O35" i="40"/>
  <c r="O34" i="40"/>
  <c r="O33" i="40"/>
  <c r="O32" i="40"/>
  <c r="O31" i="40"/>
  <c r="O30" i="40"/>
  <c r="O29" i="40"/>
  <c r="O28" i="40"/>
  <c r="O27" i="40"/>
  <c r="O26" i="40"/>
  <c r="O25" i="40"/>
  <c r="O24" i="40"/>
  <c r="O23" i="40"/>
  <c r="O22" i="40"/>
  <c r="O21" i="40"/>
  <c r="O20" i="40"/>
  <c r="O19" i="40"/>
  <c r="O18" i="40"/>
  <c r="O17" i="40"/>
  <c r="O16" i="40"/>
  <c r="O15" i="40"/>
  <c r="O14" i="40"/>
  <c r="O13" i="40"/>
  <c r="O12" i="40"/>
  <c r="O11" i="40"/>
  <c r="O10" i="40"/>
  <c r="O9" i="40"/>
  <c r="O8" i="40"/>
  <c r="O7" i="40"/>
  <c r="O6" i="40"/>
  <c r="O5" i="40"/>
  <c r="W72" i="28" l="1"/>
  <c r="N72" i="28"/>
  <c r="O72" i="28"/>
  <c r="W50" i="28"/>
  <c r="N50" i="28"/>
  <c r="O50" i="28"/>
  <c r="P45" i="28"/>
  <c r="P14" i="28"/>
  <c r="W41" i="28"/>
  <c r="O41" i="28"/>
  <c r="N41" i="28"/>
  <c r="P41" i="28" s="1"/>
  <c r="V71" i="28"/>
  <c r="U71" i="28"/>
  <c r="R71" i="28"/>
  <c r="T71" i="28"/>
  <c r="X71" i="28" s="1"/>
  <c r="R16" i="28"/>
  <c r="U16" i="28"/>
  <c r="V16" i="28"/>
  <c r="T16" i="28"/>
  <c r="X16" i="28" s="1"/>
  <c r="W49" i="28"/>
  <c r="O49" i="28"/>
  <c r="N49" i="28"/>
  <c r="P49" i="28" s="1"/>
  <c r="R18" i="28"/>
  <c r="V18" i="28"/>
  <c r="U18" i="28"/>
  <c r="T18" i="28"/>
  <c r="X18" i="28" s="1"/>
  <c r="P25" i="28"/>
  <c r="U43" i="28"/>
  <c r="V43" i="28"/>
  <c r="T43" i="28"/>
  <c r="R43" i="28"/>
  <c r="P26" i="28"/>
  <c r="Q5" i="40"/>
  <c r="O80" i="40"/>
  <c r="W46" i="28"/>
  <c r="N46" i="28"/>
  <c r="O46" i="28"/>
  <c r="P42" i="28"/>
  <c r="P20" i="28"/>
  <c r="P17" i="28"/>
  <c r="P47" i="28"/>
  <c r="P19" i="28"/>
  <c r="Y24" i="11"/>
  <c r="K27" i="11"/>
  <c r="Y15" i="11"/>
  <c r="K21" i="11"/>
  <c r="B221" i="40"/>
  <c r="K103" i="40"/>
  <c r="K221" i="40" s="1"/>
  <c r="E103" i="40"/>
  <c r="M103" i="40"/>
  <c r="M221" i="40" s="1"/>
  <c r="H221" i="40"/>
  <c r="E221" i="40"/>
  <c r="C103" i="40"/>
  <c r="C221" i="40" s="1"/>
  <c r="I103" i="40"/>
  <c r="I221" i="40" s="1"/>
  <c r="G103" i="40"/>
  <c r="G221" i="40" s="1"/>
  <c r="O101" i="40"/>
  <c r="Y29" i="11"/>
  <c r="I29" i="28" s="1"/>
  <c r="O219" i="40"/>
  <c r="R17" i="28" l="1"/>
  <c r="U17" i="28"/>
  <c r="V17" i="28"/>
  <c r="T17" i="28"/>
  <c r="X17" i="28" s="1"/>
  <c r="R42" i="28"/>
  <c r="U42" i="28"/>
  <c r="T42" i="28"/>
  <c r="V42" i="28"/>
  <c r="X43" i="28"/>
  <c r="U25" i="28"/>
  <c r="R25" i="28"/>
  <c r="T25" i="28"/>
  <c r="P27" i="28"/>
  <c r="V25" i="28"/>
  <c r="L19" i="29"/>
  <c r="S18" i="28"/>
  <c r="L17" i="29"/>
  <c r="S16" i="28"/>
  <c r="R14" i="28"/>
  <c r="V14" i="28"/>
  <c r="T14" i="28"/>
  <c r="U14" i="28"/>
  <c r="R20" i="28"/>
  <c r="V20" i="28"/>
  <c r="U20" i="28"/>
  <c r="T20" i="28"/>
  <c r="X20" i="28" s="1"/>
  <c r="T49" i="28"/>
  <c r="R49" i="28"/>
  <c r="U49" i="28"/>
  <c r="V49" i="28"/>
  <c r="R41" i="28"/>
  <c r="U41" i="28"/>
  <c r="V41" i="28"/>
  <c r="T41" i="28"/>
  <c r="X41" i="28" s="1"/>
  <c r="R45" i="28"/>
  <c r="V45" i="28"/>
  <c r="T45" i="28"/>
  <c r="U45" i="28"/>
  <c r="R19" i="28"/>
  <c r="V19" i="28"/>
  <c r="U19" i="28"/>
  <c r="T19" i="28"/>
  <c r="X19" i="28" s="1"/>
  <c r="P46" i="28"/>
  <c r="R26" i="28"/>
  <c r="V26" i="28"/>
  <c r="U26" i="28"/>
  <c r="T26" i="28"/>
  <c r="L72" i="29"/>
  <c r="S71" i="28"/>
  <c r="P72" i="28"/>
  <c r="Y27" i="11"/>
  <c r="I24" i="28"/>
  <c r="I27" i="28" s="1"/>
  <c r="W29" i="28"/>
  <c r="O29" i="28"/>
  <c r="N29" i="28"/>
  <c r="Y21" i="11"/>
  <c r="I15" i="28"/>
  <c r="T47" i="28"/>
  <c r="X47" i="28" s="1"/>
  <c r="R47" i="28"/>
  <c r="V47" i="28"/>
  <c r="U47" i="28"/>
  <c r="L43" i="29"/>
  <c r="S43" i="28"/>
  <c r="P50" i="28"/>
  <c r="O103" i="40"/>
  <c r="O221" i="40" s="1"/>
  <c r="P97" i="40"/>
  <c r="X26" i="28" l="1"/>
  <c r="V46" i="28"/>
  <c r="R46" i="28"/>
  <c r="U46" i="28"/>
  <c r="T46" i="28"/>
  <c r="L20" i="29"/>
  <c r="S19" i="28"/>
  <c r="L45" i="29"/>
  <c r="S45" i="28"/>
  <c r="L41" i="29"/>
  <c r="S41" i="28"/>
  <c r="X49" i="28"/>
  <c r="L21" i="29"/>
  <c r="S20" i="28"/>
  <c r="T27" i="28"/>
  <c r="X25" i="28"/>
  <c r="X27" i="28" s="1"/>
  <c r="L15" i="29"/>
  <c r="S14" i="28"/>
  <c r="S25" i="28"/>
  <c r="R27" i="28"/>
  <c r="L25" i="29"/>
  <c r="X42" i="28"/>
  <c r="W15" i="28"/>
  <c r="W21" i="28" s="1"/>
  <c r="O15" i="28"/>
  <c r="N15" i="28"/>
  <c r="P15" i="28" s="1"/>
  <c r="I21" i="28"/>
  <c r="R50" i="28"/>
  <c r="T50" i="28"/>
  <c r="U50" i="28"/>
  <c r="V50" i="28"/>
  <c r="X45" i="28"/>
  <c r="X14" i="28"/>
  <c r="V27" i="28"/>
  <c r="U27" i="28"/>
  <c r="V72" i="28"/>
  <c r="U72" i="28"/>
  <c r="R72" i="28"/>
  <c r="T72" i="28"/>
  <c r="L47" i="29"/>
  <c r="S47" i="28"/>
  <c r="P29" i="28"/>
  <c r="L26" i="29"/>
  <c r="S26" i="28"/>
  <c r="L49" i="29"/>
  <c r="S49" i="28"/>
  <c r="L42" i="29"/>
  <c r="S42" i="28"/>
  <c r="L18" i="29"/>
  <c r="S17" i="28"/>
  <c r="R61" i="16"/>
  <c r="R15" i="28" l="1"/>
  <c r="T15" i="28"/>
  <c r="U15" i="28"/>
  <c r="U21" i="28" s="1"/>
  <c r="V15" i="28"/>
  <c r="V21" i="28" s="1"/>
  <c r="P21" i="28"/>
  <c r="L27" i="29"/>
  <c r="M27" i="29" s="1"/>
  <c r="X72" i="28"/>
  <c r="X50" i="28"/>
  <c r="L46" i="29"/>
  <c r="S46" i="28"/>
  <c r="R29" i="28"/>
  <c r="T29" i="28"/>
  <c r="V29" i="28"/>
  <c r="U29" i="28"/>
  <c r="L50" i="29"/>
  <c r="S50" i="28"/>
  <c r="S27" i="28"/>
  <c r="X97" i="28" s="1"/>
  <c r="L73" i="29"/>
  <c r="S72" i="28"/>
  <c r="X46" i="28"/>
  <c r="A1" i="26"/>
  <c r="X15" i="28" l="1"/>
  <c r="X21" i="28" s="1"/>
  <c r="Y21" i="28" s="1"/>
  <c r="T21" i="28"/>
  <c r="X29" i="28"/>
  <c r="L29" i="29"/>
  <c r="S29" i="28"/>
  <c r="S15" i="28"/>
  <c r="S21" i="28" s="1"/>
  <c r="X94" i="28" s="1"/>
  <c r="Y94" i="28" s="1"/>
  <c r="L16" i="29"/>
  <c r="L22" i="29" s="1"/>
  <c r="M22" i="29" s="1"/>
  <c r="R22" i="29" s="1"/>
  <c r="R21" i="28"/>
  <c r="J82" i="20"/>
  <c r="L43" i="20" l="1"/>
  <c r="L44" i="20"/>
  <c r="L45" i="20"/>
  <c r="L46" i="20"/>
  <c r="L47" i="20"/>
  <c r="F46" i="71" s="1"/>
  <c r="L49" i="20"/>
  <c r="L50" i="20"/>
  <c r="L51" i="20"/>
  <c r="L52" i="20"/>
  <c r="L53" i="20"/>
  <c r="L54" i="20"/>
  <c r="L55" i="20"/>
  <c r="L56" i="20"/>
  <c r="L57" i="20"/>
  <c r="L58" i="20"/>
  <c r="L61" i="20"/>
  <c r="L62" i="20"/>
  <c r="L63" i="20"/>
  <c r="L65" i="20"/>
  <c r="L66" i="20"/>
  <c r="L67" i="20"/>
  <c r="L68" i="20"/>
  <c r="L70" i="20"/>
  <c r="L71" i="20"/>
  <c r="L72" i="20"/>
  <c r="L73" i="20"/>
  <c r="L74" i="20"/>
  <c r="L75" i="20"/>
  <c r="L76" i="20"/>
  <c r="L77" i="20"/>
  <c r="L78" i="20"/>
  <c r="L79" i="20"/>
  <c r="L14" i="20"/>
  <c r="L15" i="20"/>
  <c r="L16" i="20"/>
  <c r="L17" i="20"/>
  <c r="L13" i="20"/>
  <c r="F19" i="20"/>
  <c r="F22" i="20" s="1"/>
  <c r="H19" i="20"/>
  <c r="H22" i="20" s="1"/>
  <c r="F20" i="20"/>
  <c r="H20" i="20"/>
  <c r="L20" i="17"/>
  <c r="L21" i="17"/>
  <c r="L22" i="17"/>
  <c r="T19" i="16"/>
  <c r="T20" i="16"/>
  <c r="T21" i="16"/>
  <c r="T22" i="16"/>
  <c r="T26" i="16"/>
  <c r="L22" i="20" l="1"/>
  <c r="L20" i="20"/>
  <c r="L19" i="20"/>
  <c r="R27" i="29" l="1"/>
  <c r="H18" i="20" l="1"/>
  <c r="S22" i="29" l="1"/>
  <c r="H21" i="20"/>
  <c r="H28" i="20" s="1"/>
  <c r="L60" i="20" l="1"/>
  <c r="L64" i="20"/>
  <c r="F80" i="20" l="1"/>
  <c r="D15" i="86" l="1"/>
  <c r="D17" i="86" s="1"/>
  <c r="B79" i="17" l="1"/>
  <c r="J36" i="16" l="1"/>
  <c r="C13" i="29"/>
  <c r="C79" i="29" s="1"/>
  <c r="C81" i="29" s="1"/>
  <c r="O72" i="11" l="1"/>
  <c r="R72" i="11"/>
  <c r="U72" i="11"/>
  <c r="X72" i="11"/>
  <c r="A12" i="29" l="1"/>
  <c r="E12" i="11" l="1"/>
  <c r="E72" i="11" s="1"/>
  <c r="G25" i="26" l="1"/>
  <c r="E25" i="26"/>
  <c r="U32" i="26" s="1"/>
  <c r="M12" i="11" l="1"/>
  <c r="M53" i="11" s="1"/>
  <c r="N12" i="11"/>
  <c r="P12" i="11"/>
  <c r="Q12" i="11"/>
  <c r="S12" i="11"/>
  <c r="S53" i="11" s="1"/>
  <c r="S63" i="11" s="1"/>
  <c r="S72" i="11" s="1"/>
  <c r="T12" i="11"/>
  <c r="T53" i="11" s="1"/>
  <c r="T63" i="11" s="1"/>
  <c r="T72" i="11" s="1"/>
  <c r="V12" i="11"/>
  <c r="W12" i="11"/>
  <c r="M63" i="11" l="1"/>
  <c r="M72" i="11" s="1"/>
  <c r="Q53" i="11"/>
  <c r="Q63" i="11" s="1"/>
  <c r="Q72" i="11" s="1"/>
  <c r="V53" i="11"/>
  <c r="V63" i="11" s="1"/>
  <c r="V72" i="11" s="1"/>
  <c r="P53" i="11"/>
  <c r="P63" i="11" s="1"/>
  <c r="P72" i="11" s="1"/>
  <c r="N53" i="11"/>
  <c r="N63" i="11" s="1"/>
  <c r="N72" i="11" s="1"/>
  <c r="W53" i="11"/>
  <c r="W63" i="11" s="1"/>
  <c r="W72" i="11" s="1"/>
  <c r="W74" i="11" l="1"/>
  <c r="K52" i="11"/>
  <c r="Y52" i="11" s="1"/>
  <c r="I52" i="28" s="1"/>
  <c r="Z52" i="11"/>
  <c r="J52" i="28" s="1"/>
  <c r="W52" i="28" l="1"/>
  <c r="N52" i="28"/>
  <c r="O52" i="28"/>
  <c r="Z30" i="11"/>
  <c r="J30" i="28" s="1"/>
  <c r="Z65" i="11"/>
  <c r="J69" i="28" s="1"/>
  <c r="Z55" i="11"/>
  <c r="J57" i="28" s="1"/>
  <c r="Z56" i="11"/>
  <c r="J58" i="28" s="1"/>
  <c r="Z32" i="11"/>
  <c r="J32" i="28" s="1"/>
  <c r="Z66" i="11"/>
  <c r="J70" i="28" s="1"/>
  <c r="S70" i="28" s="1"/>
  <c r="Z59" i="11"/>
  <c r="J62" i="28" s="1"/>
  <c r="S62" i="28" s="1"/>
  <c r="Z60" i="11"/>
  <c r="J63" i="28" s="1"/>
  <c r="Z33" i="11"/>
  <c r="J33" i="28" s="1"/>
  <c r="Z35" i="11"/>
  <c r="J35" i="28" s="1"/>
  <c r="Z62" i="11"/>
  <c r="J65" i="28" s="1"/>
  <c r="S65" i="28" s="1"/>
  <c r="Z36" i="11"/>
  <c r="J36" i="28" s="1"/>
  <c r="Z37" i="11"/>
  <c r="J37" i="28" s="1"/>
  <c r="Z61" i="11"/>
  <c r="J64" i="28" s="1"/>
  <c r="S64" i="28" s="1"/>
  <c r="Z38" i="11"/>
  <c r="J38" i="28" s="1"/>
  <c r="Z39" i="11"/>
  <c r="J39" i="28" s="1"/>
  <c r="Z40" i="11"/>
  <c r="J40" i="28" s="1"/>
  <c r="Z44" i="11"/>
  <c r="J44" i="28" s="1"/>
  <c r="Z51" i="11"/>
  <c r="J51" i="28" s="1"/>
  <c r="K30" i="11"/>
  <c r="K31" i="11"/>
  <c r="Y31" i="11" s="1"/>
  <c r="I31" i="28" s="1"/>
  <c r="K65" i="11"/>
  <c r="K55" i="11"/>
  <c r="K56" i="11"/>
  <c r="Y56" i="11" s="1"/>
  <c r="I58" i="28" s="1"/>
  <c r="K32" i="11"/>
  <c r="Y32" i="11" s="1"/>
  <c r="I32" i="28" s="1"/>
  <c r="K66" i="11"/>
  <c r="Y66" i="11" s="1"/>
  <c r="I70" i="28" s="1"/>
  <c r="K59" i="11"/>
  <c r="Y59" i="11" s="1"/>
  <c r="I62" i="28" s="1"/>
  <c r="K60" i="11"/>
  <c r="Y60" i="11" s="1"/>
  <c r="I63" i="28" s="1"/>
  <c r="K33" i="11"/>
  <c r="Y33" i="11" s="1"/>
  <c r="I33" i="28" s="1"/>
  <c r="K11" i="11"/>
  <c r="Y11" i="11" s="1"/>
  <c r="I11" i="28" s="1"/>
  <c r="K35" i="11"/>
  <c r="Y35" i="11" s="1"/>
  <c r="I35" i="28" s="1"/>
  <c r="K62" i="11"/>
  <c r="Y62" i="11" s="1"/>
  <c r="I65" i="28" s="1"/>
  <c r="K36" i="11"/>
  <c r="Y36" i="11" s="1"/>
  <c r="I36" i="28" s="1"/>
  <c r="K37" i="11"/>
  <c r="Y37" i="11" s="1"/>
  <c r="I37" i="28" s="1"/>
  <c r="K61" i="11"/>
  <c r="Y61" i="11" s="1"/>
  <c r="I64" i="28" s="1"/>
  <c r="K38" i="11"/>
  <c r="Y38" i="11" s="1"/>
  <c r="I38" i="28" s="1"/>
  <c r="K39" i="11"/>
  <c r="Y39" i="11" s="1"/>
  <c r="I39" i="28" s="1"/>
  <c r="K40" i="11"/>
  <c r="Y40" i="11" s="1"/>
  <c r="I40" i="28" s="1"/>
  <c r="K44" i="11"/>
  <c r="Y44" i="11" s="1"/>
  <c r="I44" i="28" s="1"/>
  <c r="K51" i="11"/>
  <c r="Y51" i="11" s="1"/>
  <c r="I51" i="28" s="1"/>
  <c r="W39" i="28" l="1"/>
  <c r="N39" i="28"/>
  <c r="O39" i="28"/>
  <c r="W33" i="28"/>
  <c r="O33" i="28"/>
  <c r="N33" i="28"/>
  <c r="P33" i="28" s="1"/>
  <c r="W32" i="28"/>
  <c r="O32" i="28"/>
  <c r="N32" i="28"/>
  <c r="W31" i="28"/>
  <c r="N31" i="28"/>
  <c r="O31" i="28"/>
  <c r="J55" i="28"/>
  <c r="W51" i="28"/>
  <c r="O51" i="28"/>
  <c r="N51" i="28"/>
  <c r="P51" i="28" s="1"/>
  <c r="W38" i="28"/>
  <c r="O38" i="28"/>
  <c r="N38" i="28"/>
  <c r="P38" i="28" s="1"/>
  <c r="W63" i="28"/>
  <c r="N63" i="28"/>
  <c r="O63" i="28"/>
  <c r="W58" i="28"/>
  <c r="W67" i="28" s="1"/>
  <c r="N58" i="28"/>
  <c r="P58" i="28" s="1"/>
  <c r="O58" i="28"/>
  <c r="W36" i="28"/>
  <c r="O36" i="28"/>
  <c r="N36" i="28"/>
  <c r="W35" i="28"/>
  <c r="O35" i="28"/>
  <c r="N35" i="28"/>
  <c r="P35" i="28" s="1"/>
  <c r="J67" i="28"/>
  <c r="S57" i="28"/>
  <c r="P52" i="28"/>
  <c r="W44" i="28"/>
  <c r="N44" i="28"/>
  <c r="P44" i="28" s="1"/>
  <c r="O44" i="28"/>
  <c r="W40" i="28"/>
  <c r="O40" i="28"/>
  <c r="N40" i="28"/>
  <c r="P40" i="28" s="1"/>
  <c r="W37" i="28"/>
  <c r="N37" i="28"/>
  <c r="O37" i="28"/>
  <c r="N11" i="28"/>
  <c r="P11" i="28" s="1"/>
  <c r="I12" i="28"/>
  <c r="N70" i="28"/>
  <c r="O70" i="28"/>
  <c r="J74" i="28"/>
  <c r="K69" i="11"/>
  <c r="Y55" i="11"/>
  <c r="I57" i="28" s="1"/>
  <c r="I67" i="28" s="1"/>
  <c r="K63" i="11"/>
  <c r="Z53" i="11"/>
  <c r="AC53" i="11" s="1"/>
  <c r="Z69" i="11"/>
  <c r="K53" i="11"/>
  <c r="Z63" i="11"/>
  <c r="AC63" i="11" s="1"/>
  <c r="AD63" i="11" s="1"/>
  <c r="B34" i="20" s="1"/>
  <c r="Y12" i="11"/>
  <c r="Z12" i="11"/>
  <c r="AC12" i="11" s="1"/>
  <c r="L38" i="20"/>
  <c r="Y65" i="11"/>
  <c r="I69" i="28" s="1"/>
  <c r="O46" i="7"/>
  <c r="C55" i="71" s="1"/>
  <c r="O45" i="7"/>
  <c r="C54" i="71" s="1"/>
  <c r="Y30" i="11"/>
  <c r="I30" i="28" s="1"/>
  <c r="R11" i="28" l="1"/>
  <c r="T11" i="28"/>
  <c r="U11" i="28"/>
  <c r="U12" i="28" s="1"/>
  <c r="P12" i="28"/>
  <c r="V40" i="28"/>
  <c r="T40" i="28"/>
  <c r="R40" i="28"/>
  <c r="U40" i="28"/>
  <c r="U44" i="28"/>
  <c r="V44" i="28"/>
  <c r="T44" i="28"/>
  <c r="X44" i="28" s="1"/>
  <c r="R44" i="28"/>
  <c r="P36" i="28"/>
  <c r="T58" i="28"/>
  <c r="V58" i="28"/>
  <c r="U58" i="28"/>
  <c r="R58" i="28"/>
  <c r="V51" i="28"/>
  <c r="U51" i="28"/>
  <c r="T51" i="28"/>
  <c r="R51" i="28"/>
  <c r="U35" i="28"/>
  <c r="V35" i="28"/>
  <c r="R35" i="28"/>
  <c r="T35" i="28"/>
  <c r="V38" i="28"/>
  <c r="R38" i="28"/>
  <c r="T38" i="28"/>
  <c r="U38" i="28"/>
  <c r="P31" i="28"/>
  <c r="W69" i="28"/>
  <c r="W74" i="28" s="1"/>
  <c r="O69" i="28"/>
  <c r="I74" i="28"/>
  <c r="N69" i="28"/>
  <c r="P69" i="28" s="1"/>
  <c r="P70" i="28"/>
  <c r="P37" i="28"/>
  <c r="T52" i="28"/>
  <c r="V52" i="28"/>
  <c r="U52" i="28"/>
  <c r="R52" i="28"/>
  <c r="T33" i="28"/>
  <c r="U33" i="28"/>
  <c r="R33" i="28"/>
  <c r="V33" i="28"/>
  <c r="P39" i="28"/>
  <c r="W30" i="28"/>
  <c r="W55" i="28" s="1"/>
  <c r="W81" i="28" s="1"/>
  <c r="W85" i="28" s="1"/>
  <c r="O30" i="28"/>
  <c r="N30" i="28"/>
  <c r="I55" i="28"/>
  <c r="AC72" i="11"/>
  <c r="Z72" i="11"/>
  <c r="AC69" i="11"/>
  <c r="I81" i="28"/>
  <c r="I83" i="28" s="1"/>
  <c r="P63" i="28"/>
  <c r="J81" i="28"/>
  <c r="J83" i="28" s="1"/>
  <c r="J84" i="28" s="1"/>
  <c r="P32" i="28"/>
  <c r="E29" i="97"/>
  <c r="E30" i="97"/>
  <c r="Y69" i="11"/>
  <c r="Y53" i="11"/>
  <c r="Y63" i="11"/>
  <c r="N36" i="16"/>
  <c r="L39" i="20"/>
  <c r="L41" i="20"/>
  <c r="Q45" i="7"/>
  <c r="S45" i="7" s="1"/>
  <c r="Q46" i="7"/>
  <c r="S46" i="7" s="1"/>
  <c r="O43" i="7"/>
  <c r="C52" i="71" s="1"/>
  <c r="F8" i="94"/>
  <c r="F9" i="94" s="1"/>
  <c r="F10" i="94" s="1"/>
  <c r="F11" i="94" s="1"/>
  <c r="F12" i="94" s="1"/>
  <c r="F13" i="94" s="1"/>
  <c r="F14" i="94" s="1"/>
  <c r="F15" i="94" s="1"/>
  <c r="F16" i="94" s="1"/>
  <c r="F17" i="94" s="1"/>
  <c r="F18" i="94" s="1"/>
  <c r="F19" i="94" s="1"/>
  <c r="F20" i="94" s="1"/>
  <c r="F21" i="94" s="1"/>
  <c r="F22" i="94" s="1"/>
  <c r="F23" i="94" s="1"/>
  <c r="F24" i="94" s="1"/>
  <c r="F25" i="94" s="1"/>
  <c r="F26" i="94" s="1"/>
  <c r="F27" i="94" s="1"/>
  <c r="F28" i="94" s="1"/>
  <c r="F29" i="94" s="1"/>
  <c r="F30" i="94" s="1"/>
  <c r="F31" i="94" s="1"/>
  <c r="F32" i="94" s="1"/>
  <c r="F33" i="94" s="1"/>
  <c r="F34" i="94" s="1"/>
  <c r="F35" i="94" s="1"/>
  <c r="F36" i="94" s="1"/>
  <c r="F37" i="94" s="1"/>
  <c r="F38" i="94" s="1"/>
  <c r="F39" i="94" s="1"/>
  <c r="F40" i="94" s="1"/>
  <c r="F41" i="94" s="1"/>
  <c r="F42" i="94" s="1"/>
  <c r="F43" i="94" s="1"/>
  <c r="F44" i="94" s="1"/>
  <c r="F45" i="94" s="1"/>
  <c r="F46" i="94" s="1"/>
  <c r="F47" i="94" s="1"/>
  <c r="F48" i="94" s="1"/>
  <c r="F49" i="94" s="1"/>
  <c r="J38" i="94"/>
  <c r="K38" i="94" s="1"/>
  <c r="Z68" i="94" s="1"/>
  <c r="J43" i="94"/>
  <c r="J44" i="94"/>
  <c r="J45" i="94"/>
  <c r="U56" i="94"/>
  <c r="V19" i="94" s="1"/>
  <c r="U57" i="94"/>
  <c r="S59" i="94"/>
  <c r="U63" i="28" l="1"/>
  <c r="V63" i="28"/>
  <c r="R63" i="28"/>
  <c r="T63" i="28"/>
  <c r="X63" i="28" s="1"/>
  <c r="L33" i="29"/>
  <c r="S33" i="28"/>
  <c r="T70" i="28"/>
  <c r="U70" i="28"/>
  <c r="L38" i="29"/>
  <c r="S38" i="28"/>
  <c r="U67" i="28"/>
  <c r="L44" i="29"/>
  <c r="S44" i="28"/>
  <c r="R69" i="28"/>
  <c r="P74" i="28"/>
  <c r="U69" i="28"/>
  <c r="T69" i="28"/>
  <c r="V69" i="28"/>
  <c r="V74" i="28" s="1"/>
  <c r="T31" i="28"/>
  <c r="R31" i="28"/>
  <c r="V31" i="28"/>
  <c r="U31" i="28"/>
  <c r="V67" i="28"/>
  <c r="L40" i="29"/>
  <c r="S40" i="28"/>
  <c r="T32" i="28"/>
  <c r="R32" i="28"/>
  <c r="U32" i="28"/>
  <c r="V32" i="28"/>
  <c r="U39" i="28"/>
  <c r="R39" i="28"/>
  <c r="T39" i="28"/>
  <c r="V39" i="28"/>
  <c r="X33" i="28"/>
  <c r="X52" i="28"/>
  <c r="X35" i="28"/>
  <c r="L51" i="29"/>
  <c r="S51" i="28"/>
  <c r="L58" i="29"/>
  <c r="S58" i="28"/>
  <c r="R67" i="28"/>
  <c r="X58" i="28"/>
  <c r="X67" i="28" s="1"/>
  <c r="Y67" i="28" s="1"/>
  <c r="T67" i="28"/>
  <c r="X40" i="28"/>
  <c r="X11" i="28"/>
  <c r="X12" i="28" s="1"/>
  <c r="T12" i="28"/>
  <c r="P30" i="28"/>
  <c r="L52" i="29"/>
  <c r="S52" i="28"/>
  <c r="R37" i="28"/>
  <c r="V37" i="28"/>
  <c r="T37" i="28"/>
  <c r="U37" i="28"/>
  <c r="X38" i="28"/>
  <c r="L35" i="29"/>
  <c r="S35" i="28"/>
  <c r="X51" i="28"/>
  <c r="P67" i="28"/>
  <c r="V36" i="28"/>
  <c r="U36" i="28"/>
  <c r="T36" i="28"/>
  <c r="X36" i="28" s="1"/>
  <c r="R36" i="28"/>
  <c r="L12" i="29"/>
  <c r="L13" i="29" s="1"/>
  <c r="R12" i="28"/>
  <c r="S11" i="28"/>
  <c r="S12" i="28" s="1"/>
  <c r="F29" i="97"/>
  <c r="D54" i="71" s="1"/>
  <c r="E54" i="71" s="1"/>
  <c r="I54" i="71" s="1"/>
  <c r="Y72" i="11"/>
  <c r="E27" i="97"/>
  <c r="Q43" i="7"/>
  <c r="S43" i="7" s="1"/>
  <c r="Y68" i="94"/>
  <c r="V29" i="94"/>
  <c r="V12" i="94"/>
  <c r="V8" i="94"/>
  <c r="V27" i="94"/>
  <c r="V18" i="94"/>
  <c r="V36" i="94"/>
  <c r="V7" i="94"/>
  <c r="V11" i="94"/>
  <c r="V13" i="94"/>
  <c r="V22" i="94"/>
  <c r="V24" i="94"/>
  <c r="V26" i="94"/>
  <c r="V6" i="94"/>
  <c r="V16" i="94"/>
  <c r="V28" i="94"/>
  <c r="V9" i="94"/>
  <c r="V17" i="94"/>
  <c r="V31" i="94"/>
  <c r="V23" i="94"/>
  <c r="V32" i="94"/>
  <c r="V33" i="94"/>
  <c r="V34" i="94"/>
  <c r="V14" i="94"/>
  <c r="V38" i="94"/>
  <c r="V39" i="94"/>
  <c r="V37" i="94"/>
  <c r="V21" i="94"/>
  <c r="L36" i="29" l="1"/>
  <c r="S36" i="28"/>
  <c r="L37" i="29"/>
  <c r="S37" i="28"/>
  <c r="X32" i="28"/>
  <c r="X31" i="28"/>
  <c r="X95" i="28"/>
  <c r="L70" i="29"/>
  <c r="L75" i="29" s="1"/>
  <c r="S69" i="28"/>
  <c r="S74" i="28" s="1"/>
  <c r="X93" i="28" s="1"/>
  <c r="R74" i="28"/>
  <c r="X70" i="28"/>
  <c r="L63" i="29"/>
  <c r="S63" i="28"/>
  <c r="X37" i="28"/>
  <c r="S67" i="28"/>
  <c r="X96" i="28" s="1"/>
  <c r="Y96" i="28" s="1"/>
  <c r="X39" i="28"/>
  <c r="X69" i="28"/>
  <c r="T74" i="28"/>
  <c r="R30" i="28"/>
  <c r="U30" i="28"/>
  <c r="U55" i="28" s="1"/>
  <c r="U81" i="28" s="1"/>
  <c r="U85" i="28" s="1"/>
  <c r="V30" i="28"/>
  <c r="V55" i="28" s="1"/>
  <c r="V81" i="28" s="1"/>
  <c r="V85" i="28" s="1"/>
  <c r="T30" i="28"/>
  <c r="P55" i="28"/>
  <c r="P81" i="28" s="1"/>
  <c r="P85" i="28" s="1"/>
  <c r="L68" i="29"/>
  <c r="M68" i="29" s="1"/>
  <c r="R68" i="29" s="1"/>
  <c r="S68" i="29" s="1"/>
  <c r="L39" i="29"/>
  <c r="S39" i="28"/>
  <c r="L32" i="29"/>
  <c r="S32" i="28"/>
  <c r="L31" i="29"/>
  <c r="S31" i="28"/>
  <c r="U74" i="28"/>
  <c r="Q21" i="7"/>
  <c r="M75" i="29" l="1"/>
  <c r="R75" i="29" s="1"/>
  <c r="S21" i="7"/>
  <c r="U21" i="7"/>
  <c r="L30" i="29"/>
  <c r="L55" i="29" s="1"/>
  <c r="M55" i="29" s="1"/>
  <c r="R55" i="29" s="1"/>
  <c r="S30" i="28"/>
  <c r="S55" i="28" s="1"/>
  <c r="R55" i="28"/>
  <c r="R81" i="28" s="1"/>
  <c r="R85" i="28" s="1"/>
  <c r="X30" i="28"/>
  <c r="X55" i="28" s="1"/>
  <c r="X81" i="28" s="1"/>
  <c r="X85" i="28" s="1"/>
  <c r="T55" i="28"/>
  <c r="T81" i="28" s="1"/>
  <c r="T85" i="28" s="1"/>
  <c r="X74" i="28"/>
  <c r="B13" i="29"/>
  <c r="X92" i="28" l="1"/>
  <c r="X99" i="28" s="1"/>
  <c r="S81" i="28"/>
  <c r="S85" i="28" s="1"/>
  <c r="X100" i="28" s="1"/>
  <c r="L79" i="29"/>
  <c r="L81" i="29" s="1"/>
  <c r="B79" i="29"/>
  <c r="B81" i="29" s="1"/>
  <c r="G13" i="29"/>
  <c r="G79" i="29" s="1"/>
  <c r="H13" i="29"/>
  <c r="X101" i="28" l="1"/>
  <c r="H79" i="29"/>
  <c r="H81" i="29" s="1"/>
  <c r="M13" i="29"/>
  <c r="P12" i="29"/>
  <c r="G81" i="29"/>
  <c r="R28" i="16"/>
  <c r="T33" i="16"/>
  <c r="T35" i="16"/>
  <c r="T37" i="16"/>
  <c r="T40" i="16"/>
  <c r="T41" i="16"/>
  <c r="T42" i="16"/>
  <c r="T43" i="16"/>
  <c r="T44" i="16"/>
  <c r="T47" i="16"/>
  <c r="T48" i="16"/>
  <c r="T49" i="16"/>
  <c r="T50" i="16"/>
  <c r="T51" i="16"/>
  <c r="T52" i="16"/>
  <c r="T53" i="16"/>
  <c r="T55" i="16"/>
  <c r="T56" i="16"/>
  <c r="T57" i="16"/>
  <c r="T58" i="16"/>
  <c r="T59" i="16"/>
  <c r="T60" i="16"/>
  <c r="T62" i="16"/>
  <c r="T64" i="16"/>
  <c r="T66" i="16"/>
  <c r="T31" i="16"/>
  <c r="T15" i="16"/>
  <c r="T17" i="16"/>
  <c r="T18" i="16"/>
  <c r="T14" i="16"/>
  <c r="T13" i="16"/>
  <c r="P28" i="16"/>
  <c r="M79" i="29" l="1"/>
  <c r="M81" i="29" s="1"/>
  <c r="R12" i="29"/>
  <c r="R81" i="29" s="1"/>
  <c r="P81" i="29"/>
  <c r="P73" i="16"/>
  <c r="P75" i="16" s="1"/>
  <c r="G12" i="49" l="1"/>
  <c r="G13" i="49"/>
  <c r="G14" i="49"/>
  <c r="G15" i="49"/>
  <c r="G16" i="49"/>
  <c r="G17" i="49"/>
  <c r="G18" i="49"/>
  <c r="G19" i="49"/>
  <c r="G20" i="49"/>
  <c r="G21" i="49"/>
  <c r="G22" i="49"/>
  <c r="F12" i="11" l="1"/>
  <c r="F72" i="11" s="1"/>
  <c r="H12" i="11"/>
  <c r="H72" i="11" s="1"/>
  <c r="I12" i="11"/>
  <c r="I72" i="11" s="1"/>
  <c r="J12" i="11"/>
  <c r="J72" i="11" s="1"/>
  <c r="K12" i="11"/>
  <c r="K72" i="11" s="1"/>
  <c r="L28" i="16"/>
  <c r="D28" i="20"/>
  <c r="B5" i="7"/>
  <c r="A5" i="20"/>
  <c r="A5" i="21"/>
  <c r="A5" i="17"/>
  <c r="A5" i="19"/>
  <c r="A5" i="16"/>
  <c r="A5" i="18"/>
  <c r="B5" i="71"/>
  <c r="L15" i="17"/>
  <c r="L17" i="17"/>
  <c r="L27" i="17"/>
  <c r="L43" i="17"/>
  <c r="L45" i="17"/>
  <c r="L47" i="17"/>
  <c r="J46" i="71" s="1"/>
  <c r="L51" i="17"/>
  <c r="L53" i="17"/>
  <c r="L54" i="17"/>
  <c r="L57" i="17"/>
  <c r="L58" i="17"/>
  <c r="L61" i="17"/>
  <c r="L62" i="17"/>
  <c r="L63" i="17"/>
  <c r="L64" i="17"/>
  <c r="L65" i="17"/>
  <c r="L67" i="17"/>
  <c r="L68" i="17"/>
  <c r="L70" i="17"/>
  <c r="L71" i="17"/>
  <c r="L72" i="17"/>
  <c r="L73" i="17"/>
  <c r="L74" i="17"/>
  <c r="L75" i="17"/>
  <c r="L77" i="17"/>
  <c r="L79" i="17"/>
  <c r="J78" i="71" s="1"/>
  <c r="A1" i="20"/>
  <c r="A1" i="16"/>
  <c r="A12" i="16"/>
  <c r="A12" i="17" s="1"/>
  <c r="A1" i="63"/>
  <c r="B1" i="64" s="1"/>
  <c r="A1" i="18"/>
  <c r="I25" i="26"/>
  <c r="U33" i="26" s="1"/>
  <c r="C25" i="26"/>
  <c r="U31" i="26" s="1"/>
  <c r="J28" i="16"/>
  <c r="A1" i="54"/>
  <c r="A13" i="29"/>
  <c r="O29" i="7"/>
  <c r="C37" i="71" s="1"/>
  <c r="E13" i="97" s="1"/>
  <c r="O42" i="7"/>
  <c r="C51" i="71" s="1"/>
  <c r="B28" i="16"/>
  <c r="F28" i="16"/>
  <c r="H28" i="16"/>
  <c r="B28" i="17"/>
  <c r="D28" i="17"/>
  <c r="L46" i="17"/>
  <c r="U35" i="26" l="1"/>
  <c r="E26" i="97"/>
  <c r="A1" i="79"/>
  <c r="A1" i="87"/>
  <c r="A1" i="66" s="1"/>
  <c r="L40" i="20"/>
  <c r="L25" i="7"/>
  <c r="A30" i="20"/>
  <c r="A30" i="17"/>
  <c r="O34" i="7"/>
  <c r="C42" i="71" s="1"/>
  <c r="O35" i="7"/>
  <c r="O61" i="7"/>
  <c r="C70" i="71" s="1"/>
  <c r="L69" i="7"/>
  <c r="H69" i="7"/>
  <c r="K69" i="7"/>
  <c r="G69" i="7"/>
  <c r="N69" i="7"/>
  <c r="J69" i="7"/>
  <c r="H25" i="7"/>
  <c r="D25" i="7"/>
  <c r="A12" i="20"/>
  <c r="E69" i="7"/>
  <c r="Q41" i="7"/>
  <c r="S41" i="7" s="1"/>
  <c r="F25" i="7"/>
  <c r="M25" i="7"/>
  <c r="I25" i="7"/>
  <c r="E25" i="7"/>
  <c r="K25" i="7"/>
  <c r="O52" i="7"/>
  <c r="C61" i="71" s="1"/>
  <c r="O38" i="7"/>
  <c r="O40" i="7"/>
  <c r="C49" i="71" s="1"/>
  <c r="E49" i="71" s="1"/>
  <c r="I49" i="71" s="1"/>
  <c r="O31" i="7"/>
  <c r="C39" i="71" s="1"/>
  <c r="G25" i="7"/>
  <c r="C12" i="71"/>
  <c r="N25" i="7"/>
  <c r="O75" i="7"/>
  <c r="C86" i="71" s="1"/>
  <c r="O37" i="7"/>
  <c r="C45" i="71" s="1"/>
  <c r="C14" i="71"/>
  <c r="C16" i="71"/>
  <c r="E16" i="71" s="1"/>
  <c r="I16" i="71" s="1"/>
  <c r="A5" i="87"/>
  <c r="A5" i="66" s="1"/>
  <c r="D69" i="7"/>
  <c r="O28" i="7"/>
  <c r="O44" i="7"/>
  <c r="O47" i="7"/>
  <c r="C56" i="71" s="1"/>
  <c r="O48" i="7"/>
  <c r="C57" i="71" s="1"/>
  <c r="O50" i="7"/>
  <c r="C59" i="71" s="1"/>
  <c r="O51" i="7"/>
  <c r="C60" i="71" s="1"/>
  <c r="O54" i="7"/>
  <c r="C63" i="71" s="1"/>
  <c r="O56" i="7"/>
  <c r="C65" i="71" s="1"/>
  <c r="O58" i="7"/>
  <c r="C67" i="71" s="1"/>
  <c r="O59" i="7"/>
  <c r="C68" i="71" s="1"/>
  <c r="O60" i="7"/>
  <c r="C69" i="71" s="1"/>
  <c r="O64" i="7"/>
  <c r="O66" i="7"/>
  <c r="C75" i="71" s="1"/>
  <c r="O39" i="7"/>
  <c r="C48" i="71" s="1"/>
  <c r="Q42" i="7"/>
  <c r="S42" i="7" s="1"/>
  <c r="C69" i="7"/>
  <c r="C25" i="7"/>
  <c r="C18" i="71"/>
  <c r="E18" i="71" s="1"/>
  <c r="I18" i="71" s="1"/>
  <c r="O33" i="7"/>
  <c r="O30" i="7"/>
  <c r="C38" i="71" s="1"/>
  <c r="E14" i="97" s="1"/>
  <c r="O53" i="7"/>
  <c r="C62" i="71" s="1"/>
  <c r="O67" i="7"/>
  <c r="H70" i="16" s="1"/>
  <c r="T70" i="16" s="1"/>
  <c r="G76" i="71" s="1"/>
  <c r="M69" i="7"/>
  <c r="I69" i="7"/>
  <c r="O62" i="7"/>
  <c r="C71" i="71" s="1"/>
  <c r="O36" i="7"/>
  <c r="C44" i="71" s="1"/>
  <c r="F69" i="7"/>
  <c r="J25" i="7"/>
  <c r="B24" i="79" l="1"/>
  <c r="E39" i="71"/>
  <c r="E15" i="97"/>
  <c r="L86" i="71"/>
  <c r="N86" i="71" s="1"/>
  <c r="I86" i="71"/>
  <c r="C53" i="71"/>
  <c r="B9" i="66"/>
  <c r="C73" i="71"/>
  <c r="E48" i="97" s="1"/>
  <c r="D67" i="16"/>
  <c r="C46" i="71"/>
  <c r="S23" i="77" s="1"/>
  <c r="T23" i="77" s="1"/>
  <c r="C53" i="77"/>
  <c r="C55" i="77" s="1"/>
  <c r="E43" i="97"/>
  <c r="E28" i="97"/>
  <c r="E22" i="97"/>
  <c r="E46" i="97"/>
  <c r="E37" i="97"/>
  <c r="E50" i="97"/>
  <c r="E42" i="97"/>
  <c r="E34" i="97"/>
  <c r="E36" i="97"/>
  <c r="E40" i="97"/>
  <c r="E32" i="97"/>
  <c r="C74" i="77"/>
  <c r="E14" i="71"/>
  <c r="I14" i="71" s="1"/>
  <c r="E44" i="97"/>
  <c r="E38" i="97"/>
  <c r="E31" i="97"/>
  <c r="F31" i="97" s="1"/>
  <c r="E21" i="97"/>
  <c r="E45" i="71"/>
  <c r="I45" i="71" s="1"/>
  <c r="L45" i="71" s="1"/>
  <c r="N45" i="71" s="1"/>
  <c r="C73" i="77"/>
  <c r="E12" i="71"/>
  <c r="E45" i="97"/>
  <c r="E35" i="97"/>
  <c r="E20" i="97"/>
  <c r="E18" i="97"/>
  <c r="E24" i="97"/>
  <c r="E23" i="97"/>
  <c r="E50" i="49"/>
  <c r="A1" i="77"/>
  <c r="A1" i="86" s="1"/>
  <c r="L16" i="71"/>
  <c r="N16" i="71" s="1"/>
  <c r="L14" i="71"/>
  <c r="N14" i="71" s="1"/>
  <c r="C26" i="71"/>
  <c r="K37" i="96" s="1"/>
  <c r="C27" i="71"/>
  <c r="C43" i="71"/>
  <c r="D38" i="16"/>
  <c r="T38" i="16" s="1"/>
  <c r="G43" i="71" s="1"/>
  <c r="C41" i="71"/>
  <c r="E41" i="71" s="1"/>
  <c r="I41" i="71" s="1"/>
  <c r="F11" i="54"/>
  <c r="C76" i="71"/>
  <c r="Q75" i="7"/>
  <c r="L69" i="20"/>
  <c r="L42" i="20"/>
  <c r="H80" i="20"/>
  <c r="H82" i="20" s="1"/>
  <c r="Q23" i="7"/>
  <c r="S23" i="7" s="1"/>
  <c r="Q44" i="7"/>
  <c r="S44" i="7" s="1"/>
  <c r="L54" i="71"/>
  <c r="N54" i="71" s="1"/>
  <c r="L66" i="71"/>
  <c r="N66" i="71" s="1"/>
  <c r="Q61" i="7"/>
  <c r="S61" i="7" s="1"/>
  <c r="T72" i="16"/>
  <c r="Q34" i="7"/>
  <c r="S34" i="7" s="1"/>
  <c r="C30" i="71"/>
  <c r="J70" i="7"/>
  <c r="J77" i="7" s="1"/>
  <c r="L70" i="7"/>
  <c r="L77" i="7" s="1"/>
  <c r="Q57" i="7"/>
  <c r="S57" i="7" s="1"/>
  <c r="F70" i="7"/>
  <c r="F77" i="7" s="1"/>
  <c r="Q35" i="7"/>
  <c r="S35" i="7" s="1"/>
  <c r="N70" i="7"/>
  <c r="N77" i="7" s="1"/>
  <c r="M70" i="7"/>
  <c r="M77" i="7" s="1"/>
  <c r="D70" i="7"/>
  <c r="D77" i="7" s="1"/>
  <c r="G70" i="7"/>
  <c r="G77" i="7" s="1"/>
  <c r="A5" i="49"/>
  <c r="A5" i="79" s="1"/>
  <c r="K70" i="7"/>
  <c r="K77" i="7" s="1"/>
  <c r="I70" i="7"/>
  <c r="I77" i="7" s="1"/>
  <c r="L72" i="71"/>
  <c r="N72" i="71" s="1"/>
  <c r="H70" i="7"/>
  <c r="H77" i="7" s="1"/>
  <c r="T61" i="16"/>
  <c r="E70" i="7"/>
  <c r="E77" i="7" s="1"/>
  <c r="Q52" i="7"/>
  <c r="S52" i="7" s="1"/>
  <c r="T68" i="16"/>
  <c r="Q40" i="7"/>
  <c r="S40" i="7" s="1"/>
  <c r="Q24" i="7"/>
  <c r="U24" i="7" s="1"/>
  <c r="U25" i="7" s="1"/>
  <c r="C70" i="7"/>
  <c r="C77" i="7" s="1"/>
  <c r="Q31" i="7"/>
  <c r="S31" i="7" s="1"/>
  <c r="D27" i="16"/>
  <c r="L66" i="17"/>
  <c r="Q36" i="7"/>
  <c r="S36" i="7" s="1"/>
  <c r="Q67" i="7"/>
  <c r="S67" i="7" s="1"/>
  <c r="Q30" i="7"/>
  <c r="S30" i="7" s="1"/>
  <c r="Q64" i="7"/>
  <c r="S64" i="7" s="1"/>
  <c r="Q58" i="7"/>
  <c r="S58" i="7" s="1"/>
  <c r="L64" i="71"/>
  <c r="N64" i="71" s="1"/>
  <c r="O25" i="7"/>
  <c r="Q59" i="7"/>
  <c r="S59" i="7" s="1"/>
  <c r="Q48" i="7"/>
  <c r="S48" i="7" s="1"/>
  <c r="Q62" i="7"/>
  <c r="S62" i="7" s="1"/>
  <c r="Q53" i="7"/>
  <c r="S53" i="7" s="1"/>
  <c r="Q33" i="7"/>
  <c r="S33" i="7" s="1"/>
  <c r="O69" i="7"/>
  <c r="Q60" i="7"/>
  <c r="S60" i="7" s="1"/>
  <c r="Q56" i="7"/>
  <c r="S56" i="7" s="1"/>
  <c r="Q50" i="7"/>
  <c r="S50" i="7" s="1"/>
  <c r="Q66" i="7"/>
  <c r="S66" i="7" s="1"/>
  <c r="Q54" i="7"/>
  <c r="S54" i="7" s="1"/>
  <c r="Q68" i="7"/>
  <c r="S68" i="7" s="1"/>
  <c r="Q51" i="7"/>
  <c r="S51" i="7" s="1"/>
  <c r="Q47" i="7"/>
  <c r="S47" i="7" s="1"/>
  <c r="L74" i="71"/>
  <c r="N74" i="71" s="1"/>
  <c r="H23" i="63" l="1"/>
  <c r="E73" i="71"/>
  <c r="B25" i="79"/>
  <c r="F34" i="16" s="1"/>
  <c r="T39" i="16"/>
  <c r="G44" i="71" s="1"/>
  <c r="T67" i="16"/>
  <c r="G73" i="71" s="1"/>
  <c r="F12" i="54"/>
  <c r="C9" i="94" s="1"/>
  <c r="K27" i="94" s="1"/>
  <c r="D46" i="71"/>
  <c r="E46" i="71" s="1"/>
  <c r="I46" i="71" s="1"/>
  <c r="C75" i="77"/>
  <c r="D73" i="77" s="1"/>
  <c r="C77" i="77" s="1"/>
  <c r="I12" i="71"/>
  <c r="I26" i="71" s="1"/>
  <c r="E26" i="71"/>
  <c r="K36" i="96" s="1"/>
  <c r="K38" i="96" s="1"/>
  <c r="F25" i="97" s="1"/>
  <c r="E6" i="97"/>
  <c r="E76" i="71"/>
  <c r="I76" i="71" s="1"/>
  <c r="L76" i="71" s="1"/>
  <c r="N76" i="71" s="1"/>
  <c r="E51" i="97"/>
  <c r="E43" i="71"/>
  <c r="I43" i="71" s="1"/>
  <c r="E19" i="97"/>
  <c r="E17" i="97"/>
  <c r="D74" i="77"/>
  <c r="C78" i="77" s="1"/>
  <c r="C66" i="77"/>
  <c r="C80" i="71"/>
  <c r="T46" i="16"/>
  <c r="A5" i="77"/>
  <c r="L13" i="17"/>
  <c r="T45" i="16"/>
  <c r="S24" i="7"/>
  <c r="Q38" i="7"/>
  <c r="S38" i="7" s="1"/>
  <c r="T27" i="16"/>
  <c r="D28" i="16"/>
  <c r="O70" i="7"/>
  <c r="O77" i="7" s="1"/>
  <c r="Q29" i="7"/>
  <c r="S29" i="7" s="1"/>
  <c r="P83" i="29" s="1"/>
  <c r="P84" i="29" s="1"/>
  <c r="J32" i="16" s="1"/>
  <c r="T32" i="16" s="1"/>
  <c r="G37" i="71" s="1"/>
  <c r="Q37" i="7"/>
  <c r="S37" i="7" s="1"/>
  <c r="T63" i="16"/>
  <c r="T16" i="16"/>
  <c r="Q39" i="7"/>
  <c r="S39" i="7" s="1"/>
  <c r="C88" i="71" l="1"/>
  <c r="E56" i="97"/>
  <c r="T34" i="16"/>
  <c r="G39" i="71" s="1"/>
  <c r="I39" i="71" s="1"/>
  <c r="L39" i="71" s="1"/>
  <c r="N39" i="71" s="1"/>
  <c r="J73" i="16"/>
  <c r="J75" i="16" s="1"/>
  <c r="L16" i="17"/>
  <c r="H48" i="17"/>
  <c r="L48" i="17" s="1"/>
  <c r="J47" i="71" s="1"/>
  <c r="L47" i="71" s="1"/>
  <c r="N47" i="71" s="1"/>
  <c r="H19" i="17"/>
  <c r="B26" i="79"/>
  <c r="E54" i="97"/>
  <c r="D73" i="16"/>
  <c r="D75" i="16" s="1"/>
  <c r="I73" i="71"/>
  <c r="L73" i="71" s="1"/>
  <c r="N73" i="71" s="1"/>
  <c r="C83" i="71"/>
  <c r="C87" i="71" s="1"/>
  <c r="L14" i="17"/>
  <c r="F28" i="17"/>
  <c r="A5" i="86"/>
  <c r="T28" i="16"/>
  <c r="L46" i="71"/>
  <c r="N46" i="71" s="1"/>
  <c r="L41" i="17"/>
  <c r="N73" i="16"/>
  <c r="T65" i="16"/>
  <c r="T69" i="16"/>
  <c r="T54" i="16"/>
  <c r="T36" i="16"/>
  <c r="H73" i="16"/>
  <c r="H75" i="16" s="1"/>
  <c r="N28" i="16"/>
  <c r="E57" i="97" l="1"/>
  <c r="J18" i="71"/>
  <c r="L19" i="17"/>
  <c r="H28" i="17"/>
  <c r="H69" i="17" s="1"/>
  <c r="L69" i="17" s="1"/>
  <c r="J68" i="71" s="1"/>
  <c r="H56" i="17"/>
  <c r="L56" i="17" s="1"/>
  <c r="L50" i="17"/>
  <c r="L49" i="71"/>
  <c r="N49" i="71" s="1"/>
  <c r="R73" i="16"/>
  <c r="R75" i="16" s="1"/>
  <c r="N75" i="16"/>
  <c r="L73" i="16"/>
  <c r="L75" i="16" s="1"/>
  <c r="Q28" i="7"/>
  <c r="L39" i="17"/>
  <c r="F73" i="16"/>
  <c r="F75" i="16" s="1"/>
  <c r="J26" i="71" l="1"/>
  <c r="L18" i="71"/>
  <c r="N18" i="71" s="1"/>
  <c r="L78" i="71"/>
  <c r="N78" i="71" s="1"/>
  <c r="H80" i="17"/>
  <c r="H82" i="17" s="1"/>
  <c r="Z74" i="11"/>
  <c r="L59" i="20"/>
  <c r="L31" i="17"/>
  <c r="B28" i="20"/>
  <c r="S12" i="7"/>
  <c r="J55" i="17"/>
  <c r="F18" i="20"/>
  <c r="L60" i="17"/>
  <c r="S28" i="7"/>
  <c r="L12" i="71" l="1"/>
  <c r="N12" i="71" s="1"/>
  <c r="N26" i="71" s="1"/>
  <c r="F21" i="20"/>
  <c r="L21" i="20" s="1"/>
  <c r="L18" i="20"/>
  <c r="D80" i="20"/>
  <c r="D82" i="20" s="1"/>
  <c r="J28" i="17"/>
  <c r="L18" i="17"/>
  <c r="L28" i="17" s="1"/>
  <c r="P69" i="7"/>
  <c r="Q69" i="7"/>
  <c r="S69" i="7" s="1"/>
  <c r="Q22" i="7"/>
  <c r="S22" i="7" s="1"/>
  <c r="L55" i="17"/>
  <c r="L26" i="71" l="1"/>
  <c r="F28" i="20"/>
  <c r="P70" i="7"/>
  <c r="P77" i="7" s="1"/>
  <c r="L59" i="17"/>
  <c r="F82" i="20" l="1"/>
  <c r="L28" i="20"/>
  <c r="H9" i="54"/>
  <c r="C8" i="94" s="1"/>
  <c r="I27" i="94" s="1"/>
  <c r="H10" i="54"/>
  <c r="C5" i="94"/>
  <c r="I7" i="94" s="1"/>
  <c r="S25" i="7"/>
  <c r="Q25" i="7"/>
  <c r="Q70" i="7" s="1"/>
  <c r="Q77" i="7" s="1"/>
  <c r="I26" i="94" l="1"/>
  <c r="I28" i="94" s="1"/>
  <c r="AA16" i="94"/>
  <c r="AA12" i="94"/>
  <c r="L27" i="94"/>
  <c r="AA27" i="94"/>
  <c r="AA29" i="94"/>
  <c r="AA17" i="94"/>
  <c r="AA34" i="94"/>
  <c r="AA28" i="94"/>
  <c r="AA9" i="94"/>
  <c r="AA23" i="94"/>
  <c r="AA22" i="94"/>
  <c r="AA8" i="94"/>
  <c r="AA13" i="94"/>
  <c r="AA37" i="94"/>
  <c r="AA19" i="94"/>
  <c r="AA6" i="94"/>
  <c r="AA24" i="94"/>
  <c r="AA26" i="94"/>
  <c r="AA14" i="94"/>
  <c r="AA21" i="94"/>
  <c r="AA32" i="94"/>
  <c r="AA18" i="94"/>
  <c r="AA33" i="94"/>
  <c r="AA39" i="94"/>
  <c r="AA38" i="94"/>
  <c r="AA36" i="94"/>
  <c r="AA7" i="94"/>
  <c r="AA11" i="94"/>
  <c r="AA31" i="94"/>
  <c r="U26" i="7"/>
  <c r="S70" i="7"/>
  <c r="J19" i="94"/>
  <c r="B80" i="17" l="1"/>
  <c r="B82" i="17" s="1"/>
  <c r="F21" i="63" l="1"/>
  <c r="H21" i="63"/>
  <c r="H24" i="63" l="1"/>
  <c r="H27" i="63"/>
  <c r="B71" i="16"/>
  <c r="B73" i="16" s="1"/>
  <c r="B75" i="16" s="1"/>
  <c r="T71" i="16" l="1"/>
  <c r="T73" i="16" l="1"/>
  <c r="T75" i="16" s="1"/>
  <c r="G77" i="71"/>
  <c r="G80" i="71"/>
  <c r="G83" i="71" s="1"/>
  <c r="G84" i="71" s="1"/>
  <c r="L40" i="17"/>
  <c r="L44" i="17" l="1"/>
  <c r="L43" i="71" s="1"/>
  <c r="N43" i="71" s="1"/>
  <c r="L42" i="17" l="1"/>
  <c r="L41" i="71" l="1"/>
  <c r="N41" i="71" s="1"/>
  <c r="G29" i="49" l="1"/>
  <c r="G34" i="49"/>
  <c r="G36" i="49"/>
  <c r="G28" i="49"/>
  <c r="G30" i="49"/>
  <c r="G32" i="49"/>
  <c r="G39" i="49"/>
  <c r="G37" i="49"/>
  <c r="G33" i="49"/>
  <c r="G31" i="49"/>
  <c r="G35" i="49"/>
  <c r="G38" i="49"/>
  <c r="D56" i="71"/>
  <c r="E56" i="71" s="1"/>
  <c r="I56" i="71" s="1"/>
  <c r="L56" i="71" s="1"/>
  <c r="N56" i="71" s="1"/>
  <c r="D50" i="71"/>
  <c r="E50" i="71" s="1"/>
  <c r="I50" i="71" s="1"/>
  <c r="L50" i="71" s="1"/>
  <c r="N50" i="71" s="1"/>
  <c r="G43" i="49" l="1"/>
  <c r="E45" i="49" s="1"/>
  <c r="F34" i="71"/>
  <c r="L35" i="20"/>
  <c r="F33" i="71"/>
  <c r="E48" i="49" l="1"/>
  <c r="E52" i="49" s="1"/>
  <c r="E53" i="49" s="1"/>
  <c r="D49" i="17" s="1"/>
  <c r="L34" i="20"/>
  <c r="C75" i="11"/>
  <c r="Z75" i="11"/>
  <c r="D31" i="71"/>
  <c r="E31" i="71" s="1"/>
  <c r="D32" i="71"/>
  <c r="E32" i="71" s="1"/>
  <c r="D33" i="71"/>
  <c r="E33" i="71" s="1"/>
  <c r="I33" i="71" s="1"/>
  <c r="D34" i="71"/>
  <c r="E34" i="71" s="1"/>
  <c r="I34" i="71" s="1"/>
  <c r="D35" i="71"/>
  <c r="E35" i="71" s="1"/>
  <c r="K29" i="96"/>
  <c r="S19" i="64"/>
  <c r="T19" i="64" s="1"/>
  <c r="S22" i="64"/>
  <c r="T22" i="64" s="1"/>
  <c r="S23" i="64"/>
  <c r="T23" i="64" s="1"/>
  <c r="S25" i="64"/>
  <c r="T25" i="64" s="1"/>
  <c r="S28" i="64"/>
  <c r="V28" i="64" s="1"/>
  <c r="X28" i="64" s="1"/>
  <c r="T28" i="64"/>
  <c r="S34" i="64"/>
  <c r="V34" i="64" s="1"/>
  <c r="X34" i="64" s="1"/>
  <c r="S40" i="64"/>
  <c r="V40" i="64" s="1"/>
  <c r="X40" i="64" s="1"/>
  <c r="T40" i="64"/>
  <c r="S48" i="64"/>
  <c r="V48" i="64" s="1"/>
  <c r="X48" i="64" s="1"/>
  <c r="S54" i="64"/>
  <c r="V54" i="64" s="1"/>
  <c r="X54" i="64" s="1"/>
  <c r="T54" i="64"/>
  <c r="S60" i="64"/>
  <c r="V60" i="64" s="1"/>
  <c r="X60" i="64" s="1"/>
  <c r="S65" i="64"/>
  <c r="T65" i="64" s="1"/>
  <c r="S66" i="64"/>
  <c r="V66" i="64" s="1"/>
  <c r="X66" i="64" s="1"/>
  <c r="T66" i="64"/>
  <c r="S68" i="64"/>
  <c r="T68" i="64"/>
  <c r="V68" i="64"/>
  <c r="X68" i="64" s="1"/>
  <c r="S70" i="64"/>
  <c r="V70" i="64" s="1"/>
  <c r="X70" i="64" s="1"/>
  <c r="S71" i="64"/>
  <c r="T71" i="64" s="1"/>
  <c r="S72" i="64"/>
  <c r="V72" i="64" s="1"/>
  <c r="X72" i="64" s="1"/>
  <c r="T72" i="64"/>
  <c r="S74" i="64"/>
  <c r="T74" i="64" s="1"/>
  <c r="S76" i="64"/>
  <c r="V76" i="64" s="1"/>
  <c r="X76" i="64" s="1"/>
  <c r="S77" i="64"/>
  <c r="T77" i="64" s="1"/>
  <c r="S78" i="64"/>
  <c r="V78" i="64" s="1"/>
  <c r="X78" i="64" s="1"/>
  <c r="T78" i="64"/>
  <c r="S80" i="64"/>
  <c r="V80" i="64" s="1"/>
  <c r="X80" i="64" s="1"/>
  <c r="T80" i="64"/>
  <c r="S81" i="64"/>
  <c r="T81" i="64" s="1"/>
  <c r="S83" i="64"/>
  <c r="T83" i="64" s="1"/>
  <c r="S84" i="64"/>
  <c r="V84" i="64" s="1"/>
  <c r="X84" i="64" s="1"/>
  <c r="S85" i="64"/>
  <c r="T85" i="64" s="1"/>
  <c r="V85" i="64"/>
  <c r="X85" i="64" s="1"/>
  <c r="S86" i="64"/>
  <c r="T86" i="64" s="1"/>
  <c r="S87" i="64"/>
  <c r="T87" i="64" s="1"/>
  <c r="S88" i="64"/>
  <c r="V88" i="64" s="1"/>
  <c r="X88" i="64" s="1"/>
  <c r="S89" i="64"/>
  <c r="T89" i="64" s="1"/>
  <c r="S90" i="64"/>
  <c r="V90" i="64" s="1"/>
  <c r="X90" i="64" s="1"/>
  <c r="T90" i="64"/>
  <c r="S91" i="64"/>
  <c r="T91" i="64" s="1"/>
  <c r="S92" i="64"/>
  <c r="V92" i="64" s="1"/>
  <c r="X92" i="64" s="1"/>
  <c r="T92" i="64"/>
  <c r="S93" i="64"/>
  <c r="S94" i="64"/>
  <c r="S95" i="64"/>
  <c r="T95" i="64" s="1"/>
  <c r="S96" i="64"/>
  <c r="V96" i="64" s="1"/>
  <c r="X96" i="64" s="1"/>
  <c r="Y96" i="64" s="1"/>
  <c r="T96" i="64"/>
  <c r="S97" i="64"/>
  <c r="T97" i="64" s="1"/>
  <c r="S98" i="64"/>
  <c r="V98" i="64" s="1"/>
  <c r="X98" i="64" s="1"/>
  <c r="T98" i="64"/>
  <c r="S99" i="64"/>
  <c r="V99" i="64" s="1"/>
  <c r="X99" i="64" s="1"/>
  <c r="S107" i="64"/>
  <c r="S108" i="64"/>
  <c r="T108" i="64" s="1"/>
  <c r="S109" i="64"/>
  <c r="T109" i="64" s="1"/>
  <c r="S110" i="64"/>
  <c r="T110" i="64" s="1"/>
  <c r="V110" i="64"/>
  <c r="X110" i="64" s="1"/>
  <c r="S111" i="64"/>
  <c r="T111" i="64" s="1"/>
  <c r="V111" i="64"/>
  <c r="X111" i="64" s="1"/>
  <c r="S112" i="64"/>
  <c r="T112" i="64" s="1"/>
  <c r="S113" i="64"/>
  <c r="V113" i="64" s="1"/>
  <c r="X113" i="64" s="1"/>
  <c r="S114" i="64"/>
  <c r="S115" i="64"/>
  <c r="T115" i="64" s="1"/>
  <c r="S116" i="64"/>
  <c r="V116" i="64" s="1"/>
  <c r="X116" i="64" s="1"/>
  <c r="T116" i="64"/>
  <c r="S117" i="64"/>
  <c r="T117" i="64" s="1"/>
  <c r="V117" i="64"/>
  <c r="X117" i="64" s="1"/>
  <c r="S118" i="64"/>
  <c r="T118" i="64"/>
  <c r="V118" i="64"/>
  <c r="X118" i="64" s="1"/>
  <c r="S119" i="64"/>
  <c r="V119" i="64" s="1"/>
  <c r="X119" i="64" s="1"/>
  <c r="S120" i="64"/>
  <c r="T120" i="64" s="1"/>
  <c r="V120" i="64"/>
  <c r="X120" i="64" s="1"/>
  <c r="S121" i="64"/>
  <c r="T121" i="64"/>
  <c r="V121" i="64"/>
  <c r="X121" i="64" s="1"/>
  <c r="S122" i="64"/>
  <c r="V122" i="64" s="1"/>
  <c r="X122" i="64" s="1"/>
  <c r="S123" i="64"/>
  <c r="T123" i="64" s="1"/>
  <c r="S124" i="64"/>
  <c r="T124" i="64" s="1"/>
  <c r="V124" i="64"/>
  <c r="X124" i="64" s="1"/>
  <c r="S125" i="64"/>
  <c r="V125" i="64" s="1"/>
  <c r="X125" i="64" s="1"/>
  <c r="T125" i="64"/>
  <c r="S126" i="64"/>
  <c r="V126" i="64" s="1"/>
  <c r="X126" i="64" s="1"/>
  <c r="Y126" i="64" s="1"/>
  <c r="T126" i="64"/>
  <c r="S128" i="64"/>
  <c r="T128" i="64" s="1"/>
  <c r="V128" i="64"/>
  <c r="X128" i="64" s="1"/>
  <c r="S129" i="64"/>
  <c r="V129" i="64" s="1"/>
  <c r="X129" i="64" s="1"/>
  <c r="T129" i="64"/>
  <c r="S130" i="64"/>
  <c r="T130" i="64" s="1"/>
  <c r="S131" i="64"/>
  <c r="T131" i="64" s="1"/>
  <c r="S132" i="64"/>
  <c r="V132" i="64" s="1"/>
  <c r="X132" i="64" s="1"/>
  <c r="S133" i="64"/>
  <c r="T133" i="64" s="1"/>
  <c r="S134" i="64"/>
  <c r="V134" i="64" s="1"/>
  <c r="X134" i="64" s="1"/>
  <c r="T134" i="64"/>
  <c r="S141" i="64"/>
  <c r="V141" i="64" s="1"/>
  <c r="S142" i="64"/>
  <c r="T142" i="64" s="1"/>
  <c r="S143" i="64"/>
  <c r="T143" i="64" s="1"/>
  <c r="V143" i="64"/>
  <c r="X143" i="64" s="1"/>
  <c r="S144" i="64"/>
  <c r="V144" i="64" s="1"/>
  <c r="X144" i="64" s="1"/>
  <c r="S145" i="64"/>
  <c r="T145" i="64" s="1"/>
  <c r="V145" i="64"/>
  <c r="X145" i="64" s="1"/>
  <c r="S146" i="64"/>
  <c r="V146" i="64"/>
  <c r="X146" i="64" s="1"/>
  <c r="S157" i="64"/>
  <c r="V157" i="64" s="1"/>
  <c r="T157" i="64"/>
  <c r="S158" i="64"/>
  <c r="T158" i="64" s="1"/>
  <c r="S159" i="64"/>
  <c r="T159" i="64" s="1"/>
  <c r="S160" i="64"/>
  <c r="T160" i="64"/>
  <c r="V160" i="64"/>
  <c r="X160" i="64" s="1"/>
  <c r="S161" i="64"/>
  <c r="T161" i="64" s="1"/>
  <c r="S162" i="64"/>
  <c r="V162" i="64" s="1"/>
  <c r="X162" i="64" s="1"/>
  <c r="S163" i="64"/>
  <c r="V163" i="64" s="1"/>
  <c r="X163" i="64" s="1"/>
  <c r="S164" i="64"/>
  <c r="T164" i="64" s="1"/>
  <c r="S165" i="64"/>
  <c r="T165" i="64" s="1"/>
  <c r="V165" i="64"/>
  <c r="X165" i="64" s="1"/>
  <c r="S166" i="64"/>
  <c r="T166" i="64" s="1"/>
  <c r="S167" i="64"/>
  <c r="V167" i="64" s="1"/>
  <c r="X167" i="64" s="1"/>
  <c r="Y167" i="64" s="1"/>
  <c r="T167" i="64"/>
  <c r="S168" i="64"/>
  <c r="V168" i="64" s="1"/>
  <c r="X168" i="64" s="1"/>
  <c r="S169" i="64"/>
  <c r="V169" i="64" s="1"/>
  <c r="X169" i="64" s="1"/>
  <c r="S176" i="64"/>
  <c r="T176" i="64" s="1"/>
  <c r="S177" i="64"/>
  <c r="T177" i="64" s="1"/>
  <c r="V177" i="64"/>
  <c r="X177" i="64" s="1"/>
  <c r="S178" i="64"/>
  <c r="T178" i="64" s="1"/>
  <c r="V178" i="64"/>
  <c r="X178" i="64" s="1"/>
  <c r="S179" i="64"/>
  <c r="T179" i="64"/>
  <c r="V179" i="64"/>
  <c r="X179" i="64"/>
  <c r="Y179" i="64" s="1"/>
  <c r="S180" i="64"/>
  <c r="V180" i="64"/>
  <c r="X180" i="64" s="1"/>
  <c r="S181" i="64"/>
  <c r="V181" i="64" s="1"/>
  <c r="X181" i="64" s="1"/>
  <c r="T181" i="64"/>
  <c r="S182" i="64"/>
  <c r="T182" i="64" s="1"/>
  <c r="S183" i="64"/>
  <c r="T183" i="64" s="1"/>
  <c r="S184" i="64"/>
  <c r="T184" i="64"/>
  <c r="V184" i="64"/>
  <c r="X184" i="64" s="1"/>
  <c r="S185" i="64"/>
  <c r="T185" i="64" s="1"/>
  <c r="S186" i="64"/>
  <c r="V186" i="64"/>
  <c r="X186" i="64" s="1"/>
  <c r="S187" i="64"/>
  <c r="V187" i="64" s="1"/>
  <c r="X187" i="64" s="1"/>
  <c r="S188" i="64"/>
  <c r="T188" i="64" s="1"/>
  <c r="S189" i="64"/>
  <c r="T189" i="64" s="1"/>
  <c r="V189" i="64"/>
  <c r="X189" i="64" s="1"/>
  <c r="S190" i="64"/>
  <c r="T190" i="64" s="1"/>
  <c r="S191" i="64"/>
  <c r="T191" i="64" s="1"/>
  <c r="S192" i="64"/>
  <c r="V192" i="64" s="1"/>
  <c r="X192" i="64" s="1"/>
  <c r="S193" i="64"/>
  <c r="V193" i="64" s="1"/>
  <c r="X193" i="64" s="1"/>
  <c r="S194" i="64"/>
  <c r="T194" i="64" s="1"/>
  <c r="S195" i="64"/>
  <c r="T195" i="64" s="1"/>
  <c r="S200" i="64"/>
  <c r="T200" i="64" s="1"/>
  <c r="V200" i="64"/>
  <c r="X200" i="64" s="1"/>
  <c r="S201" i="64"/>
  <c r="T201" i="64" s="1"/>
  <c r="V201" i="64"/>
  <c r="X201" i="64" s="1"/>
  <c r="Y201" i="64" s="1"/>
  <c r="S202" i="64"/>
  <c r="V202" i="64"/>
  <c r="X202" i="64" s="1"/>
  <c r="S203" i="64"/>
  <c r="V203" i="64" s="1"/>
  <c r="X203" i="64" s="1"/>
  <c r="C211" i="64"/>
  <c r="C213" i="64" s="1"/>
  <c r="F5" i="97"/>
  <c r="F46" i="97" s="1"/>
  <c r="F28" i="97"/>
  <c r="D53" i="71" s="1"/>
  <c r="E53" i="71" s="1"/>
  <c r="I53" i="71" s="1"/>
  <c r="L53" i="71" s="1"/>
  <c r="N53" i="71" s="1"/>
  <c r="F36" i="97"/>
  <c r="D61" i="71" s="1"/>
  <c r="E61" i="71" s="1"/>
  <c r="I61" i="71" s="1"/>
  <c r="L61" i="71" s="1"/>
  <c r="N61" i="71" s="1"/>
  <c r="F44" i="97"/>
  <c r="D69" i="71" s="1"/>
  <c r="E69" i="71" s="1"/>
  <c r="I69" i="71" s="1"/>
  <c r="L69" i="71" s="1"/>
  <c r="N69" i="71" s="1"/>
  <c r="AD12" i="11"/>
  <c r="B36" i="20" s="1"/>
  <c r="AD27" i="11"/>
  <c r="B37" i="20" s="1"/>
  <c r="AD53" i="11"/>
  <c r="B32" i="20" s="1"/>
  <c r="AD69" i="11"/>
  <c r="B33" i="20" s="1"/>
  <c r="F35" i="17"/>
  <c r="L35" i="17" s="1"/>
  <c r="J34" i="71" s="1"/>
  <c r="Y95" i="28"/>
  <c r="F36" i="17" s="1"/>
  <c r="L36" i="17" s="1"/>
  <c r="J35" i="71" s="1"/>
  <c r="F34" i="17"/>
  <c r="L34" i="17" s="1"/>
  <c r="J33" i="71" s="1"/>
  <c r="L34" i="71" l="1"/>
  <c r="N34" i="71" s="1"/>
  <c r="F42" i="97"/>
  <c r="D67" i="71" s="1"/>
  <c r="E67" i="71" s="1"/>
  <c r="I67" i="71" s="1"/>
  <c r="L67" i="71" s="1"/>
  <c r="N67" i="71" s="1"/>
  <c r="Y145" i="64"/>
  <c r="Y120" i="64"/>
  <c r="T193" i="64"/>
  <c r="V190" i="64"/>
  <c r="X190" i="64" s="1"/>
  <c r="V183" i="64"/>
  <c r="X183" i="64" s="1"/>
  <c r="T163" i="64"/>
  <c r="V159" i="64"/>
  <c r="X159" i="64" s="1"/>
  <c r="T141" i="64"/>
  <c r="T132" i="64"/>
  <c r="Y118" i="64"/>
  <c r="T99" i="64"/>
  <c r="V191" i="64"/>
  <c r="X191" i="64" s="1"/>
  <c r="Y191" i="64" s="1"/>
  <c r="V185" i="64"/>
  <c r="X185" i="64" s="1"/>
  <c r="Y185" i="64" s="1"/>
  <c r="V166" i="64"/>
  <c r="X166" i="64" s="1"/>
  <c r="V161" i="64"/>
  <c r="X161" i="64" s="1"/>
  <c r="Y161" i="64" s="1"/>
  <c r="V133" i="64"/>
  <c r="X133" i="64" s="1"/>
  <c r="Y133" i="64" s="1"/>
  <c r="V86" i="64"/>
  <c r="X86" i="64" s="1"/>
  <c r="V74" i="64"/>
  <c r="X74" i="64" s="1"/>
  <c r="F36" i="71"/>
  <c r="I36" i="71" s="1"/>
  <c r="L37" i="20"/>
  <c r="F34" i="97"/>
  <c r="D59" i="71" s="1"/>
  <c r="E59" i="71" s="1"/>
  <c r="I59" i="71" s="1"/>
  <c r="L59" i="71" s="1"/>
  <c r="N59" i="71" s="1"/>
  <c r="T169" i="64"/>
  <c r="T144" i="64"/>
  <c r="Y144" i="64" s="1"/>
  <c r="Z144" i="64" s="1"/>
  <c r="AF144" i="64" s="1"/>
  <c r="V131" i="64"/>
  <c r="X131" i="64" s="1"/>
  <c r="T122" i="64"/>
  <c r="T119" i="64"/>
  <c r="V115" i="64"/>
  <c r="X115" i="64" s="1"/>
  <c r="V97" i="64"/>
  <c r="X97" i="64" s="1"/>
  <c r="T84" i="64"/>
  <c r="T60" i="64"/>
  <c r="T48" i="64"/>
  <c r="T34" i="64"/>
  <c r="Y119" i="64"/>
  <c r="Z119" i="64" s="1"/>
  <c r="AF119" i="64" s="1"/>
  <c r="Z132" i="64"/>
  <c r="Y132" i="64"/>
  <c r="Y125" i="64"/>
  <c r="Z125" i="64" s="1"/>
  <c r="AF125" i="64" s="1"/>
  <c r="T203" i="64"/>
  <c r="V195" i="64"/>
  <c r="X195" i="64" s="1"/>
  <c r="T187" i="64"/>
  <c r="S17" i="64"/>
  <c r="Q75" i="29"/>
  <c r="Q27" i="29"/>
  <c r="Y12" i="28"/>
  <c r="Y55" i="28"/>
  <c r="Y97" i="28"/>
  <c r="F37" i="17" s="1"/>
  <c r="Y93" i="28"/>
  <c r="F33" i="17" s="1"/>
  <c r="L33" i="17" s="1"/>
  <c r="J32" i="71" s="1"/>
  <c r="Y27" i="28"/>
  <c r="Y74" i="28"/>
  <c r="Y92" i="28"/>
  <c r="F32" i="17" s="1"/>
  <c r="S75" i="29"/>
  <c r="Q55" i="29"/>
  <c r="S55" i="29"/>
  <c r="S27" i="29"/>
  <c r="Q12" i="29"/>
  <c r="Q81" i="29" s="1"/>
  <c r="P86" i="29" s="1"/>
  <c r="F13" i="97" s="1"/>
  <c r="D37" i="71" s="1"/>
  <c r="E37" i="71" s="1"/>
  <c r="I37" i="71" s="1"/>
  <c r="S12" i="29"/>
  <c r="Z201" i="64"/>
  <c r="Z185" i="64"/>
  <c r="Z167" i="64"/>
  <c r="Z145" i="64"/>
  <c r="Z133" i="64"/>
  <c r="Z118" i="64"/>
  <c r="Y115" i="64"/>
  <c r="Z115" i="64" s="1"/>
  <c r="V91" i="64"/>
  <c r="X91" i="64" s="1"/>
  <c r="S62" i="64"/>
  <c r="S59" i="64"/>
  <c r="T59" i="64" s="1"/>
  <c r="S56" i="64"/>
  <c r="S53" i="64"/>
  <c r="T53" i="64" s="1"/>
  <c r="S50" i="64"/>
  <c r="S47" i="64"/>
  <c r="T47" i="64" s="1"/>
  <c r="S44" i="64"/>
  <c r="S42" i="64"/>
  <c r="S39" i="64"/>
  <c r="T39" i="64" s="1"/>
  <c r="S36" i="64"/>
  <c r="S33" i="64"/>
  <c r="T33" i="64" s="1"/>
  <c r="S30" i="64"/>
  <c r="S27" i="64"/>
  <c r="T27" i="64" s="1"/>
  <c r="S21" i="64"/>
  <c r="T21" i="64" s="1"/>
  <c r="S64" i="64"/>
  <c r="V64" i="64" s="1"/>
  <c r="X64" i="64" s="1"/>
  <c r="S58" i="64"/>
  <c r="V58" i="64" s="1"/>
  <c r="X58" i="64" s="1"/>
  <c r="S52" i="64"/>
  <c r="V52" i="64" s="1"/>
  <c r="X52" i="64" s="1"/>
  <c r="S46" i="64"/>
  <c r="V46" i="64" s="1"/>
  <c r="X46" i="64" s="1"/>
  <c r="S38" i="64"/>
  <c r="V38" i="64" s="1"/>
  <c r="X38" i="64" s="1"/>
  <c r="S32" i="64"/>
  <c r="V32" i="64" s="1"/>
  <c r="X32" i="64" s="1"/>
  <c r="S26" i="64"/>
  <c r="V26" i="64" s="1"/>
  <c r="X26" i="64" s="1"/>
  <c r="S24" i="64"/>
  <c r="S20" i="64"/>
  <c r="V20" i="64" s="1"/>
  <c r="X20" i="64" s="1"/>
  <c r="Y143" i="64"/>
  <c r="Z143" i="64" s="1"/>
  <c r="Y131" i="64"/>
  <c r="Z131" i="64" s="1"/>
  <c r="Y124" i="64"/>
  <c r="Z124" i="64" s="1"/>
  <c r="V25" i="64"/>
  <c r="X25" i="64" s="1"/>
  <c r="V19" i="64"/>
  <c r="X19" i="64" s="1"/>
  <c r="F14" i="97"/>
  <c r="D38" i="71" s="1"/>
  <c r="E38" i="71" s="1"/>
  <c r="I38" i="71" s="1"/>
  <c r="L38" i="71" s="1"/>
  <c r="N38" i="71" s="1"/>
  <c r="F20" i="97"/>
  <c r="D44" i="71" s="1"/>
  <c r="E44" i="71" s="1"/>
  <c r="I44" i="71" s="1"/>
  <c r="L44" i="71" s="1"/>
  <c r="N44" i="71" s="1"/>
  <c r="T113" i="64"/>
  <c r="Y113" i="64" s="1"/>
  <c r="S82" i="64"/>
  <c r="V82" i="64" s="1"/>
  <c r="X82" i="64" s="1"/>
  <c r="S79" i="64"/>
  <c r="S75" i="64"/>
  <c r="S73" i="64"/>
  <c r="S69" i="64"/>
  <c r="S67" i="64"/>
  <c r="S63" i="64"/>
  <c r="S61" i="64"/>
  <c r="S57" i="64"/>
  <c r="T57" i="64" s="1"/>
  <c r="S55" i="64"/>
  <c r="V55" i="64" s="1"/>
  <c r="X55" i="64" s="1"/>
  <c r="S51" i="64"/>
  <c r="T51" i="64" s="1"/>
  <c r="S49" i="64"/>
  <c r="V49" i="64" s="1"/>
  <c r="X49" i="64" s="1"/>
  <c r="S45" i="64"/>
  <c r="T45" i="64" s="1"/>
  <c r="S43" i="64"/>
  <c r="S41" i="64"/>
  <c r="V41" i="64" s="1"/>
  <c r="X41" i="64" s="1"/>
  <c r="S37" i="64"/>
  <c r="T37" i="64" s="1"/>
  <c r="S35" i="64"/>
  <c r="V35" i="64" s="1"/>
  <c r="X35" i="64" s="1"/>
  <c r="S31" i="64"/>
  <c r="T31" i="64" s="1"/>
  <c r="S29" i="64"/>
  <c r="V29" i="64" s="1"/>
  <c r="X29" i="64" s="1"/>
  <c r="V23" i="64"/>
  <c r="X23" i="64" s="1"/>
  <c r="L33" i="71"/>
  <c r="N33" i="71" s="1"/>
  <c r="Y190" i="64"/>
  <c r="Z190" i="64" s="1"/>
  <c r="Y178" i="64"/>
  <c r="Z178" i="64" s="1"/>
  <c r="Z160" i="64"/>
  <c r="AF160" i="64" s="1"/>
  <c r="Y160" i="64"/>
  <c r="Y117" i="64"/>
  <c r="Z117" i="64" s="1"/>
  <c r="AF117" i="64" s="1"/>
  <c r="J78" i="17"/>
  <c r="L78" i="17" s="1"/>
  <c r="J77" i="71" s="1"/>
  <c r="X141" i="64"/>
  <c r="Y129" i="64"/>
  <c r="Y122" i="64"/>
  <c r="Y203" i="64"/>
  <c r="Z203" i="64" s="1"/>
  <c r="X157" i="64"/>
  <c r="AF143" i="64"/>
  <c r="Y134" i="64"/>
  <c r="Z134" i="64" s="1"/>
  <c r="AF134" i="64" s="1"/>
  <c r="Y128" i="64"/>
  <c r="Y121" i="64"/>
  <c r="Y187" i="64"/>
  <c r="Z187" i="64" s="1"/>
  <c r="Y169" i="64"/>
  <c r="Z169" i="64" s="1"/>
  <c r="Y200" i="64"/>
  <c r="Z200" i="64" s="1"/>
  <c r="Y184" i="64"/>
  <c r="Z184" i="64" s="1"/>
  <c r="Y166" i="64"/>
  <c r="Y116" i="64"/>
  <c r="Z128" i="64"/>
  <c r="AF128" i="64" s="1"/>
  <c r="Y193" i="64"/>
  <c r="Z193" i="64" s="1"/>
  <c r="AF193" i="64" s="1"/>
  <c r="Z191" i="64"/>
  <c r="Y181" i="64"/>
  <c r="Z181" i="64" s="1"/>
  <c r="AF181" i="64" s="1"/>
  <c r="Z179" i="64"/>
  <c r="Y163" i="64"/>
  <c r="Z163" i="64" s="1"/>
  <c r="Z161" i="64"/>
  <c r="Y90" i="64"/>
  <c r="Z90" i="64" s="1"/>
  <c r="Y97" i="64"/>
  <c r="Z97" i="64" s="1"/>
  <c r="Y85" i="64"/>
  <c r="Y74" i="64"/>
  <c r="Z74" i="64" s="1"/>
  <c r="AF74" i="64" s="1"/>
  <c r="Y68" i="64"/>
  <c r="Z68" i="64" s="1"/>
  <c r="F43" i="97"/>
  <c r="D68" i="71" s="1"/>
  <c r="E68" i="71" s="1"/>
  <c r="I68" i="71" s="1"/>
  <c r="L68" i="71" s="1"/>
  <c r="N68" i="71" s="1"/>
  <c r="F35" i="97"/>
  <c r="D60" i="71" s="1"/>
  <c r="E60" i="71" s="1"/>
  <c r="I60" i="71" s="1"/>
  <c r="L60" i="71" s="1"/>
  <c r="N60" i="71" s="1"/>
  <c r="F27" i="97"/>
  <c r="D52" i="71" s="1"/>
  <c r="E52" i="71" s="1"/>
  <c r="I52" i="71" s="1"/>
  <c r="L52" i="71" s="1"/>
  <c r="N52" i="71" s="1"/>
  <c r="T202" i="64"/>
  <c r="F50" i="97" s="1"/>
  <c r="D75" i="71" s="1"/>
  <c r="E75" i="71" s="1"/>
  <c r="I75" i="71" s="1"/>
  <c r="Y195" i="64"/>
  <c r="Z195" i="64" s="1"/>
  <c r="T192" i="64"/>
  <c r="Y192" i="64" s="1"/>
  <c r="Y189" i="64"/>
  <c r="Z189" i="64" s="1"/>
  <c r="T186" i="64"/>
  <c r="Y186" i="64" s="1"/>
  <c r="Y183" i="64"/>
  <c r="Z183" i="64" s="1"/>
  <c r="T180" i="64"/>
  <c r="Y177" i="64"/>
  <c r="Z177" i="64" s="1"/>
  <c r="T168" i="64"/>
  <c r="Y168" i="64" s="1"/>
  <c r="Y165" i="64"/>
  <c r="Z165" i="64" s="1"/>
  <c r="T162" i="64"/>
  <c r="Y159" i="64"/>
  <c r="Z159" i="64" s="1"/>
  <c r="T146" i="64"/>
  <c r="T148" i="64" s="1"/>
  <c r="T150" i="64" s="1"/>
  <c r="T152" i="64" s="1"/>
  <c r="J17" i="63" s="1"/>
  <c r="Y111" i="64"/>
  <c r="Z111" i="64" s="1"/>
  <c r="V107" i="64"/>
  <c r="T107" i="64"/>
  <c r="V94" i="64"/>
  <c r="X94" i="64" s="1"/>
  <c r="T94" i="64"/>
  <c r="Z91" i="64"/>
  <c r="Y91" i="64"/>
  <c r="Y80" i="64"/>
  <c r="Z80" i="64" s="1"/>
  <c r="Y78" i="64"/>
  <c r="Y72" i="64"/>
  <c r="Y66" i="64"/>
  <c r="Z66" i="64" s="1"/>
  <c r="Y60" i="64"/>
  <c r="Z60" i="64" s="1"/>
  <c r="Y54" i="64"/>
  <c r="Z54" i="64" s="1"/>
  <c r="Y48" i="64"/>
  <c r="Z48" i="64" s="1"/>
  <c r="AF48" i="64" s="1"/>
  <c r="Y40" i="64"/>
  <c r="Z40" i="64" s="1"/>
  <c r="Y34" i="64"/>
  <c r="Z34" i="64" s="1"/>
  <c r="AF34" i="64" s="1"/>
  <c r="Y28" i="64"/>
  <c r="Z28" i="64"/>
  <c r="T17" i="64"/>
  <c r="V17" i="64"/>
  <c r="L32" i="17"/>
  <c r="Z129" i="64"/>
  <c r="AF129" i="64" s="1"/>
  <c r="Y99" i="64"/>
  <c r="Z99" i="64" s="1"/>
  <c r="F32" i="71"/>
  <c r="I32" i="71" s="1"/>
  <c r="L32" i="71" s="1"/>
  <c r="N32" i="71" s="1"/>
  <c r="L33" i="20"/>
  <c r="F40" i="97"/>
  <c r="D65" i="71" s="1"/>
  <c r="E65" i="71" s="1"/>
  <c r="I65" i="71" s="1"/>
  <c r="L65" i="71" s="1"/>
  <c r="N65" i="71" s="1"/>
  <c r="F33" i="97"/>
  <c r="D58" i="71" s="1"/>
  <c r="E58" i="71" s="1"/>
  <c r="I58" i="71" s="1"/>
  <c r="L58" i="71" s="1"/>
  <c r="N58" i="71" s="1"/>
  <c r="F23" i="97"/>
  <c r="D48" i="71" s="1"/>
  <c r="E48" i="71" s="1"/>
  <c r="I48" i="71" s="1"/>
  <c r="L48" i="71" s="1"/>
  <c r="N48" i="71" s="1"/>
  <c r="AF201" i="64"/>
  <c r="AF191" i="64"/>
  <c r="AF185" i="64"/>
  <c r="AF179" i="64"/>
  <c r="AF167" i="64"/>
  <c r="AF161" i="64"/>
  <c r="AF145" i="64"/>
  <c r="AF133" i="64"/>
  <c r="Y98" i="64"/>
  <c r="Z98" i="64" s="1"/>
  <c r="AF98" i="64" s="1"/>
  <c r="T93" i="64"/>
  <c r="V93" i="64"/>
  <c r="X93" i="64" s="1"/>
  <c r="Y86" i="64"/>
  <c r="Z86" i="64" s="1"/>
  <c r="AF86" i="64" s="1"/>
  <c r="Y84" i="64"/>
  <c r="Z84" i="64" s="1"/>
  <c r="L49" i="17"/>
  <c r="J48" i="71" s="1"/>
  <c r="D80" i="17"/>
  <c r="D82" i="17" s="1"/>
  <c r="AD72" i="11"/>
  <c r="F31" i="71"/>
  <c r="I31" i="71" s="1"/>
  <c r="L32" i="20"/>
  <c r="D71" i="71"/>
  <c r="E71" i="71" s="1"/>
  <c r="I71" i="71" s="1"/>
  <c r="L71" i="71" s="1"/>
  <c r="N71" i="71" s="1"/>
  <c r="F38" i="97"/>
  <c r="D63" i="71" s="1"/>
  <c r="E63" i="71" s="1"/>
  <c r="I63" i="71" s="1"/>
  <c r="L63" i="71" s="1"/>
  <c r="N63" i="71" s="1"/>
  <c r="F32" i="97"/>
  <c r="D57" i="71" s="1"/>
  <c r="E57" i="71" s="1"/>
  <c r="I57" i="71" s="1"/>
  <c r="L57" i="71" s="1"/>
  <c r="N57" i="71" s="1"/>
  <c r="F18" i="97"/>
  <c r="D42" i="71" s="1"/>
  <c r="E42" i="71" s="1"/>
  <c r="I42" i="71" s="1"/>
  <c r="L42" i="71" s="1"/>
  <c r="N42" i="71" s="1"/>
  <c r="C215" i="64"/>
  <c r="C217" i="64" s="1"/>
  <c r="J76" i="17" s="1"/>
  <c r="V194" i="64"/>
  <c r="X194" i="64" s="1"/>
  <c r="V188" i="64"/>
  <c r="X188" i="64" s="1"/>
  <c r="V182" i="64"/>
  <c r="X182" i="64" s="1"/>
  <c r="V176" i="64"/>
  <c r="V164" i="64"/>
  <c r="X164" i="64" s="1"/>
  <c r="V158" i="64"/>
  <c r="X158" i="64" s="1"/>
  <c r="V142" i="64"/>
  <c r="X142" i="64" s="1"/>
  <c r="AF132" i="64"/>
  <c r="V130" i="64"/>
  <c r="X130" i="64" s="1"/>
  <c r="Z126" i="64"/>
  <c r="AF126" i="64" s="1"/>
  <c r="V123" i="64"/>
  <c r="X123" i="64" s="1"/>
  <c r="Z120" i="64"/>
  <c r="AF120" i="64" s="1"/>
  <c r="AF115" i="64"/>
  <c r="T114" i="64"/>
  <c r="V114" i="64"/>
  <c r="X114" i="64" s="1"/>
  <c r="V112" i="64"/>
  <c r="X112" i="64" s="1"/>
  <c r="Z96" i="64"/>
  <c r="AF96" i="64" s="1"/>
  <c r="Y92" i="64"/>
  <c r="Z92" i="64" s="1"/>
  <c r="AF92" i="64" s="1"/>
  <c r="Y25" i="64"/>
  <c r="Z25" i="64" s="1"/>
  <c r="Y19" i="64"/>
  <c r="Z19" i="64" s="1"/>
  <c r="AF19" i="64" s="1"/>
  <c r="F35" i="71"/>
  <c r="I35" i="71" s="1"/>
  <c r="L36" i="20"/>
  <c r="F45" i="97"/>
  <c r="D70" i="71" s="1"/>
  <c r="E70" i="71" s="1"/>
  <c r="I70" i="71" s="1"/>
  <c r="L70" i="71" s="1"/>
  <c r="N70" i="71" s="1"/>
  <c r="F37" i="97"/>
  <c r="D62" i="71" s="1"/>
  <c r="E62" i="71" s="1"/>
  <c r="I62" i="71" s="1"/>
  <c r="L62" i="71" s="1"/>
  <c r="N62" i="71" s="1"/>
  <c r="F30" i="97"/>
  <c r="D55" i="71" s="1"/>
  <c r="E55" i="71" s="1"/>
  <c r="I55" i="71" s="1"/>
  <c r="L55" i="71" s="1"/>
  <c r="N55" i="71" s="1"/>
  <c r="AF118" i="64"/>
  <c r="Y110" i="64"/>
  <c r="Z110" i="64" s="1"/>
  <c r="T88" i="64"/>
  <c r="Y88" i="64" s="1"/>
  <c r="V87" i="64"/>
  <c r="X87" i="64" s="1"/>
  <c r="T82" i="64"/>
  <c r="Y82" i="64" s="1"/>
  <c r="V81" i="64"/>
  <c r="X81" i="64" s="1"/>
  <c r="T76" i="64"/>
  <c r="Y76" i="64" s="1"/>
  <c r="T70" i="64"/>
  <c r="Y70" i="64" s="1"/>
  <c r="T64" i="64"/>
  <c r="Y64" i="64" s="1"/>
  <c r="T58" i="64"/>
  <c r="Y58" i="64" s="1"/>
  <c r="V57" i="64"/>
  <c r="X57" i="64" s="1"/>
  <c r="T52" i="64"/>
  <c r="Y52" i="64" s="1"/>
  <c r="V51" i="64"/>
  <c r="X51" i="64" s="1"/>
  <c r="T46" i="64"/>
  <c r="Y46" i="64" s="1"/>
  <c r="V45" i="64"/>
  <c r="X45" i="64" s="1"/>
  <c r="T38" i="64"/>
  <c r="Y38" i="64" s="1"/>
  <c r="V37" i="64"/>
  <c r="X37" i="64" s="1"/>
  <c r="T32" i="64"/>
  <c r="Y32" i="64" s="1"/>
  <c r="V31" i="64"/>
  <c r="X31" i="64" s="1"/>
  <c r="Y29" i="64"/>
  <c r="Z29" i="64" s="1"/>
  <c r="T26" i="64"/>
  <c r="Y26" i="64" s="1"/>
  <c r="Y23" i="64"/>
  <c r="Z23" i="64" s="1"/>
  <c r="T20" i="64"/>
  <c r="Y20" i="64" s="1"/>
  <c r="V109" i="64"/>
  <c r="X109" i="64" s="1"/>
  <c r="T55" i="64"/>
  <c r="Y55" i="64" s="1"/>
  <c r="T49" i="64"/>
  <c r="Y49" i="64" s="1"/>
  <c r="T41" i="64"/>
  <c r="Y41" i="64" s="1"/>
  <c r="T35" i="64"/>
  <c r="Y35" i="64" s="1"/>
  <c r="T29" i="64"/>
  <c r="V22" i="64"/>
  <c r="X22" i="64" s="1"/>
  <c r="S18" i="64"/>
  <c r="V108" i="64"/>
  <c r="X108" i="64" s="1"/>
  <c r="V95" i="64"/>
  <c r="X95" i="64" s="1"/>
  <c r="V89" i="64"/>
  <c r="X89" i="64" s="1"/>
  <c r="V83" i="64"/>
  <c r="X83" i="64" s="1"/>
  <c r="V77" i="64"/>
  <c r="X77" i="64" s="1"/>
  <c r="V71" i="64"/>
  <c r="X71" i="64" s="1"/>
  <c r="V65" i="64"/>
  <c r="X65" i="64" s="1"/>
  <c r="V59" i="64"/>
  <c r="X59" i="64" s="1"/>
  <c r="V53" i="64"/>
  <c r="X53" i="64" s="1"/>
  <c r="V47" i="64"/>
  <c r="X47" i="64" s="1"/>
  <c r="V39" i="64"/>
  <c r="X39" i="64" s="1"/>
  <c r="V33" i="64"/>
  <c r="X33" i="64" s="1"/>
  <c r="V27" i="64"/>
  <c r="X27" i="64" s="1"/>
  <c r="V21" i="64"/>
  <c r="X21" i="64" s="1"/>
  <c r="B31" i="20" l="1"/>
  <c r="AB74" i="11"/>
  <c r="F6" i="97" s="1"/>
  <c r="Z122" i="64"/>
  <c r="AF122" i="64" s="1"/>
  <c r="S81" i="29"/>
  <c r="AF60" i="64"/>
  <c r="AF169" i="64"/>
  <c r="J36" i="71"/>
  <c r="L36" i="71" s="1"/>
  <c r="N36" i="71" s="1"/>
  <c r="L37" i="17"/>
  <c r="T173" i="64"/>
  <c r="J18" i="63" s="1"/>
  <c r="P88" i="29"/>
  <c r="F38" i="17" s="1"/>
  <c r="J37" i="71" s="1"/>
  <c r="Z113" i="64"/>
  <c r="AF113" i="64" s="1"/>
  <c r="Z121" i="64"/>
  <c r="AF121" i="64" s="1"/>
  <c r="T43" i="64"/>
  <c r="V43" i="64"/>
  <c r="X43" i="64" s="1"/>
  <c r="Y43" i="64" s="1"/>
  <c r="Z43" i="64" s="1"/>
  <c r="T61" i="64"/>
  <c r="V61" i="64"/>
  <c r="X61" i="64" s="1"/>
  <c r="Y61" i="64" s="1"/>
  <c r="Z61" i="64" s="1"/>
  <c r="T79" i="64"/>
  <c r="V79" i="64"/>
  <c r="X79" i="64" s="1"/>
  <c r="Y79" i="64" s="1"/>
  <c r="Z79" i="64" s="1"/>
  <c r="T24" i="64"/>
  <c r="V24" i="64"/>
  <c r="X24" i="64" s="1"/>
  <c r="Y24" i="64" s="1"/>
  <c r="Z24" i="64" s="1"/>
  <c r="T50" i="64"/>
  <c r="V50" i="64"/>
  <c r="X50" i="64" s="1"/>
  <c r="AF66" i="64"/>
  <c r="AF90" i="64"/>
  <c r="V63" i="64"/>
  <c r="X63" i="64" s="1"/>
  <c r="T63" i="64"/>
  <c r="T36" i="64"/>
  <c r="V36" i="64"/>
  <c r="X36" i="64" s="1"/>
  <c r="Y81" i="28"/>
  <c r="Y85" i="28" s="1"/>
  <c r="AF54" i="64"/>
  <c r="Z72" i="64"/>
  <c r="AF72" i="64" s="1"/>
  <c r="AF91" i="64"/>
  <c r="Z116" i="64"/>
  <c r="AF116" i="64" s="1"/>
  <c r="T67" i="64"/>
  <c r="V67" i="64"/>
  <c r="X67" i="64" s="1"/>
  <c r="T56" i="64"/>
  <c r="V56" i="64"/>
  <c r="X56" i="64" s="1"/>
  <c r="Y56" i="64" s="1"/>
  <c r="Z56" i="64" s="1"/>
  <c r="AF40" i="64"/>
  <c r="AF111" i="64"/>
  <c r="V69" i="64"/>
  <c r="X69" i="64" s="1"/>
  <c r="T69" i="64"/>
  <c r="T42" i="64"/>
  <c r="V42" i="64"/>
  <c r="X42" i="64" s="1"/>
  <c r="AF28" i="64"/>
  <c r="T205" i="64"/>
  <c r="T207" i="64" s="1"/>
  <c r="J19" i="63" s="1"/>
  <c r="Z85" i="64"/>
  <c r="AF85" i="64" s="1"/>
  <c r="AF163" i="64"/>
  <c r="Z166" i="64"/>
  <c r="AF166" i="64" s="1"/>
  <c r="T73" i="64"/>
  <c r="V73" i="64"/>
  <c r="X73" i="64" s="1"/>
  <c r="Y73" i="64" s="1"/>
  <c r="Z73" i="64" s="1"/>
  <c r="AF73" i="64" s="1"/>
  <c r="T44" i="64"/>
  <c r="V44" i="64"/>
  <c r="X44" i="64" s="1"/>
  <c r="V62" i="64"/>
  <c r="X62" i="64" s="1"/>
  <c r="T62" i="64"/>
  <c r="AF131" i="64"/>
  <c r="AF23" i="64"/>
  <c r="Z78" i="64"/>
  <c r="AF78" i="64" s="1"/>
  <c r="AF184" i="64"/>
  <c r="V75" i="64"/>
  <c r="X75" i="64" s="1"/>
  <c r="T75" i="64"/>
  <c r="T30" i="64"/>
  <c r="V30" i="64"/>
  <c r="X30" i="64" s="1"/>
  <c r="AF124" i="64"/>
  <c r="AD74" i="11"/>
  <c r="F26" i="97" s="1"/>
  <c r="D51" i="71" s="1"/>
  <c r="E51" i="71" s="1"/>
  <c r="I51" i="71" s="1"/>
  <c r="L35" i="71"/>
  <c r="N35" i="71" s="1"/>
  <c r="L38" i="17"/>
  <c r="L37" i="71"/>
  <c r="N37" i="71" s="1"/>
  <c r="Z35" i="64"/>
  <c r="AF35" i="64" s="1"/>
  <c r="Z38" i="64"/>
  <c r="AF38" i="64" s="1"/>
  <c r="Z168" i="64"/>
  <c r="AF168" i="64" s="1"/>
  <c r="Z192" i="64"/>
  <c r="AF192" i="64"/>
  <c r="Z58" i="64"/>
  <c r="AF58" i="64"/>
  <c r="Z76" i="64"/>
  <c r="AF76" i="64" s="1"/>
  <c r="Z26" i="64"/>
  <c r="AF26" i="64" s="1"/>
  <c r="Z55" i="64"/>
  <c r="AF55" i="64"/>
  <c r="Z64" i="64"/>
  <c r="AF64" i="64"/>
  <c r="Z82" i="64"/>
  <c r="AF82" i="64" s="1"/>
  <c r="Z41" i="64"/>
  <c r="AF41" i="64" s="1"/>
  <c r="Z46" i="64"/>
  <c r="AF46" i="64"/>
  <c r="Z32" i="64"/>
  <c r="AF32" i="64" s="1"/>
  <c r="Z186" i="64"/>
  <c r="AF186" i="64" s="1"/>
  <c r="Z20" i="64"/>
  <c r="AF20" i="64" s="1"/>
  <c r="Z52" i="64"/>
  <c r="AF52" i="64" s="1"/>
  <c r="Z70" i="64"/>
  <c r="AF70" i="64" s="1"/>
  <c r="Z88" i="64"/>
  <c r="AF88" i="64" s="1"/>
  <c r="Y89" i="64"/>
  <c r="Z89" i="64" s="1"/>
  <c r="Y114" i="64"/>
  <c r="Z114" i="64" s="1"/>
  <c r="AF114" i="64" s="1"/>
  <c r="Y158" i="64"/>
  <c r="J80" i="17"/>
  <c r="J82" i="17" s="1"/>
  <c r="L76" i="17"/>
  <c r="J75" i="71" s="1"/>
  <c r="L75" i="71" s="1"/>
  <c r="N75" i="71" s="1"/>
  <c r="AF29" i="64"/>
  <c r="J31" i="71"/>
  <c r="V148" i="64"/>
  <c r="V150" i="64" s="1"/>
  <c r="V152" i="64" s="1"/>
  <c r="Y65" i="64"/>
  <c r="Z65" i="64" s="1"/>
  <c r="AF65" i="64" s="1"/>
  <c r="Y81" i="64"/>
  <c r="Z81" i="64"/>
  <c r="AF81" i="64" s="1"/>
  <c r="Y95" i="64"/>
  <c r="Z95" i="64"/>
  <c r="Y37" i="64"/>
  <c r="Z37" i="64" s="1"/>
  <c r="AF37" i="64" s="1"/>
  <c r="Y51" i="64"/>
  <c r="AF25" i="64"/>
  <c r="Y164" i="64"/>
  <c r="AF84" i="64"/>
  <c r="X17" i="64"/>
  <c r="Y202" i="64"/>
  <c r="X148" i="64"/>
  <c r="X150" i="64" s="1"/>
  <c r="X152" i="64" s="1"/>
  <c r="L17" i="63" s="1"/>
  <c r="Y141" i="64"/>
  <c r="AF178" i="64"/>
  <c r="AF190" i="64"/>
  <c r="Y71" i="64"/>
  <c r="Z71" i="64" s="1"/>
  <c r="AF71" i="64" s="1"/>
  <c r="Y130" i="64"/>
  <c r="Z130" i="64" s="1"/>
  <c r="AF130" i="64" s="1"/>
  <c r="V205" i="64"/>
  <c r="V207" i="64" s="1"/>
  <c r="X176" i="64"/>
  <c r="AF99" i="64"/>
  <c r="Y94" i="64"/>
  <c r="Z94" i="64" s="1"/>
  <c r="AF94" i="64" s="1"/>
  <c r="Z164" i="64"/>
  <c r="AF164" i="64" s="1"/>
  <c r="AF97" i="64"/>
  <c r="Y146" i="64"/>
  <c r="T18" i="64"/>
  <c r="T102" i="64" s="1"/>
  <c r="T104" i="64" s="1"/>
  <c r="J15" i="63" s="1"/>
  <c r="V18" i="64"/>
  <c r="X18" i="64" s="1"/>
  <c r="Y182" i="64"/>
  <c r="Z182" i="64" s="1"/>
  <c r="AF182" i="64" s="1"/>
  <c r="D30" i="71"/>
  <c r="T136" i="64"/>
  <c r="T138" i="64" s="1"/>
  <c r="J16" i="63" s="1"/>
  <c r="AF159" i="64"/>
  <c r="AF177" i="64"/>
  <c r="AF189" i="64"/>
  <c r="X173" i="64"/>
  <c r="L18" i="63" s="1"/>
  <c r="Y157" i="64"/>
  <c r="Z157" i="64" s="1"/>
  <c r="Y162" i="64"/>
  <c r="Y108" i="64"/>
  <c r="Y21" i="64"/>
  <c r="Z21" i="64"/>
  <c r="AF21" i="64"/>
  <c r="Y53" i="64"/>
  <c r="Z53" i="64" s="1"/>
  <c r="Y77" i="64"/>
  <c r="Z77" i="64" s="1"/>
  <c r="Y45" i="64"/>
  <c r="Z49" i="64"/>
  <c r="AF49" i="64" s="1"/>
  <c r="AF79" i="64"/>
  <c r="Y142" i="64"/>
  <c r="Z142" i="64" s="1"/>
  <c r="AF142" i="64" s="1"/>
  <c r="Y188" i="64"/>
  <c r="AF24" i="64"/>
  <c r="AF80" i="64"/>
  <c r="X107" i="64"/>
  <c r="V136" i="64"/>
  <c r="V138" i="64" s="1"/>
  <c r="AF56" i="64"/>
  <c r="AF68" i="64"/>
  <c r="AF110" i="64"/>
  <c r="AF187" i="64"/>
  <c r="V173" i="64"/>
  <c r="AF165" i="64"/>
  <c r="Y180" i="64"/>
  <c r="Y33" i="64"/>
  <c r="Z33" i="64"/>
  <c r="AF33" i="64"/>
  <c r="Y39" i="64"/>
  <c r="Z39" i="64" s="1"/>
  <c r="Y47" i="64"/>
  <c r="AF47" i="64" s="1"/>
  <c r="Z47" i="64"/>
  <c r="Y87" i="64"/>
  <c r="Y59" i="64"/>
  <c r="Z59" i="64" s="1"/>
  <c r="Y22" i="64"/>
  <c r="Z22" i="64" s="1"/>
  <c r="Y109" i="64"/>
  <c r="Y31" i="64"/>
  <c r="Z31" i="64" s="1"/>
  <c r="AF31" i="64" s="1"/>
  <c r="Y57" i="64"/>
  <c r="Z57" i="64" s="1"/>
  <c r="AF57" i="64"/>
  <c r="Y27" i="64"/>
  <c r="Z27" i="64"/>
  <c r="AF61" i="64"/>
  <c r="Y83" i="64"/>
  <c r="Z83" i="64" s="1"/>
  <c r="Z51" i="64"/>
  <c r="Y112" i="64"/>
  <c r="Z112" i="64" s="1"/>
  <c r="Y123" i="64"/>
  <c r="Z123" i="64" s="1"/>
  <c r="Y194" i="64"/>
  <c r="Z194" i="64" s="1"/>
  <c r="F30" i="71"/>
  <c r="F80" i="71" s="1"/>
  <c r="B80" i="20"/>
  <c r="B82" i="20" s="1"/>
  <c r="L31" i="20"/>
  <c r="L80" i="20" s="1"/>
  <c r="L82" i="20" s="1"/>
  <c r="Y93" i="64"/>
  <c r="Z93" i="64"/>
  <c r="Z158" i="64"/>
  <c r="AF158" i="64" s="1"/>
  <c r="AF200" i="64"/>
  <c r="AF203" i="64"/>
  <c r="AF183" i="64"/>
  <c r="AF195" i="64"/>
  <c r="J21" i="63" l="1"/>
  <c r="H26" i="63" s="1"/>
  <c r="H28" i="63" s="1"/>
  <c r="F52" i="97" s="1"/>
  <c r="D77" i="71" s="1"/>
  <c r="E77" i="71" s="1"/>
  <c r="I77" i="71" s="1"/>
  <c r="L77" i="71" s="1"/>
  <c r="N77" i="71" s="1"/>
  <c r="AF83" i="64"/>
  <c r="AF157" i="64"/>
  <c r="AF27" i="64"/>
  <c r="Y67" i="64"/>
  <c r="Z67" i="64" s="1"/>
  <c r="AF67" i="64" s="1"/>
  <c r="AF89" i="64"/>
  <c r="Y30" i="64"/>
  <c r="Z30" i="64"/>
  <c r="Y36" i="64"/>
  <c r="AF59" i="64"/>
  <c r="AF77" i="64"/>
  <c r="AF95" i="64"/>
  <c r="Y42" i="64"/>
  <c r="Z42" i="64"/>
  <c r="Y50" i="64"/>
  <c r="Z50" i="64" s="1"/>
  <c r="AF123" i="64"/>
  <c r="AF93" i="64"/>
  <c r="Z108" i="64"/>
  <c r="AF108" i="64" s="1"/>
  <c r="Y75" i="64"/>
  <c r="Z75" i="64" s="1"/>
  <c r="Y62" i="64"/>
  <c r="Z62" i="64" s="1"/>
  <c r="AF62" i="64" s="1"/>
  <c r="Y63" i="64"/>
  <c r="Z109" i="64"/>
  <c r="AF109" i="64" s="1"/>
  <c r="Z87" i="64"/>
  <c r="AF87" i="64" s="1"/>
  <c r="AF39" i="64"/>
  <c r="AF51" i="64"/>
  <c r="Y44" i="64"/>
  <c r="Y69" i="64"/>
  <c r="Y87" i="28"/>
  <c r="Y88" i="28" s="1"/>
  <c r="F52" i="17" s="1"/>
  <c r="F80" i="17" s="1"/>
  <c r="F82" i="17" s="1"/>
  <c r="L31" i="71"/>
  <c r="N31" i="71" s="1"/>
  <c r="Y148" i="64"/>
  <c r="Y150" i="64" s="1"/>
  <c r="Y152" i="64" s="1"/>
  <c r="N17" i="63" s="1"/>
  <c r="Z141" i="64"/>
  <c r="Z162" i="64"/>
  <c r="Z173" i="64" s="1"/>
  <c r="P18" i="63" s="1"/>
  <c r="Y107" i="64"/>
  <c r="Y136" i="64" s="1"/>
  <c r="Y138" i="64" s="1"/>
  <c r="N16" i="63" s="1"/>
  <c r="X136" i="64"/>
  <c r="X138" i="64" s="1"/>
  <c r="L16" i="63" s="1"/>
  <c r="Y18" i="64"/>
  <c r="X205" i="64"/>
  <c r="X207" i="64" s="1"/>
  <c r="L19" i="63" s="1"/>
  <c r="Y176" i="64"/>
  <c r="Y205" i="64" s="1"/>
  <c r="Y207" i="64" s="1"/>
  <c r="N19" i="63" s="1"/>
  <c r="Z202" i="64"/>
  <c r="AF202" i="64" s="1"/>
  <c r="AF22" i="64"/>
  <c r="V102" i="64"/>
  <c r="V104" i="64" s="1"/>
  <c r="Z45" i="64"/>
  <c r="AF45" i="64" s="1"/>
  <c r="Z188" i="64"/>
  <c r="AF188" i="64" s="1"/>
  <c r="AF112" i="64"/>
  <c r="AF53" i="64"/>
  <c r="Y173" i="64"/>
  <c r="N18" i="63" s="1"/>
  <c r="F54" i="97"/>
  <c r="Z18" i="64"/>
  <c r="X102" i="64"/>
  <c r="X104" i="64" s="1"/>
  <c r="L15" i="63" s="1"/>
  <c r="L21" i="63" s="1"/>
  <c r="Y17" i="64"/>
  <c r="Z17" i="64"/>
  <c r="AF194" i="64"/>
  <c r="Z180" i="64"/>
  <c r="AF180" i="64" s="1"/>
  <c r="E30" i="71"/>
  <c r="D80" i="71"/>
  <c r="F56" i="97" s="1"/>
  <c r="F57" i="97" s="1"/>
  <c r="Z146" i="64"/>
  <c r="AF146" i="64" s="1"/>
  <c r="AF141" i="64"/>
  <c r="Z107" i="64" l="1"/>
  <c r="Z136" i="64" s="1"/>
  <c r="Z138" i="64" s="1"/>
  <c r="P16" i="63" s="1"/>
  <c r="AF30" i="64"/>
  <c r="AF17" i="64"/>
  <c r="Z63" i="64"/>
  <c r="AF63" i="64" s="1"/>
  <c r="Z44" i="64"/>
  <c r="AF44" i="64" s="1"/>
  <c r="AF75" i="64"/>
  <c r="AF50" i="64"/>
  <c r="AF18" i="64"/>
  <c r="Z36" i="64"/>
  <c r="AF36" i="64" s="1"/>
  <c r="Z176" i="64"/>
  <c r="AF176" i="64" s="1"/>
  <c r="AF205" i="64" s="1"/>
  <c r="AF207" i="64" s="1"/>
  <c r="Z69" i="64"/>
  <c r="AF69" i="64" s="1"/>
  <c r="L52" i="17"/>
  <c r="AF162" i="64"/>
  <c r="AF173" i="64" s="1"/>
  <c r="Z148" i="64"/>
  <c r="Z150" i="64" s="1"/>
  <c r="Z152" i="64" s="1"/>
  <c r="P17" i="63" s="1"/>
  <c r="AF148" i="64"/>
  <c r="AF150" i="64" s="1"/>
  <c r="AF152" i="64" s="1"/>
  <c r="Z102" i="64"/>
  <c r="Z104" i="64" s="1"/>
  <c r="P15" i="63" s="1"/>
  <c r="Y102" i="64"/>
  <c r="Y104" i="64" s="1"/>
  <c r="N15" i="63" s="1"/>
  <c r="N21" i="63" s="1"/>
  <c r="AF107" i="64"/>
  <c r="AF136" i="64" s="1"/>
  <c r="AF138" i="64" s="1"/>
  <c r="I30" i="71"/>
  <c r="E80" i="71"/>
  <c r="C28" i="79" s="1"/>
  <c r="C29" i="79" s="1"/>
  <c r="C14" i="94" s="1"/>
  <c r="J46" i="94" s="1"/>
  <c r="J47" i="94" s="1"/>
  <c r="AF102" i="64" l="1"/>
  <c r="AF104" i="64" s="1"/>
  <c r="L80" i="17"/>
  <c r="L82" i="17" s="1"/>
  <c r="J51" i="71"/>
  <c r="L51" i="71" s="1"/>
  <c r="N51" i="71" s="1"/>
  <c r="N80" i="71" s="1"/>
  <c r="Z205" i="64"/>
  <c r="Z207" i="64" s="1"/>
  <c r="P19" i="63" s="1"/>
  <c r="P21" i="63" s="1"/>
  <c r="C7" i="94" s="1"/>
  <c r="J28" i="94" s="1"/>
  <c r="I80" i="71"/>
  <c r="L30" i="71"/>
  <c r="L80" i="71" l="1"/>
  <c r="N88" i="71"/>
  <c r="N83" i="71"/>
  <c r="N87" i="71" s="1"/>
  <c r="J80" i="71"/>
  <c r="J83" i="71" s="1"/>
  <c r="J84" i="71" s="1"/>
  <c r="I88" i="71"/>
  <c r="I83" i="71"/>
  <c r="I87" i="71" s="1"/>
  <c r="S9" i="94"/>
  <c r="T9" i="94" s="1"/>
  <c r="U9" i="94" s="1"/>
  <c r="W9" i="94" s="1"/>
  <c r="X9" i="94" s="1"/>
  <c r="Y9" i="94" s="1"/>
  <c r="Z9" i="94" s="1"/>
  <c r="AB9" i="94" s="1"/>
  <c r="AC9" i="94" s="1"/>
  <c r="AD9" i="94" s="1"/>
  <c r="S6" i="94"/>
  <c r="J26" i="94"/>
  <c r="J27" i="94"/>
  <c r="M27" i="94" s="1"/>
  <c r="K11" i="94" s="1"/>
  <c r="M11" i="94" s="1"/>
  <c r="S8" i="94"/>
  <c r="T8" i="94" s="1"/>
  <c r="U8" i="94" s="1"/>
  <c r="W8" i="94" s="1"/>
  <c r="X8" i="94" s="1"/>
  <c r="Y8" i="94" s="1"/>
  <c r="Z8" i="94" s="1"/>
  <c r="AB8" i="94" s="1"/>
  <c r="AC8" i="94" s="1"/>
  <c r="AD8" i="94" s="1"/>
  <c r="S7" i="94"/>
  <c r="T7" i="94" s="1"/>
  <c r="U7" i="94" s="1"/>
  <c r="W7" i="94" s="1"/>
  <c r="X7" i="94" s="1"/>
  <c r="Y7" i="94" s="1"/>
  <c r="Z7" i="94" s="1"/>
  <c r="AB7" i="94" s="1"/>
  <c r="AC7" i="94" s="1"/>
  <c r="AD7" i="94" s="1"/>
  <c r="T6" i="94"/>
  <c r="U6" i="94" s="1"/>
  <c r="W6" i="94" s="1"/>
  <c r="X6" i="94" s="1"/>
  <c r="Y6" i="94" s="1"/>
  <c r="Z6" i="94" s="1"/>
  <c r="AB6" i="94" s="1"/>
  <c r="AC6" i="94" s="1"/>
  <c r="AD6" i="94" s="1"/>
  <c r="I11" i="94" l="1"/>
  <c r="C6" i="94"/>
  <c r="I8" i="94" s="1"/>
  <c r="L83" i="71"/>
  <c r="L87" i="71" s="1"/>
  <c r="L88" i="71"/>
  <c r="AE8" i="94" l="1"/>
  <c r="AF8" i="94" s="1"/>
  <c r="AE9" i="94"/>
  <c r="AF9" i="94" s="1"/>
  <c r="AE6" i="94"/>
  <c r="AF6" i="94" s="1"/>
  <c r="I16" i="94"/>
  <c r="AE7" i="94"/>
  <c r="AF7" i="94" s="1"/>
  <c r="K8" i="94"/>
  <c r="I9" i="94"/>
  <c r="AG6" i="94" l="1"/>
  <c r="AH6" i="94"/>
  <c r="AI6" i="94"/>
  <c r="J7" i="94"/>
  <c r="K7" i="94"/>
  <c r="L7" i="94"/>
  <c r="M7" i="94"/>
  <c r="AG7" i="94"/>
  <c r="AH7" i="94"/>
  <c r="AI7" i="94"/>
  <c r="L8" i="94"/>
  <c r="M8" i="94"/>
  <c r="AG8" i="94"/>
  <c r="AH8" i="94"/>
  <c r="AI8" i="94"/>
  <c r="K9" i="94"/>
  <c r="M9" i="94"/>
  <c r="AG9" i="94"/>
  <c r="AH9" i="94"/>
  <c r="AI9" i="94"/>
  <c r="S11" i="94"/>
  <c r="T11" i="94"/>
  <c r="U11" i="94"/>
  <c r="W11" i="94"/>
  <c r="X11" i="94"/>
  <c r="Y11" i="94"/>
  <c r="Z11" i="94"/>
  <c r="AB11" i="94"/>
  <c r="AC11" i="94"/>
  <c r="AD11" i="94"/>
  <c r="AE11" i="94"/>
  <c r="AF11" i="94"/>
  <c r="AG11" i="94"/>
  <c r="AH11" i="94"/>
  <c r="AI11" i="94"/>
  <c r="I12" i="94"/>
  <c r="J12" i="94"/>
  <c r="K12" i="94"/>
  <c r="M12" i="94"/>
  <c r="S12" i="94"/>
  <c r="T12" i="94"/>
  <c r="U12" i="94"/>
  <c r="W12" i="94"/>
  <c r="X12" i="94"/>
  <c r="Y12" i="94"/>
  <c r="Z12" i="94"/>
  <c r="AB12" i="94"/>
  <c r="AC12" i="94"/>
  <c r="AD12" i="94"/>
  <c r="AE12" i="94"/>
  <c r="AF12" i="94"/>
  <c r="AG12" i="94"/>
  <c r="AH12" i="94"/>
  <c r="AI12" i="94"/>
  <c r="S13" i="94"/>
  <c r="T13" i="94"/>
  <c r="U13" i="94"/>
  <c r="W13" i="94"/>
  <c r="X13" i="94"/>
  <c r="Y13" i="94"/>
  <c r="Z13" i="94"/>
  <c r="AB13" i="94"/>
  <c r="AC13" i="94"/>
  <c r="AD13" i="94"/>
  <c r="AE13" i="94"/>
  <c r="AF13" i="94"/>
  <c r="AG13" i="94"/>
  <c r="AH13" i="94"/>
  <c r="AI13" i="94"/>
  <c r="I14" i="94"/>
  <c r="K14" i="94"/>
  <c r="M14" i="94"/>
  <c r="S14" i="94"/>
  <c r="T14" i="94"/>
  <c r="U14" i="94"/>
  <c r="W14" i="94"/>
  <c r="X14" i="94"/>
  <c r="Y14" i="94"/>
  <c r="Z14" i="94"/>
  <c r="AB14" i="94"/>
  <c r="AC14" i="94"/>
  <c r="AD14" i="94"/>
  <c r="AE14" i="94"/>
  <c r="AF14" i="94"/>
  <c r="AG14" i="94"/>
  <c r="AH14" i="94"/>
  <c r="AI14" i="94"/>
  <c r="K16" i="94"/>
  <c r="M16" i="94"/>
  <c r="S16" i="94"/>
  <c r="T16" i="94"/>
  <c r="U16" i="94"/>
  <c r="W16" i="94"/>
  <c r="X16" i="94"/>
  <c r="Y16" i="94"/>
  <c r="Z16" i="94"/>
  <c r="AB16" i="94"/>
  <c r="AC16" i="94"/>
  <c r="AD16" i="94"/>
  <c r="AE16" i="94"/>
  <c r="AF16" i="94"/>
  <c r="AG16" i="94"/>
  <c r="AH16" i="94"/>
  <c r="AI16" i="94"/>
  <c r="S17" i="94"/>
  <c r="T17" i="94"/>
  <c r="U17" i="94"/>
  <c r="W17" i="94"/>
  <c r="X17" i="94"/>
  <c r="Y17" i="94"/>
  <c r="Z17" i="94"/>
  <c r="AB17" i="94"/>
  <c r="AC17" i="94"/>
  <c r="AD17" i="94"/>
  <c r="AE17" i="94"/>
  <c r="AF17" i="94"/>
  <c r="AG17" i="94"/>
  <c r="AH17" i="94"/>
  <c r="AI17" i="94"/>
  <c r="S18" i="94"/>
  <c r="T18" i="94"/>
  <c r="U18" i="94"/>
  <c r="W18" i="94"/>
  <c r="X18" i="94"/>
  <c r="Y18" i="94"/>
  <c r="Z18" i="94"/>
  <c r="AB18" i="94"/>
  <c r="AC18" i="94"/>
  <c r="AD18" i="94"/>
  <c r="AE18" i="94"/>
  <c r="AF18" i="94"/>
  <c r="AG18" i="94"/>
  <c r="AH18" i="94"/>
  <c r="AI18" i="94"/>
  <c r="M19" i="94"/>
  <c r="S19" i="94"/>
  <c r="T19" i="94"/>
  <c r="U19" i="94"/>
  <c r="W19" i="94"/>
  <c r="X19" i="94"/>
  <c r="Y19" i="94"/>
  <c r="Z19" i="94"/>
  <c r="AB19" i="94"/>
  <c r="AC19" i="94"/>
  <c r="AD19" i="94"/>
  <c r="AE19" i="94"/>
  <c r="AF19" i="94"/>
  <c r="AG19" i="94"/>
  <c r="AH19" i="94"/>
  <c r="AI19" i="94"/>
  <c r="J20" i="94"/>
  <c r="M20" i="94"/>
  <c r="J21" i="94"/>
  <c r="M21" i="94"/>
  <c r="S21" i="94"/>
  <c r="T21" i="94"/>
  <c r="U21" i="94"/>
  <c r="W21" i="94"/>
  <c r="X21" i="94"/>
  <c r="Y21" i="94"/>
  <c r="Z21" i="94"/>
  <c r="AB21" i="94"/>
  <c r="AC21" i="94"/>
  <c r="AD21" i="94"/>
  <c r="AE21" i="94"/>
  <c r="AF21" i="94"/>
  <c r="AG21" i="94"/>
  <c r="AH21" i="94"/>
  <c r="AI21" i="94"/>
  <c r="S22" i="94"/>
  <c r="T22" i="94"/>
  <c r="U22" i="94"/>
  <c r="W22" i="94"/>
  <c r="X22" i="94"/>
  <c r="Y22" i="94"/>
  <c r="Z22" i="94"/>
  <c r="AB22" i="94"/>
  <c r="AC22" i="94"/>
  <c r="AD22" i="94"/>
  <c r="AE22" i="94"/>
  <c r="AF22" i="94"/>
  <c r="AG22" i="94"/>
  <c r="AH22" i="94"/>
  <c r="AI22" i="94"/>
  <c r="S23" i="94"/>
  <c r="T23" i="94"/>
  <c r="U23" i="94"/>
  <c r="W23" i="94"/>
  <c r="X23" i="94"/>
  <c r="Y23" i="94"/>
  <c r="Z23" i="94"/>
  <c r="AB23" i="94"/>
  <c r="AC23" i="94"/>
  <c r="AD23" i="94"/>
  <c r="AE23" i="94"/>
  <c r="AF23" i="94"/>
  <c r="AG23" i="94"/>
  <c r="AH23" i="94"/>
  <c r="AI23" i="94"/>
  <c r="S24" i="94"/>
  <c r="T24" i="94"/>
  <c r="U24" i="94"/>
  <c r="W24" i="94"/>
  <c r="X24" i="94"/>
  <c r="Y24" i="94"/>
  <c r="Z24" i="94"/>
  <c r="AB24" i="94"/>
  <c r="AC24" i="94"/>
  <c r="AD24" i="94"/>
  <c r="AE24" i="94"/>
  <c r="AF24" i="94"/>
  <c r="AG24" i="94"/>
  <c r="AH24" i="94"/>
  <c r="AI24" i="94"/>
  <c r="K26" i="94"/>
  <c r="L26" i="94"/>
  <c r="M26" i="94"/>
  <c r="S26" i="94"/>
  <c r="T26" i="94"/>
  <c r="U26" i="94"/>
  <c r="W26" i="94"/>
  <c r="X26" i="94"/>
  <c r="Y26" i="94"/>
  <c r="Z26" i="94"/>
  <c r="AB26" i="94"/>
  <c r="AC26" i="94"/>
  <c r="AD26" i="94"/>
  <c r="AE26" i="94"/>
  <c r="AF26" i="94"/>
  <c r="AG26" i="94"/>
  <c r="AH26" i="94"/>
  <c r="AI26" i="94"/>
  <c r="S27" i="94"/>
  <c r="T27" i="94"/>
  <c r="U27" i="94"/>
  <c r="W27" i="94"/>
  <c r="X27" i="94"/>
  <c r="Y27" i="94"/>
  <c r="Z27" i="94"/>
  <c r="AB27" i="94"/>
  <c r="AC27" i="94"/>
  <c r="AD27" i="94"/>
  <c r="AE27" i="94"/>
  <c r="AF27" i="94"/>
  <c r="AG27" i="94"/>
  <c r="AH27" i="94"/>
  <c r="AI27" i="94"/>
  <c r="L28" i="94"/>
  <c r="M28" i="94"/>
  <c r="S28" i="94"/>
  <c r="T28" i="94"/>
  <c r="U28" i="94"/>
  <c r="W28" i="94"/>
  <c r="X28" i="94"/>
  <c r="Y28" i="94"/>
  <c r="Z28" i="94"/>
  <c r="AB28" i="94"/>
  <c r="AC28" i="94"/>
  <c r="AD28" i="94"/>
  <c r="AE28" i="94"/>
  <c r="AF28" i="94"/>
  <c r="AG28" i="94"/>
  <c r="AH28" i="94"/>
  <c r="AI28" i="94"/>
  <c r="S29" i="94"/>
  <c r="T29" i="94"/>
  <c r="U29" i="94"/>
  <c r="W29" i="94"/>
  <c r="X29" i="94"/>
  <c r="Y29" i="94"/>
  <c r="Z29" i="94"/>
  <c r="AB29" i="94"/>
  <c r="AC29" i="94"/>
  <c r="AD29" i="94"/>
  <c r="AE29" i="94"/>
  <c r="AF29" i="94"/>
  <c r="AG29" i="94"/>
  <c r="AH29" i="94"/>
  <c r="AI29" i="94"/>
  <c r="S31" i="94"/>
  <c r="T31" i="94"/>
  <c r="U31" i="94"/>
  <c r="W31" i="94"/>
  <c r="X31" i="94"/>
  <c r="Y31" i="94"/>
  <c r="Z31" i="94"/>
  <c r="AB31" i="94"/>
  <c r="AC31" i="94"/>
  <c r="AD31" i="94"/>
  <c r="AE31" i="94"/>
  <c r="AF31" i="94"/>
  <c r="AG31" i="94"/>
  <c r="AH31" i="94"/>
  <c r="AI31" i="94"/>
  <c r="S32" i="94"/>
  <c r="T32" i="94"/>
  <c r="U32" i="94"/>
  <c r="W32" i="94"/>
  <c r="X32" i="94"/>
  <c r="Y32" i="94"/>
  <c r="Z32" i="94"/>
  <c r="AB32" i="94"/>
  <c r="AC32" i="94"/>
  <c r="AD32" i="94"/>
  <c r="AE32" i="94"/>
  <c r="AF32" i="94"/>
  <c r="AG32" i="94"/>
  <c r="AH32" i="94"/>
  <c r="AI32" i="94"/>
  <c r="J33" i="94"/>
  <c r="K33" i="94"/>
  <c r="S33" i="94"/>
  <c r="T33" i="94"/>
  <c r="U33" i="94"/>
  <c r="W33" i="94"/>
  <c r="X33" i="94"/>
  <c r="Y33" i="94"/>
  <c r="Z33" i="94"/>
  <c r="AB33" i="94"/>
  <c r="AC33" i="94"/>
  <c r="AD33" i="94"/>
  <c r="AE33" i="94"/>
  <c r="AF33" i="94"/>
  <c r="AG33" i="94"/>
  <c r="AH33" i="94"/>
  <c r="AI33" i="94"/>
  <c r="J34" i="94"/>
  <c r="K34" i="94"/>
  <c r="S34" i="94"/>
  <c r="T34" i="94"/>
  <c r="U34" i="94"/>
  <c r="W34" i="94"/>
  <c r="X34" i="94"/>
  <c r="Y34" i="94"/>
  <c r="Z34" i="94"/>
  <c r="AB34" i="94"/>
  <c r="AC34" i="94"/>
  <c r="AD34" i="94"/>
  <c r="AE34" i="94"/>
  <c r="AF34" i="94"/>
  <c r="AG34" i="94"/>
  <c r="AH34" i="94"/>
  <c r="AI34" i="94"/>
  <c r="J35" i="94"/>
  <c r="K35" i="94"/>
  <c r="J36" i="94"/>
  <c r="K36" i="94"/>
  <c r="S36" i="94"/>
  <c r="T36" i="94"/>
  <c r="U36" i="94"/>
  <c r="W36" i="94"/>
  <c r="X36" i="94"/>
  <c r="Y36" i="94"/>
  <c r="Z36" i="94"/>
  <c r="AB36" i="94"/>
  <c r="AC36" i="94"/>
  <c r="AD36" i="94"/>
  <c r="AE36" i="94"/>
  <c r="AF36" i="94"/>
  <c r="AG36" i="94"/>
  <c r="AH36" i="94"/>
  <c r="AI36" i="94"/>
  <c r="J37" i="94"/>
  <c r="K37" i="94"/>
  <c r="S37" i="94"/>
  <c r="T37" i="94"/>
  <c r="U37" i="94"/>
  <c r="W37" i="94"/>
  <c r="X37" i="94"/>
  <c r="Y37" i="94"/>
  <c r="Z37" i="94"/>
  <c r="AB37" i="94"/>
  <c r="AC37" i="94"/>
  <c r="AD37" i="94"/>
  <c r="AE37" i="94"/>
  <c r="AF37" i="94"/>
  <c r="AG37" i="94"/>
  <c r="AH37" i="94"/>
  <c r="AI37" i="94"/>
  <c r="S38" i="94"/>
  <c r="T38" i="94"/>
  <c r="U38" i="94"/>
  <c r="W38" i="94"/>
  <c r="X38" i="94"/>
  <c r="Y38" i="94"/>
  <c r="Z38" i="94"/>
  <c r="AB38" i="94"/>
  <c r="AC38" i="94"/>
  <c r="AD38" i="94"/>
  <c r="AE38" i="94"/>
  <c r="AF38" i="94"/>
  <c r="AG38" i="94"/>
  <c r="AH38" i="94"/>
  <c r="AI38" i="94"/>
  <c r="S39" i="94"/>
  <c r="T39" i="94"/>
  <c r="U39" i="94"/>
  <c r="W39" i="94"/>
  <c r="X39" i="94"/>
  <c r="Y39" i="94"/>
  <c r="Z39" i="94"/>
  <c r="AB39" i="94"/>
  <c r="AC39" i="94"/>
  <c r="AD39" i="94"/>
  <c r="AE39" i="94"/>
  <c r="AF39" i="94"/>
  <c r="AG39" i="94"/>
  <c r="AH39" i="94"/>
  <c r="AI39" i="94"/>
  <c r="K43" i="94"/>
  <c r="V43" i="94"/>
  <c r="K44" i="94"/>
  <c r="V44" i="94"/>
  <c r="K45" i="94"/>
  <c r="V45" i="94"/>
  <c r="K46" i="94"/>
  <c r="K47" i="94"/>
  <c r="R48" i="94"/>
  <c r="J49" i="94"/>
  <c r="R49" i="94"/>
  <c r="R51" i="94"/>
  <c r="Y63" i="94"/>
  <c r="Z63" i="94"/>
  <c r="Y64" i="94"/>
  <c r="Z64" i="94"/>
  <c r="Y65" i="94"/>
  <c r="Z65" i="94"/>
  <c r="Y66" i="94"/>
  <c r="Z66" i="94"/>
  <c r="Y67" i="94"/>
  <c r="Z67" i="94"/>
  <c r="E27" i="71"/>
  <c r="E28" i="7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Randy Poole</author>
    <author>Jackie Davis</author>
  </authors>
  <commentList>
    <comment ref="B12" authorId="0" shapeId="0" xr:uid="{AB84A89E-0586-4FA1-8D76-98790BC3377F}">
      <text>
        <r>
          <rPr>
            <b/>
            <sz val="9"/>
            <color indexed="81"/>
            <rFont val="Tahoma"/>
            <family val="2"/>
          </rPr>
          <t>Randy Poole:</t>
        </r>
        <r>
          <rPr>
            <sz val="9"/>
            <color indexed="81"/>
            <rFont val="Tahoma"/>
            <family val="2"/>
          </rPr>
          <t xml:space="preserve">
Michael confirmed this grouping is accurate to use</t>
        </r>
      </text>
    </comment>
    <comment ref="C20" authorId="1" shapeId="0" xr:uid="{10C71D5B-D2F9-46A7-87BF-2F6E392B7500}">
      <text>
        <r>
          <rPr>
            <b/>
            <sz val="9"/>
            <color indexed="81"/>
            <rFont val="Tahoma"/>
            <family val="2"/>
          </rPr>
          <t>Jackie Davis:</t>
        </r>
        <r>
          <rPr>
            <sz val="9"/>
            <color indexed="81"/>
            <rFont val="Tahoma"/>
            <family val="2"/>
          </rPr>
          <t xml:space="preserve">
we had this as unregulated on ann report
</t>
        </r>
        <r>
          <rPr>
            <b/>
            <sz val="9"/>
            <color indexed="81"/>
            <rFont val="Tahoma"/>
            <family val="2"/>
          </rPr>
          <t>RTP:</t>
        </r>
        <r>
          <rPr>
            <sz val="9"/>
            <color indexed="81"/>
            <rFont val="Tahoma"/>
            <family val="2"/>
          </rPr>
          <t xml:space="preserve"> Fixed</t>
        </r>
      </text>
    </comment>
    <comment ref="C21" authorId="1" shapeId="0" xr:uid="{5C0FEE48-0076-48AC-BB09-8C922C5C4494}">
      <text>
        <r>
          <rPr>
            <b/>
            <sz val="9"/>
            <color indexed="81"/>
            <rFont val="Tahoma"/>
            <family val="2"/>
          </rPr>
          <t>Jackie Davis:</t>
        </r>
        <r>
          <rPr>
            <sz val="9"/>
            <color indexed="81"/>
            <rFont val="Tahoma"/>
            <family val="2"/>
          </rPr>
          <t xml:space="preserve">
this looks like recycling commodity sales? Would be non regulated also. On Randy's split between collection and sales but it's confusing
</t>
        </r>
        <r>
          <rPr>
            <b/>
            <sz val="9"/>
            <color indexed="81"/>
            <rFont val="Tahoma"/>
            <family val="2"/>
          </rPr>
          <t>RTP:</t>
        </r>
        <r>
          <rPr>
            <sz val="9"/>
            <color indexed="81"/>
            <rFont val="Tahoma"/>
            <family val="2"/>
          </rPr>
          <t xml:space="preserve"> Agreed on non-regulated per the annual report</t>
        </r>
      </text>
    </comment>
    <comment ref="C23" authorId="1" shapeId="0" xr:uid="{FF25B9CA-8879-472C-A270-B90AACFFEB8E}">
      <text>
        <r>
          <rPr>
            <b/>
            <sz val="9"/>
            <color indexed="81"/>
            <rFont val="Tahoma"/>
            <family val="2"/>
          </rPr>
          <t>Jackie Davis:</t>
        </r>
        <r>
          <rPr>
            <sz val="9"/>
            <color indexed="81"/>
            <rFont val="Tahoma"/>
            <family val="2"/>
          </rPr>
          <t xml:space="preserve">
split or ask
</t>
        </r>
        <r>
          <rPr>
            <b/>
            <sz val="9"/>
            <color indexed="81"/>
            <rFont val="Tahoma"/>
            <family val="2"/>
          </rPr>
          <t>RTP:</t>
        </r>
        <r>
          <rPr>
            <sz val="9"/>
            <color indexed="81"/>
            <rFont val="Tahoma"/>
            <family val="2"/>
          </rPr>
          <t xml:space="preserve"> split per annual rpt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Logan Davis</author>
  </authors>
  <commentList>
    <comment ref="H128" authorId="0" shapeId="0" xr:uid="{A4C90D74-2077-400C-8E0E-DF74A77B15E9}">
      <text>
        <r>
          <rPr>
            <b/>
            <sz val="9"/>
            <color indexed="81"/>
            <rFont val="Tahoma"/>
            <family val="2"/>
          </rPr>
          <t>Logan Davis:</t>
        </r>
        <r>
          <rPr>
            <sz val="9"/>
            <color indexed="81"/>
            <rFont val="Tahoma"/>
            <family val="2"/>
          </rPr>
          <t xml:space="preserve">
Life from prior rate case</t>
        </r>
      </text>
    </comment>
    <comment ref="H129" authorId="0" shapeId="0" xr:uid="{F9F29A52-8224-4580-BB26-1072419EAD93}">
      <text>
        <r>
          <rPr>
            <b/>
            <sz val="9"/>
            <color indexed="81"/>
            <rFont val="Tahoma"/>
            <family val="2"/>
          </rPr>
          <t>Logan Davis:</t>
        </r>
        <r>
          <rPr>
            <sz val="9"/>
            <color indexed="81"/>
            <rFont val="Tahoma"/>
            <family val="2"/>
          </rPr>
          <t xml:space="preserve">
Life from prior rate case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Randy Poole</author>
  </authors>
  <commentList>
    <comment ref="AB8" authorId="0" shapeId="0" xr:uid="{AF8C4AD1-EDE3-4B48-9965-805C4250FCFE}">
      <text>
        <r>
          <rPr>
            <b/>
            <sz val="9"/>
            <color indexed="81"/>
            <rFont val="Tahoma"/>
            <family val="2"/>
          </rPr>
          <t>Randy Poole:</t>
        </r>
        <r>
          <rPr>
            <sz val="9"/>
            <color indexed="81"/>
            <rFont val="Tahoma"/>
            <family val="2"/>
          </rPr>
          <t xml:space="preserve">
No payroll summary in QB
…
All pr thru BBSI</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Logan Davis</author>
  </authors>
  <commentList>
    <comment ref="E7" authorId="0" shapeId="0" xr:uid="{2E2AD02C-21FB-46A6-9E2C-2C1BBC537FE9}">
      <text>
        <r>
          <rPr>
            <b/>
            <sz val="9"/>
            <color indexed="81"/>
            <rFont val="Tahoma"/>
            <family val="2"/>
          </rPr>
          <t>Logan Davis:</t>
        </r>
        <r>
          <rPr>
            <sz val="9"/>
            <color indexed="81"/>
            <rFont val="Tahoma"/>
            <family val="2"/>
          </rPr>
          <t xml:space="preserve">
Pay increase effective date added as comment represents the pay date that the rate changed. Payroll is every two weeks, so the 4/15 and 4/16 pay increases were applied to hours worked beginning 4/1.  </t>
        </r>
      </text>
    </comment>
    <comment ref="E14" authorId="0" shapeId="0" xr:uid="{A4336753-6070-46F8-9114-A17E38A09495}">
      <text>
        <r>
          <rPr>
            <b/>
            <sz val="9"/>
            <color indexed="81"/>
            <rFont val="Tahoma"/>
            <family val="2"/>
          </rPr>
          <t>Logan Davis:</t>
        </r>
        <r>
          <rPr>
            <sz val="9"/>
            <color indexed="81"/>
            <rFont val="Tahoma"/>
            <family val="2"/>
          </rPr>
          <t xml:space="preserve">
04/16/21
</t>
        </r>
      </text>
    </comment>
    <comment ref="G14" authorId="0" shapeId="0" xr:uid="{749D702A-09C3-4107-B93E-C086E190C02C}">
      <text>
        <r>
          <rPr>
            <b/>
            <sz val="9"/>
            <color indexed="81"/>
            <rFont val="Tahoma"/>
            <family val="2"/>
          </rPr>
          <t>Logan Davis:</t>
        </r>
        <r>
          <rPr>
            <sz val="9"/>
            <color indexed="81"/>
            <rFont val="Tahoma"/>
            <family val="2"/>
          </rPr>
          <t xml:space="preserve">
04/15/22</t>
        </r>
      </text>
    </comment>
    <comment ref="E15" authorId="0" shapeId="0" xr:uid="{7EF26368-D902-4F9F-800F-3C228F531BA2}">
      <text>
        <r>
          <rPr>
            <b/>
            <sz val="9"/>
            <color indexed="81"/>
            <rFont val="Tahoma"/>
            <family val="2"/>
          </rPr>
          <t>Logan Davis:</t>
        </r>
        <r>
          <rPr>
            <sz val="9"/>
            <color indexed="81"/>
            <rFont val="Tahoma"/>
            <family val="2"/>
          </rPr>
          <t xml:space="preserve">
04/16/21</t>
        </r>
      </text>
    </comment>
    <comment ref="F15" authorId="0" shapeId="0" xr:uid="{058D81EB-3FF2-42E8-B925-A2A57F73E96E}">
      <text>
        <r>
          <rPr>
            <b/>
            <sz val="9"/>
            <color indexed="81"/>
            <rFont val="Tahoma"/>
            <family val="2"/>
          </rPr>
          <t>Logan Davis:</t>
        </r>
        <r>
          <rPr>
            <sz val="9"/>
            <color indexed="81"/>
            <rFont val="Tahoma"/>
            <family val="2"/>
          </rPr>
          <t xml:space="preserve">
09/03/21</t>
        </r>
      </text>
    </comment>
    <comment ref="E16" authorId="0" shapeId="0" xr:uid="{4252FDD5-C9E4-4DF5-811C-19FDC8DE1DDF}">
      <text>
        <r>
          <rPr>
            <b/>
            <sz val="9"/>
            <color indexed="81"/>
            <rFont val="Tahoma"/>
            <family val="2"/>
          </rPr>
          <t>Logan Davis:</t>
        </r>
        <r>
          <rPr>
            <sz val="9"/>
            <color indexed="81"/>
            <rFont val="Tahoma"/>
            <family val="2"/>
          </rPr>
          <t xml:space="preserve">
04/16/21</t>
        </r>
      </text>
    </comment>
    <comment ref="G16" authorId="0" shapeId="0" xr:uid="{02747389-A203-4A75-8B13-3A8C089A1801}">
      <text>
        <r>
          <rPr>
            <b/>
            <sz val="9"/>
            <color indexed="81"/>
            <rFont val="Tahoma"/>
            <family val="2"/>
          </rPr>
          <t>Logan Davis:</t>
        </r>
        <r>
          <rPr>
            <sz val="9"/>
            <color indexed="81"/>
            <rFont val="Tahoma"/>
            <family val="2"/>
          </rPr>
          <t xml:space="preserve">
04/15/22</t>
        </r>
      </text>
    </comment>
    <comment ref="E17" authorId="0" shapeId="0" xr:uid="{71D729E4-64C7-40EE-966B-D09D2B20D47B}">
      <text>
        <r>
          <rPr>
            <b/>
            <sz val="9"/>
            <color indexed="81"/>
            <rFont val="Tahoma"/>
            <family val="2"/>
          </rPr>
          <t>Logan Davis:</t>
        </r>
        <r>
          <rPr>
            <sz val="9"/>
            <color indexed="81"/>
            <rFont val="Tahoma"/>
            <family val="2"/>
          </rPr>
          <t xml:space="preserve">
06/25/21</t>
        </r>
      </text>
    </comment>
    <comment ref="G17" authorId="0" shapeId="0" xr:uid="{4419899C-B79B-490B-9540-D5657629ECA5}">
      <text>
        <r>
          <rPr>
            <b/>
            <sz val="9"/>
            <color indexed="81"/>
            <rFont val="Tahoma"/>
            <family val="2"/>
          </rPr>
          <t>Logan Davis:</t>
        </r>
        <r>
          <rPr>
            <sz val="9"/>
            <color indexed="81"/>
            <rFont val="Tahoma"/>
            <family val="2"/>
          </rPr>
          <t xml:space="preserve">
04/15/22</t>
        </r>
      </text>
    </comment>
    <comment ref="E18" authorId="0" shapeId="0" xr:uid="{45550D62-B627-4920-83F9-64F9205349D0}">
      <text>
        <r>
          <rPr>
            <b/>
            <sz val="9"/>
            <color indexed="81"/>
            <rFont val="Tahoma"/>
            <family val="2"/>
          </rPr>
          <t>Logan Davis:</t>
        </r>
        <r>
          <rPr>
            <sz val="9"/>
            <color indexed="81"/>
            <rFont val="Tahoma"/>
            <family val="2"/>
          </rPr>
          <t xml:space="preserve">
04/16/21</t>
        </r>
      </text>
    </comment>
    <comment ref="G18" authorId="0" shapeId="0" xr:uid="{DB659D84-5C6C-404C-9FDF-267EA4E790E9}">
      <text>
        <r>
          <rPr>
            <b/>
            <sz val="9"/>
            <color indexed="81"/>
            <rFont val="Tahoma"/>
            <family val="2"/>
          </rPr>
          <t>Logan Davis:</t>
        </r>
        <r>
          <rPr>
            <sz val="9"/>
            <color indexed="81"/>
            <rFont val="Tahoma"/>
            <family val="2"/>
          </rPr>
          <t xml:space="preserve">
04/15/22</t>
        </r>
      </text>
    </comment>
    <comment ref="E19" authorId="0" shapeId="0" xr:uid="{EDC76F14-37A7-4D17-B508-1CE1CE346916}">
      <text>
        <r>
          <rPr>
            <b/>
            <sz val="9"/>
            <color indexed="81"/>
            <rFont val="Tahoma"/>
            <family val="2"/>
          </rPr>
          <t>Logan Davis:</t>
        </r>
        <r>
          <rPr>
            <sz val="9"/>
            <color indexed="81"/>
            <rFont val="Tahoma"/>
            <family val="2"/>
          </rPr>
          <t xml:space="preserve">
04/16/21</t>
        </r>
      </text>
    </comment>
    <comment ref="G19" authorId="0" shapeId="0" xr:uid="{18099BA6-C51F-42A2-975A-22FABF14E2B7}">
      <text>
        <r>
          <rPr>
            <b/>
            <sz val="9"/>
            <color indexed="81"/>
            <rFont val="Tahoma"/>
            <family val="2"/>
          </rPr>
          <t>Logan Davis:</t>
        </r>
        <r>
          <rPr>
            <sz val="9"/>
            <color indexed="81"/>
            <rFont val="Tahoma"/>
            <family val="2"/>
          </rPr>
          <t xml:space="preserve">
04/15/22</t>
        </r>
      </text>
    </comment>
    <comment ref="E20" authorId="0" shapeId="0" xr:uid="{A9E369E2-CF00-457C-93C4-B90542206692}">
      <text>
        <r>
          <rPr>
            <b/>
            <sz val="9"/>
            <color indexed="81"/>
            <rFont val="Tahoma"/>
            <family val="2"/>
          </rPr>
          <t>Logan Davis:</t>
        </r>
        <r>
          <rPr>
            <sz val="9"/>
            <color indexed="81"/>
            <rFont val="Tahoma"/>
            <family val="2"/>
          </rPr>
          <t xml:space="preserve">
04/16/21</t>
        </r>
      </text>
    </comment>
    <comment ref="G20" authorId="0" shapeId="0" xr:uid="{30CB4C67-83EB-421F-BE2D-7AC3E2FCF720}">
      <text>
        <r>
          <rPr>
            <b/>
            <sz val="9"/>
            <color indexed="81"/>
            <rFont val="Tahoma"/>
            <family val="2"/>
          </rPr>
          <t>Logan Davis:</t>
        </r>
        <r>
          <rPr>
            <sz val="9"/>
            <color indexed="81"/>
            <rFont val="Tahoma"/>
            <family val="2"/>
          </rPr>
          <t xml:space="preserve">
04/15/22</t>
        </r>
      </text>
    </comment>
    <comment ref="D24" authorId="0" shapeId="0" xr:uid="{0A888A85-AD31-466B-BF76-F8DDB064D8B3}">
      <text>
        <r>
          <rPr>
            <b/>
            <sz val="9"/>
            <color indexed="81"/>
            <rFont val="Tahoma"/>
            <family val="2"/>
          </rPr>
          <t>Logan Davis:</t>
        </r>
        <r>
          <rPr>
            <sz val="9"/>
            <color indexed="81"/>
            <rFont val="Tahoma"/>
            <family val="2"/>
          </rPr>
          <t xml:space="preserve">
Last payroll 04/15/22</t>
        </r>
      </text>
    </comment>
    <comment ref="E24" authorId="0" shapeId="0" xr:uid="{2CAFF6B7-4583-4D67-825F-0CBC1290A4F4}">
      <text>
        <r>
          <rPr>
            <b/>
            <sz val="9"/>
            <color indexed="81"/>
            <rFont val="Tahoma"/>
            <family val="2"/>
          </rPr>
          <t>Logan Davis:</t>
        </r>
        <r>
          <rPr>
            <sz val="9"/>
            <color indexed="81"/>
            <rFont val="Tahoma"/>
            <family val="2"/>
          </rPr>
          <t xml:space="preserve">
04/16/21</t>
        </r>
      </text>
    </comment>
    <comment ref="E25" authorId="0" shapeId="0" xr:uid="{3BE5C8E9-F0D2-40BE-95EA-1840FA3DD557}">
      <text>
        <r>
          <rPr>
            <b/>
            <sz val="9"/>
            <color indexed="81"/>
            <rFont val="Tahoma"/>
            <family val="2"/>
          </rPr>
          <t>Logan Davis:</t>
        </r>
        <r>
          <rPr>
            <sz val="9"/>
            <color indexed="81"/>
            <rFont val="Tahoma"/>
            <family val="2"/>
          </rPr>
          <t xml:space="preserve">
04/16/21</t>
        </r>
      </text>
    </comment>
    <comment ref="G25" authorId="0" shapeId="0" xr:uid="{FFEF4B8B-260D-456C-8101-1B8B9EA72BC6}">
      <text>
        <r>
          <rPr>
            <b/>
            <sz val="9"/>
            <color indexed="81"/>
            <rFont val="Tahoma"/>
            <family val="2"/>
          </rPr>
          <t>Logan Davis:</t>
        </r>
        <r>
          <rPr>
            <sz val="9"/>
            <color indexed="81"/>
            <rFont val="Tahoma"/>
            <family val="2"/>
          </rPr>
          <t xml:space="preserve">
04/15/22</t>
        </r>
      </text>
    </comment>
    <comment ref="E26" authorId="0" shapeId="0" xr:uid="{5523D229-FE34-46D2-A196-544A1C723105}">
      <text>
        <r>
          <rPr>
            <b/>
            <sz val="9"/>
            <color indexed="81"/>
            <rFont val="Tahoma"/>
            <family val="2"/>
          </rPr>
          <t>Logan Davis:</t>
        </r>
        <r>
          <rPr>
            <sz val="9"/>
            <color indexed="81"/>
            <rFont val="Tahoma"/>
            <family val="2"/>
          </rPr>
          <t xml:space="preserve">
04/16/21</t>
        </r>
      </text>
    </comment>
    <comment ref="G26" authorId="0" shapeId="0" xr:uid="{1303EF4C-9152-4C02-8F51-20C852C8FCF9}">
      <text>
        <r>
          <rPr>
            <b/>
            <sz val="9"/>
            <color indexed="81"/>
            <rFont val="Tahoma"/>
            <family val="2"/>
          </rPr>
          <t>Logan Davis:</t>
        </r>
        <r>
          <rPr>
            <sz val="9"/>
            <color indexed="81"/>
            <rFont val="Tahoma"/>
            <family val="2"/>
          </rPr>
          <t xml:space="preserve">
04/15/22</t>
        </r>
      </text>
    </comment>
    <comment ref="E29" authorId="0" shapeId="0" xr:uid="{B1DEAC03-6EA9-476F-8D68-2EB069608E6E}">
      <text>
        <r>
          <rPr>
            <b/>
            <sz val="9"/>
            <color indexed="81"/>
            <rFont val="Tahoma"/>
            <family val="2"/>
          </rPr>
          <t>Logan Davis:</t>
        </r>
        <r>
          <rPr>
            <sz val="9"/>
            <color indexed="81"/>
            <rFont val="Tahoma"/>
            <family val="2"/>
          </rPr>
          <t xml:space="preserve">
4/16/21</t>
        </r>
      </text>
    </comment>
    <comment ref="G29" authorId="0" shapeId="0" xr:uid="{771A25CE-6C68-4C65-A32B-FAD2358CC413}">
      <text>
        <r>
          <rPr>
            <b/>
            <sz val="9"/>
            <color indexed="81"/>
            <rFont val="Tahoma"/>
            <family val="2"/>
          </rPr>
          <t>Logan Davis:</t>
        </r>
        <r>
          <rPr>
            <sz val="9"/>
            <color indexed="81"/>
            <rFont val="Tahoma"/>
            <family val="2"/>
          </rPr>
          <t xml:space="preserve">
4/15/22</t>
        </r>
      </text>
    </comment>
    <comment ref="E30" authorId="0" shapeId="0" xr:uid="{76609167-DF12-4725-A531-4804084C949E}">
      <text>
        <r>
          <rPr>
            <b/>
            <sz val="9"/>
            <color indexed="81"/>
            <rFont val="Tahoma"/>
            <family val="2"/>
          </rPr>
          <t>Logan Davis:</t>
        </r>
        <r>
          <rPr>
            <sz val="9"/>
            <color indexed="81"/>
            <rFont val="Tahoma"/>
            <family val="2"/>
          </rPr>
          <t xml:space="preserve">
04/16/21
</t>
        </r>
      </text>
    </comment>
    <comment ref="G30" authorId="0" shapeId="0" xr:uid="{D8CAA2E3-A0D7-4804-8BA2-23DE901255FA}">
      <text>
        <r>
          <rPr>
            <b/>
            <sz val="9"/>
            <color indexed="81"/>
            <rFont val="Tahoma"/>
            <family val="2"/>
          </rPr>
          <t>Logan Davis:</t>
        </r>
        <r>
          <rPr>
            <sz val="9"/>
            <color indexed="81"/>
            <rFont val="Tahoma"/>
            <family val="2"/>
          </rPr>
          <t xml:space="preserve">
04/15/22</t>
        </r>
      </text>
    </comment>
    <comment ref="E31" authorId="0" shapeId="0" xr:uid="{B63B5FD3-FAAF-4B4B-9825-19E9E01BAC37}">
      <text>
        <r>
          <rPr>
            <b/>
            <sz val="9"/>
            <color indexed="81"/>
            <rFont val="Tahoma"/>
            <family val="2"/>
          </rPr>
          <t>Logan Davis:</t>
        </r>
        <r>
          <rPr>
            <sz val="9"/>
            <color indexed="81"/>
            <rFont val="Tahoma"/>
            <family val="2"/>
          </rPr>
          <t xml:space="preserve">
04/16/21</t>
        </r>
      </text>
    </comment>
    <comment ref="G31" authorId="0" shapeId="0" xr:uid="{52A9509B-3B48-4342-9C5C-2F5822A86258}">
      <text>
        <r>
          <rPr>
            <b/>
            <sz val="9"/>
            <color indexed="81"/>
            <rFont val="Tahoma"/>
            <family val="2"/>
          </rPr>
          <t>Logan Davis:</t>
        </r>
        <r>
          <rPr>
            <sz val="9"/>
            <color indexed="81"/>
            <rFont val="Tahoma"/>
            <family val="2"/>
          </rPr>
          <t xml:space="preserve">
04/15/22</t>
        </r>
      </text>
    </comment>
    <comment ref="E32" authorId="0" shapeId="0" xr:uid="{780650BD-7513-4339-9B2A-8EF81DE46594}">
      <text>
        <r>
          <rPr>
            <b/>
            <sz val="9"/>
            <color indexed="81"/>
            <rFont val="Tahoma"/>
            <family val="2"/>
          </rPr>
          <t>Logan Davis:</t>
        </r>
        <r>
          <rPr>
            <sz val="9"/>
            <color indexed="81"/>
            <rFont val="Tahoma"/>
            <family val="2"/>
          </rPr>
          <t xml:space="preserve">
04/16/21</t>
        </r>
      </text>
    </comment>
    <comment ref="G32" authorId="0" shapeId="0" xr:uid="{63C72F81-01A2-4817-88A3-F1ED4702DE1C}">
      <text>
        <r>
          <rPr>
            <b/>
            <sz val="9"/>
            <color indexed="81"/>
            <rFont val="Tahoma"/>
            <family val="2"/>
          </rPr>
          <t>Logan Davis:</t>
        </r>
        <r>
          <rPr>
            <sz val="9"/>
            <color indexed="81"/>
            <rFont val="Tahoma"/>
            <family val="2"/>
          </rPr>
          <t xml:space="preserve">
04/15/22</t>
        </r>
      </text>
    </comment>
    <comment ref="E33" authorId="0" shapeId="0" xr:uid="{21D2AB53-8FE0-4E52-BE37-D8DE34F85D43}">
      <text>
        <r>
          <rPr>
            <b/>
            <sz val="9"/>
            <color indexed="81"/>
            <rFont val="Tahoma"/>
            <family val="2"/>
          </rPr>
          <t>Logan Davis:</t>
        </r>
        <r>
          <rPr>
            <sz val="9"/>
            <color indexed="81"/>
            <rFont val="Tahoma"/>
            <family val="2"/>
          </rPr>
          <t xml:space="preserve">
04/16/21</t>
        </r>
      </text>
    </comment>
    <comment ref="G33" authorId="0" shapeId="0" xr:uid="{5A46DDE9-14C5-4941-AA54-33B2C0D25EC5}">
      <text>
        <r>
          <rPr>
            <b/>
            <sz val="9"/>
            <color indexed="81"/>
            <rFont val="Tahoma"/>
            <family val="2"/>
          </rPr>
          <t>Logan Davis:</t>
        </r>
        <r>
          <rPr>
            <sz val="9"/>
            <color indexed="81"/>
            <rFont val="Tahoma"/>
            <family val="2"/>
          </rPr>
          <t xml:space="preserve">
04/15/22</t>
        </r>
      </text>
    </comment>
    <comment ref="D34" authorId="0" shapeId="0" xr:uid="{F8EC195A-94B5-4832-8EAC-18AD0CE69E48}">
      <text>
        <r>
          <rPr>
            <b/>
            <sz val="9"/>
            <color indexed="81"/>
            <rFont val="Tahoma"/>
            <family val="2"/>
          </rPr>
          <t>Logan Davis:</t>
        </r>
        <r>
          <rPr>
            <sz val="9"/>
            <color indexed="81"/>
            <rFont val="Tahoma"/>
            <family val="2"/>
          </rPr>
          <t xml:space="preserve">
First payroll 12/10/21, last payroll 12/24/21</t>
        </r>
      </text>
    </comment>
    <comment ref="E35" authorId="0" shapeId="0" xr:uid="{E3DB4A6D-7710-4E0C-B15E-AE3B14B13B98}">
      <text>
        <r>
          <rPr>
            <b/>
            <sz val="9"/>
            <color indexed="81"/>
            <rFont val="Tahoma"/>
            <family val="2"/>
          </rPr>
          <t>Logan Davis:</t>
        </r>
        <r>
          <rPr>
            <sz val="9"/>
            <color indexed="81"/>
            <rFont val="Tahoma"/>
            <family val="2"/>
          </rPr>
          <t xml:space="preserve">
04/16/21</t>
        </r>
      </text>
    </comment>
    <comment ref="G35" authorId="0" shapeId="0" xr:uid="{011E0D7B-FE09-4B70-93EA-C73012AA3B5D}">
      <text>
        <r>
          <rPr>
            <b/>
            <sz val="9"/>
            <color indexed="81"/>
            <rFont val="Tahoma"/>
            <family val="2"/>
          </rPr>
          <t>Logan Davis:</t>
        </r>
        <r>
          <rPr>
            <sz val="9"/>
            <color indexed="81"/>
            <rFont val="Tahoma"/>
            <family val="2"/>
          </rPr>
          <t xml:space="preserve">
04/15/22</t>
        </r>
      </text>
    </comment>
    <comment ref="E36" authorId="0" shapeId="0" xr:uid="{45572029-2ACF-4E2C-A926-8498041CDB6E}">
      <text>
        <r>
          <rPr>
            <b/>
            <sz val="9"/>
            <color indexed="81"/>
            <rFont val="Tahoma"/>
            <family val="2"/>
          </rPr>
          <t>Logan Davis:</t>
        </r>
        <r>
          <rPr>
            <sz val="9"/>
            <color indexed="81"/>
            <rFont val="Tahoma"/>
            <family val="2"/>
          </rPr>
          <t xml:space="preserve">
04/16/21</t>
        </r>
      </text>
    </comment>
    <comment ref="F36" authorId="0" shapeId="0" xr:uid="{F3CA3D1F-E173-4742-97BF-F987A8596157}">
      <text>
        <r>
          <rPr>
            <b/>
            <sz val="9"/>
            <color indexed="81"/>
            <rFont val="Tahoma"/>
            <family val="2"/>
          </rPr>
          <t>Logan Davis:</t>
        </r>
        <r>
          <rPr>
            <sz val="9"/>
            <color indexed="81"/>
            <rFont val="Tahoma"/>
            <family val="2"/>
          </rPr>
          <t xml:space="preserve">
09/03/21</t>
        </r>
      </text>
    </comment>
    <comment ref="G36" authorId="0" shapeId="0" xr:uid="{6178A566-E6F9-4C51-B543-063F9952F18F}">
      <text>
        <r>
          <rPr>
            <b/>
            <sz val="9"/>
            <color indexed="81"/>
            <rFont val="Tahoma"/>
            <family val="2"/>
          </rPr>
          <t>Logan Davis:</t>
        </r>
        <r>
          <rPr>
            <sz val="9"/>
            <color indexed="81"/>
            <rFont val="Tahoma"/>
            <family val="2"/>
          </rPr>
          <t xml:space="preserve">
04/15/22</t>
        </r>
      </text>
    </comment>
    <comment ref="E37" authorId="0" shapeId="0" xr:uid="{39811D88-3A5D-41B6-9E2C-F97F91F86E5D}">
      <text>
        <r>
          <rPr>
            <b/>
            <sz val="9"/>
            <color indexed="81"/>
            <rFont val="Tahoma"/>
            <family val="2"/>
          </rPr>
          <t>Logan Davis:</t>
        </r>
        <r>
          <rPr>
            <sz val="9"/>
            <color indexed="81"/>
            <rFont val="Tahoma"/>
            <family val="2"/>
          </rPr>
          <t xml:space="preserve">
04/16/21</t>
        </r>
      </text>
    </comment>
    <comment ref="F37" authorId="0" shapeId="0" xr:uid="{E77CDFCF-27CE-4478-AF3A-AE064FC5BB2E}">
      <text>
        <r>
          <rPr>
            <b/>
            <sz val="9"/>
            <color indexed="81"/>
            <rFont val="Tahoma"/>
            <family val="2"/>
          </rPr>
          <t>Logan Davis:</t>
        </r>
        <r>
          <rPr>
            <sz val="9"/>
            <color indexed="81"/>
            <rFont val="Tahoma"/>
            <family val="2"/>
          </rPr>
          <t xml:space="preserve">
09/03/21</t>
        </r>
      </text>
    </comment>
    <comment ref="G37" authorId="0" shapeId="0" xr:uid="{B557EC16-90DE-4C9E-8C92-B9E941710253}">
      <text>
        <r>
          <rPr>
            <b/>
            <sz val="9"/>
            <color indexed="81"/>
            <rFont val="Tahoma"/>
            <family val="2"/>
          </rPr>
          <t>Logan Davis:</t>
        </r>
        <r>
          <rPr>
            <sz val="9"/>
            <color indexed="81"/>
            <rFont val="Tahoma"/>
            <family val="2"/>
          </rPr>
          <t xml:space="preserve">
04/15/22</t>
        </r>
      </text>
    </comment>
    <comment ref="E38" authorId="0" shapeId="0" xr:uid="{8E5F2B9C-C39E-404C-BA88-FD097ACE0C49}">
      <text>
        <r>
          <rPr>
            <b/>
            <sz val="9"/>
            <color indexed="81"/>
            <rFont val="Tahoma"/>
            <family val="2"/>
          </rPr>
          <t>Logan Davis:</t>
        </r>
        <r>
          <rPr>
            <sz val="9"/>
            <color indexed="81"/>
            <rFont val="Tahoma"/>
            <family val="2"/>
          </rPr>
          <t xml:space="preserve">
04/16/21</t>
        </r>
      </text>
    </comment>
    <comment ref="G38" authorId="0" shapeId="0" xr:uid="{75FBAB62-25FC-4CF1-8073-EFA1DC15ECA6}">
      <text>
        <r>
          <rPr>
            <b/>
            <sz val="9"/>
            <color indexed="81"/>
            <rFont val="Tahoma"/>
            <family val="2"/>
          </rPr>
          <t>Logan Davis:</t>
        </r>
        <r>
          <rPr>
            <sz val="9"/>
            <color indexed="81"/>
            <rFont val="Tahoma"/>
            <family val="2"/>
          </rPr>
          <t xml:space="preserve">
04/15/22</t>
        </r>
      </text>
    </comment>
    <comment ref="E39" authorId="0" shapeId="0" xr:uid="{EE19F8BA-97A9-476F-8D88-4E9D2EF168C0}">
      <text>
        <r>
          <rPr>
            <b/>
            <sz val="9"/>
            <color indexed="81"/>
            <rFont val="Tahoma"/>
            <family val="2"/>
          </rPr>
          <t>Logan Davis:</t>
        </r>
        <r>
          <rPr>
            <sz val="9"/>
            <color indexed="81"/>
            <rFont val="Tahoma"/>
            <family val="2"/>
          </rPr>
          <t xml:space="preserve">
09/03/21</t>
        </r>
      </text>
    </comment>
    <comment ref="G39" authorId="0" shapeId="0" xr:uid="{1B945E56-78D0-4FFA-8E79-CC636913431F}">
      <text>
        <r>
          <rPr>
            <b/>
            <sz val="9"/>
            <color indexed="81"/>
            <rFont val="Tahoma"/>
            <family val="2"/>
          </rPr>
          <t>Logan Davis:</t>
        </r>
        <r>
          <rPr>
            <sz val="9"/>
            <color indexed="81"/>
            <rFont val="Tahoma"/>
            <family val="2"/>
          </rPr>
          <t xml:space="preserve">
04/15/22</t>
        </r>
      </text>
    </comment>
    <comment ref="E40" authorId="0" shapeId="0" xr:uid="{55819A3A-BD4C-4CCC-90CB-0AA718EFB5AD}">
      <text>
        <r>
          <rPr>
            <b/>
            <sz val="9"/>
            <color indexed="81"/>
            <rFont val="Tahoma"/>
            <family val="2"/>
          </rPr>
          <t>Logan Davis:</t>
        </r>
        <r>
          <rPr>
            <sz val="9"/>
            <color indexed="81"/>
            <rFont val="Tahoma"/>
            <family val="2"/>
          </rPr>
          <t xml:space="preserve">
04/16/21</t>
        </r>
      </text>
    </comment>
    <comment ref="G40" authorId="0" shapeId="0" xr:uid="{92B0FC81-5CB0-4D5B-8168-50BB4B6E2895}">
      <text>
        <r>
          <rPr>
            <b/>
            <sz val="9"/>
            <color indexed="81"/>
            <rFont val="Tahoma"/>
            <family val="2"/>
          </rPr>
          <t>Logan Davis:</t>
        </r>
        <r>
          <rPr>
            <sz val="9"/>
            <color indexed="81"/>
            <rFont val="Tahoma"/>
            <family val="2"/>
          </rPr>
          <t xml:space="preserve">
04/15/22</t>
        </r>
      </text>
    </comment>
    <comment ref="E41" authorId="0" shapeId="0" xr:uid="{C0DB99A2-F77B-4A90-BC18-300958FC20E8}">
      <text>
        <r>
          <rPr>
            <b/>
            <sz val="9"/>
            <color indexed="81"/>
            <rFont val="Tahoma"/>
            <family val="2"/>
          </rPr>
          <t>Logan Davis:</t>
        </r>
        <r>
          <rPr>
            <sz val="9"/>
            <color indexed="81"/>
            <rFont val="Tahoma"/>
            <family val="2"/>
          </rPr>
          <t xml:space="preserve">
04/16/21</t>
        </r>
      </text>
    </comment>
    <comment ref="F41" authorId="0" shapeId="0" xr:uid="{82F2A852-81B0-426A-AB7F-47D496CBEDB5}">
      <text>
        <r>
          <rPr>
            <b/>
            <sz val="9"/>
            <color indexed="81"/>
            <rFont val="Tahoma"/>
            <family val="2"/>
          </rPr>
          <t>Logan Davis:</t>
        </r>
        <r>
          <rPr>
            <sz val="9"/>
            <color indexed="81"/>
            <rFont val="Tahoma"/>
            <family val="2"/>
          </rPr>
          <t xml:space="preserve">
09/03/21</t>
        </r>
      </text>
    </comment>
    <comment ref="G41" authorId="0" shapeId="0" xr:uid="{14631AFB-BE4D-4268-A339-2F0F340046C6}">
      <text>
        <r>
          <rPr>
            <b/>
            <sz val="9"/>
            <color indexed="81"/>
            <rFont val="Tahoma"/>
            <family val="2"/>
          </rPr>
          <t>Logan Davis:</t>
        </r>
        <r>
          <rPr>
            <sz val="9"/>
            <color indexed="81"/>
            <rFont val="Tahoma"/>
            <family val="2"/>
          </rPr>
          <t xml:space="preserve">
04/15/22</t>
        </r>
      </text>
    </comment>
    <comment ref="E42" authorId="0" shapeId="0" xr:uid="{C0A1BF4B-29F0-43B1-83AA-DCC8784ACDB1}">
      <text>
        <r>
          <rPr>
            <b/>
            <sz val="9"/>
            <color indexed="81"/>
            <rFont val="Tahoma"/>
            <family val="2"/>
          </rPr>
          <t>Logan Davis:</t>
        </r>
        <r>
          <rPr>
            <sz val="9"/>
            <color indexed="81"/>
            <rFont val="Tahoma"/>
            <family val="2"/>
          </rPr>
          <t xml:space="preserve">
04/16/21</t>
        </r>
      </text>
    </comment>
    <comment ref="F42" authorId="0" shapeId="0" xr:uid="{4DF8A89B-DAD7-49B7-AD41-401A70E30291}">
      <text>
        <r>
          <rPr>
            <b/>
            <sz val="9"/>
            <color indexed="81"/>
            <rFont val="Tahoma"/>
            <family val="2"/>
          </rPr>
          <t>Logan Davis:</t>
        </r>
        <r>
          <rPr>
            <sz val="9"/>
            <color indexed="81"/>
            <rFont val="Tahoma"/>
            <family val="2"/>
          </rPr>
          <t xml:space="preserve">
09/03/21</t>
        </r>
      </text>
    </comment>
    <comment ref="G42" authorId="0" shapeId="0" xr:uid="{DBF87EAA-A587-42D3-BB0B-C84D24E5AAB1}">
      <text>
        <r>
          <rPr>
            <b/>
            <sz val="9"/>
            <color indexed="81"/>
            <rFont val="Tahoma"/>
            <family val="2"/>
          </rPr>
          <t>Logan Davis:</t>
        </r>
        <r>
          <rPr>
            <sz val="9"/>
            <color indexed="81"/>
            <rFont val="Tahoma"/>
            <family val="2"/>
          </rPr>
          <t xml:space="preserve">
04/15/22</t>
        </r>
      </text>
    </comment>
    <comment ref="E43" authorId="0" shapeId="0" xr:uid="{99ADCE58-5850-4A7B-96B7-B9747B10D8FE}">
      <text>
        <r>
          <rPr>
            <b/>
            <sz val="9"/>
            <color indexed="81"/>
            <rFont val="Tahoma"/>
            <family val="2"/>
          </rPr>
          <t>Logan Davis:</t>
        </r>
        <r>
          <rPr>
            <sz val="9"/>
            <color indexed="81"/>
            <rFont val="Tahoma"/>
            <family val="2"/>
          </rPr>
          <t xml:space="preserve">
04/16/21</t>
        </r>
      </text>
    </comment>
    <comment ref="G43" authorId="0" shapeId="0" xr:uid="{B0077E6A-0C96-4BE5-9AA4-6273F73F2DCD}">
      <text>
        <r>
          <rPr>
            <b/>
            <sz val="9"/>
            <color indexed="81"/>
            <rFont val="Tahoma"/>
            <family val="2"/>
          </rPr>
          <t>Logan Davis:</t>
        </r>
        <r>
          <rPr>
            <sz val="9"/>
            <color indexed="81"/>
            <rFont val="Tahoma"/>
            <family val="2"/>
          </rPr>
          <t xml:space="preserve">
04/15/22</t>
        </r>
      </text>
    </comment>
    <comment ref="E44" authorId="0" shapeId="0" xr:uid="{B6A24F62-4DD1-4301-93A2-815DDE1C717C}">
      <text>
        <r>
          <rPr>
            <b/>
            <sz val="9"/>
            <color indexed="81"/>
            <rFont val="Tahoma"/>
            <family val="2"/>
          </rPr>
          <t>Logan Davis:</t>
        </r>
        <r>
          <rPr>
            <sz val="9"/>
            <color indexed="81"/>
            <rFont val="Tahoma"/>
            <family val="2"/>
          </rPr>
          <t xml:space="preserve">
04/16/21</t>
        </r>
      </text>
    </comment>
    <comment ref="F44" authorId="0" shapeId="0" xr:uid="{63C5F03B-3BC0-49D8-AE90-43114315970C}">
      <text>
        <r>
          <rPr>
            <b/>
            <sz val="9"/>
            <color indexed="81"/>
            <rFont val="Tahoma"/>
            <family val="2"/>
          </rPr>
          <t>Logan Davis:</t>
        </r>
        <r>
          <rPr>
            <sz val="9"/>
            <color indexed="81"/>
            <rFont val="Tahoma"/>
            <family val="2"/>
          </rPr>
          <t xml:space="preserve">
09/03/21</t>
        </r>
      </text>
    </comment>
    <comment ref="G44" authorId="0" shapeId="0" xr:uid="{20D40924-E3CD-4526-A211-48318A6EC30B}">
      <text>
        <r>
          <rPr>
            <b/>
            <sz val="9"/>
            <color indexed="81"/>
            <rFont val="Tahoma"/>
            <family val="2"/>
          </rPr>
          <t>Logan Davis:</t>
        </r>
        <r>
          <rPr>
            <sz val="9"/>
            <color indexed="81"/>
            <rFont val="Tahoma"/>
            <family val="2"/>
          </rPr>
          <t xml:space="preserve">
04/15/22</t>
        </r>
      </text>
    </comment>
    <comment ref="E45" authorId="0" shapeId="0" xr:uid="{F1C5121E-AF10-4267-8BD9-CCC0AFF0881D}">
      <text>
        <r>
          <rPr>
            <b/>
            <sz val="9"/>
            <color indexed="81"/>
            <rFont val="Tahoma"/>
            <family val="2"/>
          </rPr>
          <t>Logan Davis:</t>
        </r>
        <r>
          <rPr>
            <sz val="9"/>
            <color indexed="81"/>
            <rFont val="Tahoma"/>
            <family val="2"/>
          </rPr>
          <t xml:space="preserve">
04/16/21</t>
        </r>
      </text>
    </comment>
    <comment ref="G45" authorId="0" shapeId="0" xr:uid="{4881FF69-B6AD-4A2B-B69A-C09B14F30F5D}">
      <text>
        <r>
          <rPr>
            <b/>
            <sz val="9"/>
            <color indexed="81"/>
            <rFont val="Tahoma"/>
            <family val="2"/>
          </rPr>
          <t>Logan Davis:</t>
        </r>
        <r>
          <rPr>
            <sz val="9"/>
            <color indexed="81"/>
            <rFont val="Tahoma"/>
            <family val="2"/>
          </rPr>
          <t xml:space="preserve">
04/15/22</t>
        </r>
      </text>
    </comment>
    <comment ref="E46" authorId="0" shapeId="0" xr:uid="{964EE2AB-D4FC-4D3A-ADB2-EA895808EBC2}">
      <text>
        <r>
          <rPr>
            <b/>
            <sz val="9"/>
            <color indexed="81"/>
            <rFont val="Tahoma"/>
            <family val="2"/>
          </rPr>
          <t>Logan Davis:</t>
        </r>
        <r>
          <rPr>
            <sz val="9"/>
            <color indexed="81"/>
            <rFont val="Tahoma"/>
            <family val="2"/>
          </rPr>
          <t xml:space="preserve">
04/16/21</t>
        </r>
      </text>
    </comment>
    <comment ref="G46" authorId="0" shapeId="0" xr:uid="{F5E6CBC0-2F65-4F84-9E9A-46D971305DF2}">
      <text>
        <r>
          <rPr>
            <b/>
            <sz val="9"/>
            <color indexed="81"/>
            <rFont val="Tahoma"/>
            <family val="2"/>
          </rPr>
          <t>Logan Davis:</t>
        </r>
        <r>
          <rPr>
            <sz val="9"/>
            <color indexed="81"/>
            <rFont val="Tahoma"/>
            <family val="2"/>
          </rPr>
          <t xml:space="preserve">
04/15/22</t>
        </r>
      </text>
    </comment>
    <comment ref="E47" authorId="0" shapeId="0" xr:uid="{40488428-589A-4C7F-854C-C65E151236D3}">
      <text>
        <r>
          <rPr>
            <b/>
            <sz val="9"/>
            <color indexed="81"/>
            <rFont val="Tahoma"/>
            <family val="2"/>
          </rPr>
          <t>Logan Davis:</t>
        </r>
        <r>
          <rPr>
            <sz val="9"/>
            <color indexed="81"/>
            <rFont val="Tahoma"/>
            <family val="2"/>
          </rPr>
          <t xml:space="preserve">
04/16/21</t>
        </r>
      </text>
    </comment>
    <comment ref="G47" authorId="0" shapeId="0" xr:uid="{56483A3B-193A-43F1-97DD-0A0C43AE77FC}">
      <text>
        <r>
          <rPr>
            <b/>
            <sz val="9"/>
            <color indexed="81"/>
            <rFont val="Tahoma"/>
            <family val="2"/>
          </rPr>
          <t>Logan Davis:</t>
        </r>
        <r>
          <rPr>
            <sz val="9"/>
            <color indexed="81"/>
            <rFont val="Tahoma"/>
            <family val="2"/>
          </rPr>
          <t xml:space="preserve">
04/15/22</t>
        </r>
      </text>
    </comment>
    <comment ref="D48" authorId="0" shapeId="0" xr:uid="{48529049-FE9E-40EE-9BFF-7FB43B37A03A}">
      <text>
        <r>
          <rPr>
            <b/>
            <sz val="9"/>
            <color indexed="81"/>
            <rFont val="Tahoma"/>
            <family val="2"/>
          </rPr>
          <t>Logan Davis:</t>
        </r>
        <r>
          <rPr>
            <sz val="9"/>
            <color indexed="81"/>
            <rFont val="Tahoma"/>
            <family val="2"/>
          </rPr>
          <t xml:space="preserve">
Last payroll 12/10/21</t>
        </r>
      </text>
    </comment>
    <comment ref="E48" authorId="0" shapeId="0" xr:uid="{04E77630-A164-4B3A-8A9C-6F4572D7697C}">
      <text>
        <r>
          <rPr>
            <b/>
            <sz val="9"/>
            <color indexed="81"/>
            <rFont val="Tahoma"/>
            <family val="2"/>
          </rPr>
          <t>Logan Davis:</t>
        </r>
        <r>
          <rPr>
            <sz val="9"/>
            <color indexed="81"/>
            <rFont val="Tahoma"/>
            <family val="2"/>
          </rPr>
          <t xml:space="preserve">
04/16/21</t>
        </r>
      </text>
    </comment>
    <comment ref="F48" authorId="0" shapeId="0" xr:uid="{590D7EC6-EDC2-48F2-A2F7-A24062CE3B43}">
      <text>
        <r>
          <rPr>
            <b/>
            <sz val="9"/>
            <color indexed="81"/>
            <rFont val="Tahoma"/>
            <family val="2"/>
          </rPr>
          <t>Logan Davis:</t>
        </r>
        <r>
          <rPr>
            <sz val="9"/>
            <color indexed="81"/>
            <rFont val="Tahoma"/>
            <family val="2"/>
          </rPr>
          <t xml:space="preserve">
09/03/21</t>
        </r>
      </text>
    </comment>
    <comment ref="E49" authorId="0" shapeId="0" xr:uid="{0AF2569E-6E5A-4F7E-8C43-BEE98EDB1D54}">
      <text>
        <r>
          <rPr>
            <b/>
            <sz val="9"/>
            <color indexed="81"/>
            <rFont val="Tahoma"/>
            <family val="2"/>
          </rPr>
          <t>Logan Davis:</t>
        </r>
        <r>
          <rPr>
            <sz val="9"/>
            <color indexed="81"/>
            <rFont val="Tahoma"/>
            <family val="2"/>
          </rPr>
          <t xml:space="preserve">
04/16/21</t>
        </r>
      </text>
    </comment>
    <comment ref="F49" authorId="0" shapeId="0" xr:uid="{9DF1391A-9185-4A18-8DF7-FF1501F4DBB1}">
      <text>
        <r>
          <rPr>
            <b/>
            <sz val="9"/>
            <color indexed="81"/>
            <rFont val="Tahoma"/>
            <family val="2"/>
          </rPr>
          <t>Logan Davis:</t>
        </r>
        <r>
          <rPr>
            <sz val="9"/>
            <color indexed="81"/>
            <rFont val="Tahoma"/>
            <family val="2"/>
          </rPr>
          <t xml:space="preserve">
09/03/21</t>
        </r>
      </text>
    </comment>
    <comment ref="G49" authorId="0" shapeId="0" xr:uid="{1C6CE3CD-ADB1-4F76-BCC4-A3A70E1C4316}">
      <text>
        <r>
          <rPr>
            <b/>
            <sz val="9"/>
            <color indexed="81"/>
            <rFont val="Tahoma"/>
            <family val="2"/>
          </rPr>
          <t>Logan Davis:</t>
        </r>
        <r>
          <rPr>
            <sz val="9"/>
            <color indexed="81"/>
            <rFont val="Tahoma"/>
            <family val="2"/>
          </rPr>
          <t xml:space="preserve">
04/15/22</t>
        </r>
      </text>
    </comment>
    <comment ref="E50" authorId="0" shapeId="0" xr:uid="{54988EC1-E52A-4F7A-A0EC-5E3A3509CE9D}">
      <text>
        <r>
          <rPr>
            <b/>
            <sz val="9"/>
            <color indexed="81"/>
            <rFont val="Tahoma"/>
            <family val="2"/>
          </rPr>
          <t>Logan Davis:</t>
        </r>
        <r>
          <rPr>
            <sz val="9"/>
            <color indexed="81"/>
            <rFont val="Tahoma"/>
            <family val="2"/>
          </rPr>
          <t xml:space="preserve">
04/16/21</t>
        </r>
      </text>
    </comment>
    <comment ref="G50" authorId="0" shapeId="0" xr:uid="{58C76AEA-B517-497B-B190-FDBE00AB8FF7}">
      <text>
        <r>
          <rPr>
            <b/>
            <sz val="9"/>
            <color indexed="81"/>
            <rFont val="Tahoma"/>
            <family val="2"/>
          </rPr>
          <t>Logan Davis:</t>
        </r>
        <r>
          <rPr>
            <sz val="9"/>
            <color indexed="81"/>
            <rFont val="Tahoma"/>
            <family val="2"/>
          </rPr>
          <t xml:space="preserve">
04/15/22</t>
        </r>
      </text>
    </comment>
    <comment ref="E51" authorId="0" shapeId="0" xr:uid="{250B2145-6185-494D-856C-8C8E44677ACB}">
      <text>
        <r>
          <rPr>
            <b/>
            <sz val="9"/>
            <color indexed="81"/>
            <rFont val="Tahoma"/>
            <family val="2"/>
          </rPr>
          <t>Logan Davis:</t>
        </r>
        <r>
          <rPr>
            <sz val="9"/>
            <color indexed="81"/>
            <rFont val="Tahoma"/>
            <family val="2"/>
          </rPr>
          <t xml:space="preserve">
04/16/21</t>
        </r>
      </text>
    </comment>
    <comment ref="F51" authorId="0" shapeId="0" xr:uid="{644F7BCF-34AC-4D8E-9D97-159BB6AE37AC}">
      <text>
        <r>
          <rPr>
            <b/>
            <sz val="9"/>
            <color indexed="81"/>
            <rFont val="Tahoma"/>
            <family val="2"/>
          </rPr>
          <t>Logan Davis:</t>
        </r>
        <r>
          <rPr>
            <sz val="9"/>
            <color indexed="81"/>
            <rFont val="Tahoma"/>
            <family val="2"/>
          </rPr>
          <t xml:space="preserve">
11/12/21</t>
        </r>
      </text>
    </comment>
    <comment ref="G51" authorId="0" shapeId="0" xr:uid="{D4070D83-9B5F-49A8-875C-A8782B19F492}">
      <text>
        <r>
          <rPr>
            <b/>
            <sz val="9"/>
            <color indexed="81"/>
            <rFont val="Tahoma"/>
            <family val="2"/>
          </rPr>
          <t>Logan Davis:</t>
        </r>
        <r>
          <rPr>
            <sz val="9"/>
            <color indexed="81"/>
            <rFont val="Tahoma"/>
            <family val="2"/>
          </rPr>
          <t xml:space="preserve">
04/15/22</t>
        </r>
      </text>
    </comment>
    <comment ref="E52" authorId="0" shapeId="0" xr:uid="{DA312AA7-7DFA-4E14-9A5F-6DCA89CEA1D3}">
      <text>
        <r>
          <rPr>
            <b/>
            <sz val="9"/>
            <color indexed="81"/>
            <rFont val="Tahoma"/>
            <family val="2"/>
          </rPr>
          <t>Logan Davis:</t>
        </r>
        <r>
          <rPr>
            <sz val="9"/>
            <color indexed="81"/>
            <rFont val="Tahoma"/>
            <family val="2"/>
          </rPr>
          <t xml:space="preserve">
04/16/21</t>
        </r>
      </text>
    </comment>
    <comment ref="G52" authorId="0" shapeId="0" xr:uid="{101404CB-B5C9-46C1-A453-1FF729403E62}">
      <text>
        <r>
          <rPr>
            <b/>
            <sz val="9"/>
            <color indexed="81"/>
            <rFont val="Tahoma"/>
            <family val="2"/>
          </rPr>
          <t>Logan Davis:</t>
        </r>
        <r>
          <rPr>
            <sz val="9"/>
            <color indexed="81"/>
            <rFont val="Tahoma"/>
            <family val="2"/>
          </rPr>
          <t xml:space="preserve">
04/15/22</t>
        </r>
      </text>
    </comment>
    <comment ref="D53" authorId="0" shapeId="0" xr:uid="{86A96127-7A7F-48CF-88C4-740B592AA937}">
      <text>
        <r>
          <rPr>
            <b/>
            <sz val="9"/>
            <color indexed="81"/>
            <rFont val="Tahoma"/>
            <family val="2"/>
          </rPr>
          <t>Logan Davis:</t>
        </r>
        <r>
          <rPr>
            <sz val="9"/>
            <color indexed="81"/>
            <rFont val="Tahoma"/>
            <family val="2"/>
          </rPr>
          <t xml:space="preserve">
First payroll 08/28/22</t>
        </r>
      </text>
    </comment>
    <comment ref="G53" authorId="0" shapeId="0" xr:uid="{8F265004-2D8C-4EDC-A3BF-A04D6A0850F4}">
      <text>
        <r>
          <rPr>
            <b/>
            <sz val="9"/>
            <color indexed="81"/>
            <rFont val="Tahoma"/>
            <family val="2"/>
          </rPr>
          <t>Logan Davis:</t>
        </r>
        <r>
          <rPr>
            <sz val="9"/>
            <color indexed="81"/>
            <rFont val="Tahoma"/>
            <family val="2"/>
          </rPr>
          <t xml:space="preserve">
08/28/22</t>
        </r>
      </text>
    </comment>
    <comment ref="Q53" authorId="0" shapeId="0" xr:uid="{43F79CCD-C433-4DAD-99A8-35048CD75D94}">
      <text>
        <r>
          <rPr>
            <b/>
            <sz val="9"/>
            <color indexed="81"/>
            <rFont val="Tahoma"/>
            <family val="2"/>
          </rPr>
          <t>Logan Davis:</t>
        </r>
        <r>
          <rPr>
            <sz val="9"/>
            <color indexed="81"/>
            <rFont val="Tahoma"/>
            <family val="2"/>
          </rPr>
          <t xml:space="preserve">
Based on time served, will get approximately half of the pay increase</t>
        </r>
      </text>
    </comment>
    <comment ref="D54" authorId="0" shapeId="0" xr:uid="{890A15C6-15CF-4111-AEE3-40E69F812EA1}">
      <text>
        <r>
          <rPr>
            <b/>
            <sz val="9"/>
            <color indexed="81"/>
            <rFont val="Tahoma"/>
            <family val="2"/>
          </rPr>
          <t>Logan Davis:</t>
        </r>
        <r>
          <rPr>
            <sz val="9"/>
            <color indexed="81"/>
            <rFont val="Tahoma"/>
            <family val="2"/>
          </rPr>
          <t xml:space="preserve">
First payroll 01/06/2023</t>
        </r>
      </text>
    </comment>
    <comment ref="Q54" authorId="0" shapeId="0" xr:uid="{4FCA8B49-B291-4CE2-95B6-2B1951DCB93B}">
      <text>
        <r>
          <rPr>
            <b/>
            <sz val="9"/>
            <color indexed="81"/>
            <rFont val="Tahoma"/>
            <family val="2"/>
          </rPr>
          <t>Logan Davis:</t>
        </r>
        <r>
          <rPr>
            <sz val="9"/>
            <color indexed="81"/>
            <rFont val="Tahoma"/>
            <family val="2"/>
          </rPr>
          <t xml:space="preserve">
Based on time served, will get approximately 1/4th of the pay increase</t>
        </r>
      </text>
    </comment>
    <comment ref="D57" authorId="0" shapeId="0" xr:uid="{01C80260-1B2D-40C4-838B-1D5C54F53A62}">
      <text>
        <r>
          <rPr>
            <b/>
            <sz val="9"/>
            <color indexed="81"/>
            <rFont val="Tahoma"/>
            <family val="2"/>
          </rPr>
          <t>Logan Davis:</t>
        </r>
        <r>
          <rPr>
            <sz val="9"/>
            <color indexed="81"/>
            <rFont val="Tahoma"/>
            <family val="2"/>
          </rPr>
          <t xml:space="preserve">
Last payroll 04/02/21</t>
        </r>
      </text>
    </comment>
    <comment ref="E58" authorId="0" shapeId="0" xr:uid="{77595D50-A32F-4B75-8FA0-A372EBCF9A67}">
      <text>
        <r>
          <rPr>
            <b/>
            <sz val="9"/>
            <color indexed="81"/>
            <rFont val="Tahoma"/>
            <family val="2"/>
          </rPr>
          <t>Logan Davis:</t>
        </r>
        <r>
          <rPr>
            <sz val="9"/>
            <color indexed="81"/>
            <rFont val="Tahoma"/>
            <family val="2"/>
          </rPr>
          <t xml:space="preserve">
04/16/2021</t>
        </r>
      </text>
    </comment>
    <comment ref="G58" authorId="0" shapeId="0" xr:uid="{5CE0A203-30B1-45E3-AA76-4EDE73D2AA32}">
      <text>
        <r>
          <rPr>
            <b/>
            <sz val="9"/>
            <color indexed="81"/>
            <rFont val="Tahoma"/>
            <family val="2"/>
          </rPr>
          <t>Logan Davis:</t>
        </r>
        <r>
          <rPr>
            <sz val="9"/>
            <color indexed="81"/>
            <rFont val="Tahoma"/>
            <family val="2"/>
          </rPr>
          <t xml:space="preserve">
04/15/2022
</t>
        </r>
      </text>
    </comment>
    <comment ref="D59" authorId="0" shapeId="0" xr:uid="{5765CB1D-A789-4585-AAE1-70733D4838E2}">
      <text>
        <r>
          <rPr>
            <b/>
            <sz val="9"/>
            <color indexed="81"/>
            <rFont val="Tahoma"/>
            <family val="2"/>
          </rPr>
          <t>Logan Davis:</t>
        </r>
        <r>
          <rPr>
            <sz val="9"/>
            <color indexed="81"/>
            <rFont val="Tahoma"/>
            <family val="2"/>
          </rPr>
          <t xml:space="preserve">
First payroll 04/30/21,
last payroll 06/24/2022</t>
        </r>
      </text>
    </comment>
    <comment ref="E59" authorId="0" shapeId="0" xr:uid="{136594F4-26A2-430A-A11C-7513D2AD016A}">
      <text>
        <r>
          <rPr>
            <b/>
            <sz val="9"/>
            <color indexed="81"/>
            <rFont val="Tahoma"/>
            <family val="2"/>
          </rPr>
          <t>Logan Davis:</t>
        </r>
        <r>
          <rPr>
            <sz val="9"/>
            <color indexed="81"/>
            <rFont val="Tahoma"/>
            <family val="2"/>
          </rPr>
          <t xml:space="preserve">
09/17/21</t>
        </r>
      </text>
    </comment>
    <comment ref="G59" authorId="0" shapeId="0" xr:uid="{C41F10C8-0CCE-4DB7-9C2F-FA3E45BEC3F2}">
      <text>
        <r>
          <rPr>
            <b/>
            <sz val="9"/>
            <color indexed="81"/>
            <rFont val="Tahoma"/>
            <family val="2"/>
          </rPr>
          <t>Logan Davis:</t>
        </r>
        <r>
          <rPr>
            <sz val="9"/>
            <color indexed="81"/>
            <rFont val="Tahoma"/>
            <family val="2"/>
          </rPr>
          <t xml:space="preserve">
04/15/22</t>
        </r>
      </text>
    </comment>
    <comment ref="D60" authorId="0" shapeId="0" xr:uid="{06AD4B28-156E-4892-A0D3-518CB9117C75}">
      <text>
        <r>
          <rPr>
            <b/>
            <sz val="9"/>
            <color indexed="81"/>
            <rFont val="Tahoma"/>
            <family val="2"/>
          </rPr>
          <t>Logan Davis:</t>
        </r>
        <r>
          <rPr>
            <sz val="9"/>
            <color indexed="81"/>
            <rFont val="Tahoma"/>
            <family val="2"/>
          </rPr>
          <t xml:space="preserve">
First payroll 04/30/21</t>
        </r>
      </text>
    </comment>
    <comment ref="E60" authorId="0" shapeId="0" xr:uid="{1EE12814-B4AC-4BBB-8845-F51B36723C39}">
      <text>
        <r>
          <rPr>
            <b/>
            <sz val="9"/>
            <color indexed="81"/>
            <rFont val="Tahoma"/>
            <family val="2"/>
          </rPr>
          <t>Logan Davis:</t>
        </r>
        <r>
          <rPr>
            <sz val="9"/>
            <color indexed="81"/>
            <rFont val="Tahoma"/>
            <family val="2"/>
          </rPr>
          <t xml:space="preserve">
09/17/21</t>
        </r>
      </text>
    </comment>
    <comment ref="G60" authorId="0" shapeId="0" xr:uid="{F2FA8294-06C2-4405-8C44-72F323CDB9AA}">
      <text>
        <r>
          <rPr>
            <b/>
            <sz val="9"/>
            <color indexed="81"/>
            <rFont val="Tahoma"/>
            <family val="2"/>
          </rPr>
          <t>Logan Davis:</t>
        </r>
        <r>
          <rPr>
            <sz val="9"/>
            <color indexed="81"/>
            <rFont val="Tahoma"/>
            <family val="2"/>
          </rPr>
          <t xml:space="preserve">
04/15/22</t>
        </r>
      </text>
    </comment>
    <comment ref="D61" authorId="0" shapeId="0" xr:uid="{14C476D1-F29B-4CAA-AE77-B3DBFB87CE6E}">
      <text>
        <r>
          <rPr>
            <b/>
            <sz val="9"/>
            <color indexed="81"/>
            <rFont val="Tahoma"/>
            <family val="2"/>
          </rPr>
          <t>Logan Davis:</t>
        </r>
        <r>
          <rPr>
            <sz val="9"/>
            <color indexed="81"/>
            <rFont val="Tahoma"/>
            <family val="2"/>
          </rPr>
          <t xml:space="preserve">
First payroll 11/10/2022</t>
        </r>
      </text>
    </comment>
    <comment ref="F61" authorId="0" shapeId="0" xr:uid="{EA03542D-99C2-45C8-829F-FB3A9A34691D}">
      <text>
        <r>
          <rPr>
            <b/>
            <sz val="9"/>
            <color indexed="81"/>
            <rFont val="Tahoma"/>
            <family val="2"/>
          </rPr>
          <t>Logan Davis:</t>
        </r>
        <r>
          <rPr>
            <sz val="9"/>
            <color indexed="81"/>
            <rFont val="Tahoma"/>
            <family val="2"/>
          </rPr>
          <t xml:space="preserve">
01/01/2023</t>
        </r>
      </text>
    </comment>
    <comment ref="Q61" authorId="0" shapeId="0" xr:uid="{DD53D4F5-FF12-44AC-B3EF-9238EAC039FA}">
      <text>
        <r>
          <rPr>
            <b/>
            <sz val="9"/>
            <color indexed="81"/>
            <rFont val="Tahoma"/>
            <family val="2"/>
          </rPr>
          <t>Logan Davis:</t>
        </r>
        <r>
          <rPr>
            <sz val="9"/>
            <color indexed="81"/>
            <rFont val="Tahoma"/>
            <family val="2"/>
          </rPr>
          <t xml:space="preserve">
Based on time served, will get approximately half of the pay increase</t>
        </r>
      </text>
    </comment>
    <comment ref="D62" authorId="0" shapeId="0" xr:uid="{6CA31064-173C-49E0-9737-B24873D2D744}">
      <text>
        <r>
          <rPr>
            <b/>
            <sz val="9"/>
            <color indexed="81"/>
            <rFont val="Tahoma"/>
            <family val="2"/>
          </rPr>
          <t>Logan Davis:</t>
        </r>
        <r>
          <rPr>
            <sz val="9"/>
            <color indexed="81"/>
            <rFont val="Tahoma"/>
            <family val="2"/>
          </rPr>
          <t xml:space="preserve">
Last payroll 09/16/2022</t>
        </r>
      </text>
    </comment>
    <comment ref="G62" authorId="0" shapeId="0" xr:uid="{42FCD109-48AB-43CE-8BAD-63F745F2D9C9}">
      <text>
        <r>
          <rPr>
            <b/>
            <sz val="9"/>
            <color indexed="81"/>
            <rFont val="Tahoma"/>
            <family val="2"/>
          </rPr>
          <t>Logan Davis:</t>
        </r>
        <r>
          <rPr>
            <sz val="9"/>
            <color indexed="81"/>
            <rFont val="Tahoma"/>
            <family val="2"/>
          </rPr>
          <t xml:space="preserve">
04/15/22</t>
        </r>
      </text>
    </comment>
    <comment ref="E63" authorId="0" shapeId="0" xr:uid="{9A8D6166-1D24-4B65-9B6F-6A00E894F711}">
      <text>
        <r>
          <rPr>
            <b/>
            <sz val="9"/>
            <color indexed="81"/>
            <rFont val="Tahoma"/>
            <family val="2"/>
          </rPr>
          <t>Logan Davis:</t>
        </r>
        <r>
          <rPr>
            <sz val="9"/>
            <color indexed="81"/>
            <rFont val="Tahoma"/>
            <family val="2"/>
          </rPr>
          <t xml:space="preserve">
04/16/21</t>
        </r>
      </text>
    </comment>
    <comment ref="G63" authorId="0" shapeId="0" xr:uid="{6B087E0C-9DB7-4DCB-864F-46ECBE37D67B}">
      <text>
        <r>
          <rPr>
            <b/>
            <sz val="9"/>
            <color indexed="81"/>
            <rFont val="Tahoma"/>
            <family val="2"/>
          </rPr>
          <t>Logan Davis:</t>
        </r>
        <r>
          <rPr>
            <sz val="9"/>
            <color indexed="81"/>
            <rFont val="Tahoma"/>
            <family val="2"/>
          </rPr>
          <t xml:space="preserve">
04/15/22</t>
        </r>
      </text>
    </comment>
    <comment ref="D64" authorId="0" shapeId="0" xr:uid="{4B241B28-04C4-40BE-9703-CFC9C3D39DAC}">
      <text>
        <r>
          <rPr>
            <b/>
            <sz val="9"/>
            <color indexed="81"/>
            <rFont val="Tahoma"/>
            <family val="2"/>
          </rPr>
          <t>Logan Davis:</t>
        </r>
        <r>
          <rPr>
            <sz val="9"/>
            <color indexed="81"/>
            <rFont val="Tahoma"/>
            <family val="2"/>
          </rPr>
          <t xml:space="preserve">
Last payroll 07/09/21</t>
        </r>
      </text>
    </comment>
    <comment ref="E64" authorId="0" shapeId="0" xr:uid="{4F988547-EAE0-4353-96BC-FE43141385C5}">
      <text>
        <r>
          <rPr>
            <b/>
            <sz val="9"/>
            <color indexed="81"/>
            <rFont val="Tahoma"/>
            <family val="2"/>
          </rPr>
          <t>Logan Davis:</t>
        </r>
        <r>
          <rPr>
            <sz val="9"/>
            <color indexed="81"/>
            <rFont val="Tahoma"/>
            <family val="2"/>
          </rPr>
          <t xml:space="preserve">
04/16/21</t>
        </r>
      </text>
    </comment>
    <comment ref="D65" authorId="0" shapeId="0" xr:uid="{34B9D14B-CDE9-4F9D-A18B-812E80F8B8BF}">
      <text>
        <r>
          <rPr>
            <b/>
            <sz val="9"/>
            <color indexed="81"/>
            <rFont val="Tahoma"/>
            <family val="2"/>
          </rPr>
          <t>Logan Davis:</t>
        </r>
        <r>
          <rPr>
            <sz val="9"/>
            <color indexed="81"/>
            <rFont val="Tahoma"/>
            <family val="2"/>
          </rPr>
          <t xml:space="preserve">
Last payroll 04/16/21</t>
        </r>
      </text>
    </comment>
    <comment ref="D66" authorId="0" shapeId="0" xr:uid="{8C3D2F03-CFE4-4572-A715-AB3A1FEAA45C}">
      <text>
        <r>
          <rPr>
            <b/>
            <sz val="9"/>
            <color indexed="81"/>
            <rFont val="Tahoma"/>
            <family val="2"/>
          </rPr>
          <t>Logan Davis:</t>
        </r>
        <r>
          <rPr>
            <sz val="9"/>
            <color indexed="81"/>
            <rFont val="Tahoma"/>
            <family val="2"/>
          </rPr>
          <t xml:space="preserve">
First payroll 02/03/2023</t>
        </r>
      </text>
    </comment>
    <comment ref="Q66" authorId="0" shapeId="0" xr:uid="{2EC7B169-977F-400D-B85F-B565352EFA22}">
      <text>
        <r>
          <rPr>
            <b/>
            <sz val="9"/>
            <color indexed="81"/>
            <rFont val="Tahoma"/>
            <family val="2"/>
          </rPr>
          <t>Logan Davis:</t>
        </r>
        <r>
          <rPr>
            <sz val="9"/>
            <color indexed="81"/>
            <rFont val="Tahoma"/>
            <family val="2"/>
          </rPr>
          <t xml:space="preserve">
Based on time served, will likely not get any pay increase</t>
        </r>
      </text>
    </comment>
    <comment ref="E69" authorId="0" shapeId="0" xr:uid="{0BC5832E-EE6F-4DCA-B4A3-E44A8E7FC925}">
      <text>
        <r>
          <rPr>
            <b/>
            <sz val="9"/>
            <color indexed="81"/>
            <rFont val="Tahoma"/>
            <family val="2"/>
          </rPr>
          <t>Logan Davis:</t>
        </r>
        <r>
          <rPr>
            <sz val="9"/>
            <color indexed="81"/>
            <rFont val="Tahoma"/>
            <family val="2"/>
          </rPr>
          <t xml:space="preserve">
04/16/21</t>
        </r>
      </text>
    </comment>
    <comment ref="G69" authorId="0" shapeId="0" xr:uid="{D558310B-6732-4BD6-ADF1-8AE84C0A3062}">
      <text>
        <r>
          <rPr>
            <b/>
            <sz val="9"/>
            <color indexed="81"/>
            <rFont val="Tahoma"/>
            <family val="2"/>
          </rPr>
          <t>Logan Davis:</t>
        </r>
        <r>
          <rPr>
            <sz val="9"/>
            <color indexed="81"/>
            <rFont val="Tahoma"/>
            <family val="2"/>
          </rPr>
          <t xml:space="preserve">
04/15/22</t>
        </r>
      </text>
    </comment>
    <comment ref="D70" authorId="0" shapeId="0" xr:uid="{3F735E5B-72CB-4ECB-988E-BAB6FBFA4EBD}">
      <text>
        <r>
          <rPr>
            <b/>
            <sz val="9"/>
            <color indexed="81"/>
            <rFont val="Tahoma"/>
            <family val="2"/>
          </rPr>
          <t>Logan Davis:</t>
        </r>
        <r>
          <rPr>
            <sz val="9"/>
            <color indexed="81"/>
            <rFont val="Tahoma"/>
            <family val="2"/>
          </rPr>
          <t xml:space="preserve">
Last payroll 01/30/22</t>
        </r>
      </text>
    </comment>
    <comment ref="E70" authorId="0" shapeId="0" xr:uid="{05280D21-A0B4-4698-BB5D-D46BB995218E}">
      <text>
        <r>
          <rPr>
            <b/>
            <sz val="9"/>
            <color indexed="81"/>
            <rFont val="Tahoma"/>
            <family val="2"/>
          </rPr>
          <t>Logan Davis:</t>
        </r>
        <r>
          <rPr>
            <sz val="9"/>
            <color indexed="81"/>
            <rFont val="Tahoma"/>
            <family val="2"/>
          </rPr>
          <t xml:space="preserve">
04/16/21
</t>
        </r>
      </text>
    </comment>
    <comment ref="E71" authorId="0" shapeId="0" xr:uid="{EEF2F464-C1B1-4D9B-82FC-A534FC406E34}">
      <text>
        <r>
          <rPr>
            <b/>
            <sz val="9"/>
            <color indexed="81"/>
            <rFont val="Tahoma"/>
            <family val="2"/>
          </rPr>
          <t>Logan Davis:</t>
        </r>
        <r>
          <rPr>
            <sz val="9"/>
            <color indexed="81"/>
            <rFont val="Tahoma"/>
            <family val="2"/>
          </rPr>
          <t xml:space="preserve">
04/16/21</t>
        </r>
      </text>
    </comment>
    <comment ref="G71" authorId="0" shapeId="0" xr:uid="{9DEB4C02-327B-46C7-855A-FA8BD0802FC7}">
      <text>
        <r>
          <rPr>
            <b/>
            <sz val="9"/>
            <color indexed="81"/>
            <rFont val="Tahoma"/>
            <family val="2"/>
          </rPr>
          <t>Logan Davis:</t>
        </r>
        <r>
          <rPr>
            <sz val="9"/>
            <color indexed="81"/>
            <rFont val="Tahoma"/>
            <family val="2"/>
          </rPr>
          <t xml:space="preserve">
04/15/22</t>
        </r>
      </text>
    </comment>
    <comment ref="E72" authorId="0" shapeId="0" xr:uid="{2F3CB24B-05EB-4025-97E2-0FEFA6EC6EA5}">
      <text>
        <r>
          <rPr>
            <b/>
            <sz val="9"/>
            <color indexed="81"/>
            <rFont val="Tahoma"/>
            <family val="2"/>
          </rPr>
          <t>Logan Davis:</t>
        </r>
        <r>
          <rPr>
            <sz val="9"/>
            <color indexed="81"/>
            <rFont val="Tahoma"/>
            <family val="2"/>
          </rPr>
          <t xml:space="preserve">
04/16/21</t>
        </r>
      </text>
    </comment>
    <comment ref="G72" authorId="0" shapeId="0" xr:uid="{6F26A12C-8F0C-4987-B042-2B8C54B8BE57}">
      <text>
        <r>
          <rPr>
            <b/>
            <sz val="9"/>
            <color indexed="81"/>
            <rFont val="Tahoma"/>
            <family val="2"/>
          </rPr>
          <t>Logan Davis:</t>
        </r>
        <r>
          <rPr>
            <sz val="9"/>
            <color indexed="81"/>
            <rFont val="Tahoma"/>
            <family val="2"/>
          </rPr>
          <t xml:space="preserve">
04/15/22</t>
        </r>
      </text>
    </comment>
    <comment ref="D73" authorId="0" shapeId="0" xr:uid="{DC11E6BB-74B5-4108-B56C-0D0DE2390A6D}">
      <text>
        <r>
          <rPr>
            <b/>
            <sz val="9"/>
            <color indexed="81"/>
            <rFont val="Tahoma"/>
            <family val="2"/>
          </rPr>
          <t>Logan Davis:</t>
        </r>
        <r>
          <rPr>
            <sz val="9"/>
            <color indexed="81"/>
            <rFont val="Tahoma"/>
            <family val="2"/>
          </rPr>
          <t xml:space="preserve">
First payroll 4/29/2022</t>
        </r>
      </text>
    </comment>
    <comment ref="Q73" authorId="0" shapeId="0" xr:uid="{EA9912D9-22DB-4738-8284-DF5BFB9D9424}">
      <text>
        <r>
          <rPr>
            <b/>
            <sz val="9"/>
            <color indexed="81"/>
            <rFont val="Tahoma"/>
            <family val="2"/>
          </rPr>
          <t>Logan Davis:</t>
        </r>
        <r>
          <rPr>
            <sz val="9"/>
            <color indexed="81"/>
            <rFont val="Tahoma"/>
            <family val="2"/>
          </rPr>
          <t xml:space="preserve">
Based on time served, will get the whole pay increase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Logan Davis</author>
  </authors>
  <commentList>
    <comment ref="L18" authorId="0" shapeId="0" xr:uid="{8957E629-C549-4861-9103-BDEBDAEBD5BA}">
      <text>
        <r>
          <rPr>
            <b/>
            <sz val="9"/>
            <color indexed="81"/>
            <rFont val="Tahoma"/>
            <family val="2"/>
          </rPr>
          <t>Logan Davis:</t>
        </r>
        <r>
          <rPr>
            <sz val="9"/>
            <color indexed="81"/>
            <rFont val="Tahoma"/>
            <family val="2"/>
          </rPr>
          <t xml:space="preserve">
Safe harbor capped at employer matching amount, employee contributed 3.43% in test year.  Employee contributing 4% as of 02/10/2023</t>
        </r>
      </text>
    </comment>
    <comment ref="L26" authorId="0" shapeId="0" xr:uid="{29C1B1E5-8939-4BFF-9B53-31060D6CA080}">
      <text>
        <r>
          <rPr>
            <b/>
            <sz val="9"/>
            <color indexed="81"/>
            <rFont val="Tahoma"/>
            <family val="2"/>
          </rPr>
          <t>Logan Davis:</t>
        </r>
        <r>
          <rPr>
            <sz val="9"/>
            <color indexed="81"/>
            <rFont val="Tahoma"/>
            <family val="2"/>
          </rPr>
          <t xml:space="preserve">
Safe harbor capped at employer matching amount, employee contributed 2.08% in test year.  Employee contributing 4% as of 02/10/2023</t>
        </r>
      </text>
    </comment>
    <comment ref="L36" authorId="0" shapeId="0" xr:uid="{B817E23A-8D7D-482E-9A2A-902C5EE38420}">
      <text>
        <r>
          <rPr>
            <b/>
            <sz val="9"/>
            <color indexed="81"/>
            <rFont val="Tahoma"/>
            <family val="2"/>
          </rPr>
          <t>Logan Davis:</t>
        </r>
        <r>
          <rPr>
            <sz val="9"/>
            <color indexed="81"/>
            <rFont val="Tahoma"/>
            <family val="2"/>
          </rPr>
          <t xml:space="preserve">
Safe harbor capped at employer matching amount, employee contributed 3.34% in test year.  Employee contribution is 4% as of 02/10/2023</t>
        </r>
      </text>
    </comment>
    <comment ref="L37" authorId="0" shapeId="0" xr:uid="{A8CE6E61-0E58-48E0-AE11-CD7E248B8FB2}">
      <text>
        <r>
          <rPr>
            <b/>
            <sz val="9"/>
            <color indexed="81"/>
            <rFont val="Tahoma"/>
            <family val="2"/>
          </rPr>
          <t>Logan Davis:</t>
        </r>
        <r>
          <rPr>
            <sz val="9"/>
            <color indexed="81"/>
            <rFont val="Tahoma"/>
            <family val="2"/>
          </rPr>
          <t xml:space="preserve">
Employee contribution is 5% of pay as of 02/10/2023, will be eligible for whole 4% match at end of forecast year</t>
        </r>
      </text>
    </comment>
    <comment ref="L39" authorId="0" shapeId="0" xr:uid="{7611F83F-D43A-40CF-A9FA-EDBE2E29383F}">
      <text>
        <r>
          <rPr>
            <b/>
            <sz val="9"/>
            <color indexed="81"/>
            <rFont val="Tahoma"/>
            <family val="2"/>
          </rPr>
          <t>Logan Davis:</t>
        </r>
        <r>
          <rPr>
            <sz val="9"/>
            <color indexed="81"/>
            <rFont val="Tahoma"/>
            <family val="2"/>
          </rPr>
          <t xml:space="preserve">
Employee contribution is 6% of pay as of 02/10/2023, will be eligible for whole 4% match at end of forecast year</t>
        </r>
      </text>
    </comment>
    <comment ref="L41" authorId="0" shapeId="0" xr:uid="{C2D6628C-00B1-40D2-AD7C-16B2158DB22E}">
      <text>
        <r>
          <rPr>
            <b/>
            <sz val="9"/>
            <color indexed="81"/>
            <rFont val="Tahoma"/>
            <family val="2"/>
          </rPr>
          <t>Logan Davis:</t>
        </r>
        <r>
          <rPr>
            <sz val="9"/>
            <color indexed="81"/>
            <rFont val="Tahoma"/>
            <family val="2"/>
          </rPr>
          <t xml:space="preserve">
Safe harbor capped at employer matching amount, employee contributed 2.24% in test year.  Employee contributing 4% of pay as of 02/10/2023</t>
        </r>
      </text>
    </comment>
    <comment ref="L53" authorId="0" shapeId="0" xr:uid="{107E6039-AAC3-4187-BE79-AB5B4DDA7824}">
      <text>
        <r>
          <rPr>
            <b/>
            <sz val="9"/>
            <color indexed="81"/>
            <rFont val="Tahoma"/>
            <family val="2"/>
          </rPr>
          <t>Logan Davis:</t>
        </r>
        <r>
          <rPr>
            <sz val="9"/>
            <color indexed="81"/>
            <rFont val="Tahoma"/>
            <family val="2"/>
          </rPr>
          <t xml:space="preserve">
Becomes eligible Mar 2023</t>
        </r>
      </text>
    </comment>
    <comment ref="L54" authorId="0" shapeId="0" xr:uid="{72D05DEC-3324-4003-ADD3-513A311574F0}">
      <text>
        <r>
          <rPr>
            <b/>
            <sz val="9"/>
            <color indexed="81"/>
            <rFont val="Tahoma"/>
            <family val="2"/>
          </rPr>
          <t>Logan Davis:</t>
        </r>
        <r>
          <rPr>
            <sz val="9"/>
            <color indexed="81"/>
            <rFont val="Tahoma"/>
            <family val="2"/>
          </rPr>
          <t xml:space="preserve">
Becomes eligible July 2023</t>
        </r>
      </text>
    </comment>
    <comment ref="L60" authorId="0" shapeId="0" xr:uid="{754865E7-7163-4832-A6CD-2C7B141C0C8E}">
      <text>
        <r>
          <rPr>
            <b/>
            <sz val="9"/>
            <color indexed="81"/>
            <rFont val="Tahoma"/>
            <family val="2"/>
          </rPr>
          <t>Logan Davis:</t>
        </r>
        <r>
          <rPr>
            <sz val="9"/>
            <color indexed="81"/>
            <rFont val="Tahoma"/>
            <family val="2"/>
          </rPr>
          <t xml:space="preserve">
Became eligible at the end of test period, is contributing 4% as of 02/10/2023</t>
        </r>
      </text>
    </comment>
    <comment ref="L61" authorId="0" shapeId="0" xr:uid="{8A750F5C-E796-41C3-BEBC-DFC2ADDB124F}">
      <text>
        <r>
          <rPr>
            <b/>
            <sz val="9"/>
            <color indexed="81"/>
            <rFont val="Tahoma"/>
            <family val="2"/>
          </rPr>
          <t>Logan Davis:</t>
        </r>
        <r>
          <rPr>
            <sz val="9"/>
            <color indexed="81"/>
            <rFont val="Tahoma"/>
            <family val="2"/>
          </rPr>
          <t xml:space="preserve">
Becomes eligible in May 2023</t>
        </r>
      </text>
    </comment>
    <comment ref="L66" authorId="0" shapeId="0" xr:uid="{F84ABB41-F22A-4EDF-9062-C919EA3CD0F0}">
      <text>
        <r>
          <rPr>
            <b/>
            <sz val="9"/>
            <color indexed="81"/>
            <rFont val="Tahoma"/>
            <family val="2"/>
          </rPr>
          <t>Logan Davis:</t>
        </r>
        <r>
          <rPr>
            <sz val="9"/>
            <color indexed="81"/>
            <rFont val="Tahoma"/>
            <family val="2"/>
          </rPr>
          <t xml:space="preserve">
Becomes eligible in Aug 2023</t>
        </r>
      </text>
    </comment>
    <comment ref="L74" authorId="0" shapeId="0" xr:uid="{AAA0EA03-7AF2-4583-A9B1-588266AD3B92}">
      <text>
        <r>
          <rPr>
            <b/>
            <sz val="9"/>
            <color indexed="81"/>
            <rFont val="Tahoma"/>
            <family val="2"/>
          </rPr>
          <t>Logan Davis:</t>
        </r>
        <r>
          <rPr>
            <sz val="9"/>
            <color indexed="81"/>
            <rFont val="Tahoma"/>
            <family val="2"/>
          </rPr>
          <t xml:space="preserve">
Not participating as of 02/10/2023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Randy Poole</author>
  </authors>
  <commentList>
    <comment ref="P97" authorId="0" shapeId="0" xr:uid="{6AA7D977-0B99-4ED0-BC64-68FF3C43BB04}">
      <text>
        <r>
          <rPr>
            <b/>
            <sz val="9"/>
            <color indexed="81"/>
            <rFont val="Tahoma"/>
            <family val="2"/>
          </rPr>
          <t>Randy Poole:</t>
        </r>
        <r>
          <rPr>
            <sz val="9"/>
            <color indexed="81"/>
            <rFont val="Tahoma"/>
            <family val="2"/>
          </rPr>
          <t xml:space="preserve">
Is the difference the same amount as the other general expense from below?</t>
        </r>
      </text>
    </comment>
  </commentList>
</comments>
</file>

<file path=xl/sharedStrings.xml><?xml version="1.0" encoding="utf-8"?>
<sst xmlns="http://schemas.openxmlformats.org/spreadsheetml/2006/main" count="2308" uniqueCount="1196">
  <si>
    <t>Total</t>
  </si>
  <si>
    <t>Employee</t>
  </si>
  <si>
    <t>Hours</t>
  </si>
  <si>
    <t>Amount</t>
  </si>
  <si>
    <t>Increase</t>
  </si>
  <si>
    <t xml:space="preserve"> </t>
  </si>
  <si>
    <t>TOTAL</t>
  </si>
  <si>
    <t>Payroll</t>
  </si>
  <si>
    <t>MECHANICS</t>
  </si>
  <si>
    <t>Expense</t>
  </si>
  <si>
    <t>Wages Drivers</t>
  </si>
  <si>
    <t>Wages Mechanics</t>
  </si>
  <si>
    <t>WUTC Fee</t>
  </si>
  <si>
    <t>Total Expenses</t>
  </si>
  <si>
    <t>OPERATING EXPENSES</t>
  </si>
  <si>
    <t>NET OPERATING INCOME</t>
  </si>
  <si>
    <t>Adjust</t>
  </si>
  <si>
    <t xml:space="preserve">Restate </t>
  </si>
  <si>
    <t>Rate</t>
  </si>
  <si>
    <t>PER</t>
  </si>
  <si>
    <t>Depr to</t>
  </si>
  <si>
    <t>Restating</t>
  </si>
  <si>
    <t>Proforma</t>
  </si>
  <si>
    <t>BOOKS</t>
  </si>
  <si>
    <t>Actual</t>
  </si>
  <si>
    <t>Adjustments</t>
  </si>
  <si>
    <t>Cost</t>
  </si>
  <si>
    <t>REVENUES</t>
  </si>
  <si>
    <t>Expenses</t>
  </si>
  <si>
    <t>Payroll Taxes</t>
  </si>
  <si>
    <t>Amortization</t>
  </si>
  <si>
    <t>OPERATING RATIO %</t>
  </si>
  <si>
    <t>RECLASS</t>
  </si>
  <si>
    <t>Per G/L</t>
  </si>
  <si>
    <t>Reclass</t>
  </si>
  <si>
    <t>Life</t>
  </si>
  <si>
    <t>Per Operations</t>
  </si>
  <si>
    <t>%</t>
  </si>
  <si>
    <t>Increase (decrease)</t>
  </si>
  <si>
    <t>Service</t>
  </si>
  <si>
    <t>Depreciation</t>
  </si>
  <si>
    <t>OTHER INCOME</t>
  </si>
  <si>
    <t>Miscellaneous</t>
  </si>
  <si>
    <t>R-1</t>
  </si>
  <si>
    <t>R-2</t>
  </si>
  <si>
    <t>R-3</t>
  </si>
  <si>
    <t>R-4</t>
  </si>
  <si>
    <t>R-5</t>
  </si>
  <si>
    <t>R-6</t>
  </si>
  <si>
    <t>R-7</t>
  </si>
  <si>
    <t>P-2</t>
  </si>
  <si>
    <t>P-3</t>
  </si>
  <si>
    <t>P-4</t>
  </si>
  <si>
    <t>P-5</t>
  </si>
  <si>
    <t>Hourly</t>
  </si>
  <si>
    <t>RC-1</t>
  </si>
  <si>
    <t>RC-2</t>
  </si>
  <si>
    <t>RC-3</t>
  </si>
  <si>
    <t>Disposal</t>
  </si>
  <si>
    <t>December</t>
  </si>
  <si>
    <t>November</t>
  </si>
  <si>
    <t>October</t>
  </si>
  <si>
    <t>September</t>
  </si>
  <si>
    <t>January</t>
  </si>
  <si>
    <t>February</t>
  </si>
  <si>
    <t>March</t>
  </si>
  <si>
    <t>April</t>
  </si>
  <si>
    <t>May</t>
  </si>
  <si>
    <t>June</t>
  </si>
  <si>
    <t>July</t>
  </si>
  <si>
    <t>August</t>
  </si>
  <si>
    <t>Bad Debt Expense</t>
  </si>
  <si>
    <t>&amp; Recycle</t>
  </si>
  <si>
    <t>Taxes</t>
  </si>
  <si>
    <t>P-1</t>
  </si>
  <si>
    <t>Salary/</t>
  </si>
  <si>
    <t>H</t>
  </si>
  <si>
    <t>S</t>
  </si>
  <si>
    <t>1.5 over 40 hrs</t>
  </si>
  <si>
    <t>Overtime</t>
  </si>
  <si>
    <t>Projected</t>
  </si>
  <si>
    <t>Annual</t>
  </si>
  <si>
    <t>Wage</t>
  </si>
  <si>
    <t>FICA</t>
  </si>
  <si>
    <t>Employment</t>
  </si>
  <si>
    <t>Security</t>
  </si>
  <si>
    <t>FUTA</t>
  </si>
  <si>
    <t>L&amp;I</t>
  </si>
  <si>
    <t>Gallons</t>
  </si>
  <si>
    <t>End of</t>
  </si>
  <si>
    <t>Period</t>
  </si>
  <si>
    <t>Long Term Debt</t>
  </si>
  <si>
    <t>Equity</t>
  </si>
  <si>
    <t>Interest Expense</t>
  </si>
  <si>
    <t>actual test period</t>
  </si>
  <si>
    <t>Weighted cost of debt</t>
  </si>
  <si>
    <t>Debt</t>
  </si>
  <si>
    <t>SCHEDULE 1 - EXPLANATION OF RESTATING ADJUSTMENTS</t>
  </si>
  <si>
    <t>RESULTS OF OPERATIONS</t>
  </si>
  <si>
    <t>SCHEDULE 2 - EXPLANATION OF FORECAST ADJUSTMENTS</t>
  </si>
  <si>
    <t>SCHEDULE 3 - EXPLANATION OF RECLASS ADJUSTMENTS</t>
  </si>
  <si>
    <t>Net Income</t>
  </si>
  <si>
    <t>Fuel and Oil</t>
  </si>
  <si>
    <t>Expenses:</t>
  </si>
  <si>
    <t>Total Revenues</t>
  </si>
  <si>
    <t>Revenues:</t>
  </si>
  <si>
    <t>Totals</t>
  </si>
  <si>
    <t>Income Statement by Month Provided by Client - Used to Calculate the Twelve Months</t>
  </si>
  <si>
    <t>SCHEDULE 1 - SUMMARY OF RESTATING ADJUSTMENTS, Continued</t>
  </si>
  <si>
    <t>SCHEDULE 2 - SUMMARY OF FORECAST ADJUSTMENTS, Continued</t>
  </si>
  <si>
    <t>SCHEDULE 3 - SUMMARY OF RECLASS ADJUSTMENTS, Continued</t>
  </si>
  <si>
    <t>SCHEDULE 4 - CALCULATE THE TWELVE MONTHS</t>
  </si>
  <si>
    <t>Per Books</t>
  </si>
  <si>
    <t>Restated</t>
  </si>
  <si>
    <t>Rate Case</t>
  </si>
  <si>
    <t xml:space="preserve">    NET INCOME </t>
  </si>
  <si>
    <t>Regular</t>
  </si>
  <si>
    <t>Washington</t>
  </si>
  <si>
    <t>Refuse</t>
  </si>
  <si>
    <t>Summary of Significant Forecast Assumptions</t>
  </si>
  <si>
    <t>Work Papers</t>
  </si>
  <si>
    <t>Gross</t>
  </si>
  <si>
    <t>OT</t>
  </si>
  <si>
    <t>Sick</t>
  </si>
  <si>
    <t>Holiday</t>
  </si>
  <si>
    <t>Average</t>
  </si>
  <si>
    <t>Fuel Cost</t>
  </si>
  <si>
    <t>actual</t>
  </si>
  <si>
    <t>Forecasted Fuel Cost</t>
  </si>
  <si>
    <t>Total Forecasted Expense</t>
  </si>
  <si>
    <t>Depn</t>
  </si>
  <si>
    <t>Investment</t>
  </si>
  <si>
    <t>Wages</t>
  </si>
  <si>
    <t>E.</t>
  </si>
  <si>
    <t>D.</t>
  </si>
  <si>
    <t>C.</t>
  </si>
  <si>
    <t>A.</t>
  </si>
  <si>
    <t>Depr.</t>
  </si>
  <si>
    <t>Allo.</t>
  </si>
  <si>
    <t>Depreciable Cost</t>
  </si>
  <si>
    <t>Disp</t>
  </si>
  <si>
    <t>Asset Cost</t>
  </si>
  <si>
    <t>Mo</t>
  </si>
  <si>
    <t>Yr</t>
  </si>
  <si>
    <t>Asset Description</t>
  </si>
  <si>
    <t>Test year</t>
  </si>
  <si>
    <t>Test Year</t>
  </si>
  <si>
    <t>Year</t>
  </si>
  <si>
    <t xml:space="preserve">Monthly </t>
  </si>
  <si>
    <t>Asset</t>
  </si>
  <si>
    <t>Fully</t>
  </si>
  <si>
    <t>Mthd</t>
  </si>
  <si>
    <t>Value</t>
  </si>
  <si>
    <t>Accumulated</t>
  </si>
  <si>
    <t>Accum.</t>
  </si>
  <si>
    <t>Branch</t>
  </si>
  <si>
    <t>Salvage</t>
  </si>
  <si>
    <t>Date in</t>
  </si>
  <si>
    <t>Disposition Date</t>
  </si>
  <si>
    <t>Ending</t>
  </si>
  <si>
    <t>Beginning</t>
  </si>
  <si>
    <t>Second year</t>
  </si>
  <si>
    <t>Date fully Depr</t>
  </si>
  <si>
    <t>C</t>
  </si>
  <si>
    <t>First year</t>
  </si>
  <si>
    <t>Months in second year</t>
  </si>
  <si>
    <t>Months in first year</t>
  </si>
  <si>
    <t>End of Test Period</t>
  </si>
  <si>
    <t>B.</t>
  </si>
  <si>
    <t>Purchase date</t>
  </si>
  <si>
    <t>SL</t>
  </si>
  <si>
    <t>Subtotal</t>
  </si>
  <si>
    <t>Depn.</t>
  </si>
  <si>
    <t xml:space="preserve">  Yr.</t>
  </si>
  <si>
    <t>Test yr.</t>
  </si>
  <si>
    <t>Monthly</t>
  </si>
  <si>
    <t>Depreciable</t>
  </si>
  <si>
    <t>Beg of Test Period</t>
  </si>
  <si>
    <t>Lobbying</t>
  </si>
  <si>
    <t>Test</t>
  </si>
  <si>
    <t>Test Year Totals</t>
  </si>
  <si>
    <t>wage base</t>
  </si>
  <si>
    <t>UI rate</t>
  </si>
  <si>
    <t>Actual Misc Shop</t>
  </si>
  <si>
    <t>Revenue</t>
  </si>
  <si>
    <t xml:space="preserve">Income </t>
  </si>
  <si>
    <t>Statement</t>
  </si>
  <si>
    <t>Income</t>
  </si>
  <si>
    <t>Adj #</t>
  </si>
  <si>
    <t>Total Revenue</t>
  </si>
  <si>
    <t>D =</t>
  </si>
  <si>
    <t>R =</t>
  </si>
  <si>
    <t>N =</t>
  </si>
  <si>
    <t>A =</t>
  </si>
  <si>
    <t>Allocate a portion to non-regulated activities</t>
  </si>
  <si>
    <t xml:space="preserve">Removed adj completely </t>
  </si>
  <si>
    <t xml:space="preserve">Gross operational revenue </t>
  </si>
  <si>
    <t>Change</t>
  </si>
  <si>
    <t>ADJUSTED</t>
  </si>
  <si>
    <t>Results of Operations</t>
  </si>
  <si>
    <t>Pro Forma</t>
  </si>
  <si>
    <t>GL Booth JG Davis &amp; Associates</t>
  </si>
  <si>
    <t xml:space="preserve">P-1                                    </t>
  </si>
  <si>
    <t>.</t>
  </si>
  <si>
    <t>DRIVERS</t>
  </si>
  <si>
    <t>√</t>
  </si>
  <si>
    <t>Residential &amp; Commercial Tons Total</t>
  </si>
  <si>
    <t>Notes:</t>
  </si>
  <si>
    <t>Cost per Gallon</t>
  </si>
  <si>
    <t>WORKPAPER 1 - DEPRECIATION</t>
  </si>
  <si>
    <t>WORKPAPER 1 - DEPRECIATION, Continued</t>
  </si>
  <si>
    <t>WORKPAPER 2 - LABOR ANALYSIS</t>
  </si>
  <si>
    <t>WORKPAPER 2 - LABOR ANALYSIS, Continued</t>
  </si>
  <si>
    <t>WORKPAPER 5 - CAPITAL STRUCTURE/COST OF DEBT/ROE ANALYSIS</t>
  </si>
  <si>
    <t>WORKPAPER 6 - TRANSACTIONS WITH AFFILIATED COMPANIES</t>
  </si>
  <si>
    <t>R = Restate</t>
  </si>
  <si>
    <t>RC = Reclass</t>
  </si>
  <si>
    <t>Explanation:  Staff requires the property and equipment to be depreciated over a different life than the Company uses or its financial statement and uses salvage values. This results in less depreciation expense being allowed in the rate case than the Company records on its books and financial statements and a resulting higher net book value of assets. Therefore, the equity calculation for the Company must be adjusted to reflect the higher net book value of these assets due to the depreciation differences in order for the Lurito Gallagher formula to work correctly. Below is that calculation.</t>
  </si>
  <si>
    <t>PTO</t>
  </si>
  <si>
    <t>R-8</t>
  </si>
  <si>
    <t>R-9</t>
  </si>
  <si>
    <t>Included in pro forma</t>
  </si>
  <si>
    <t>Allocated to non-reg activity only</t>
  </si>
  <si>
    <t>Accrued Vacation</t>
  </si>
  <si>
    <t>Accrued Payroll</t>
  </si>
  <si>
    <t>Costs billed for new rate case:</t>
  </si>
  <si>
    <t>Total cost for new rate case:</t>
  </si>
  <si>
    <t>Amortized costs over 3 years:</t>
  </si>
  <si>
    <t>Disposal Increase:</t>
  </si>
  <si>
    <t>No overtime</t>
  </si>
  <si>
    <t>If total hours over 2,080, used formula to remove excess to not double-up on overtime</t>
  </si>
  <si>
    <t xml:space="preserve"> HISTORICAL AND FORECASTED</t>
  </si>
  <si>
    <t>Ties to income statement tab</t>
  </si>
  <si>
    <t>P = Proforma</t>
  </si>
  <si>
    <t>Forecast</t>
  </si>
  <si>
    <t>Non-Public Companies</t>
  </si>
  <si>
    <t>nonpubco</t>
  </si>
  <si>
    <r>
      <t xml:space="preserve">LURITO - GALLAGHER FORMULA  MODEL 2018  </t>
    </r>
    <r>
      <rPr>
        <sz val="8"/>
        <color indexed="9"/>
        <rFont val="Calibri"/>
        <family val="2"/>
      </rPr>
      <t>V5.0a</t>
    </r>
  </si>
  <si>
    <t>CALCULATION TABLES</t>
  </si>
  <si>
    <t>Revenue Senstive Taxes (RevS)</t>
  </si>
  <si>
    <t>(b) + (c)</t>
  </si>
  <si>
    <t>(d) + (e)</t>
  </si>
  <si>
    <t>Regession</t>
  </si>
  <si>
    <t>Hauler</t>
  </si>
  <si>
    <t>Revenue Req</t>
  </si>
  <si>
    <t xml:space="preserve">Revenue </t>
  </si>
  <si>
    <t>INPUTS - Test Year</t>
  </si>
  <si>
    <t>(a)</t>
  </si>
  <si>
    <t>(b)</t>
  </si>
  <si>
    <t>(c)</t>
  </si>
  <si>
    <t>(d)</t>
  </si>
  <si>
    <t>(e)</t>
  </si>
  <si>
    <t>(f)</t>
  </si>
  <si>
    <t>Before Tax</t>
  </si>
  <si>
    <t>Less</t>
  </si>
  <si>
    <t>Adjusted</t>
  </si>
  <si>
    <t>After Tax</t>
  </si>
  <si>
    <t>Weighted Cost</t>
  </si>
  <si>
    <t>Before RevS</t>
  </si>
  <si>
    <t xml:space="preserve"> Increase Before</t>
  </si>
  <si>
    <t>Increase After</t>
  </si>
  <si>
    <t xml:space="preserve">RevS </t>
  </si>
  <si>
    <t xml:space="preserve">Total </t>
  </si>
  <si>
    <t>Operating Revenue</t>
  </si>
  <si>
    <t>Line</t>
  </si>
  <si>
    <t>Historical</t>
  </si>
  <si>
    <t>Add: Revenue</t>
  </si>
  <si>
    <t>Profit Ratio</t>
  </si>
  <si>
    <t>BTROI</t>
  </si>
  <si>
    <t>WCDebt</t>
  </si>
  <si>
    <t>BTROE</t>
  </si>
  <si>
    <t>ROE</t>
  </si>
  <si>
    <t>Equity BFT</t>
  </si>
  <si>
    <t>BTROR</t>
  </si>
  <si>
    <t>Operating Ratio</t>
  </si>
  <si>
    <t>RevS Taxes</t>
  </si>
  <si>
    <t>Operating Expenses</t>
  </si>
  <si>
    <t>No.</t>
  </si>
  <si>
    <t xml:space="preserve"> Sensitive Taxes</t>
  </si>
  <si>
    <t>Requirment</t>
  </si>
  <si>
    <t>Capital Structure - Debt %</t>
  </si>
  <si>
    <t>Capital Structure - Debt Cost</t>
  </si>
  <si>
    <t>Operating Income</t>
  </si>
  <si>
    <t>Federal Income Tax Rate</t>
  </si>
  <si>
    <t>2nd Iteration</t>
  </si>
  <si>
    <t>B&amp;O Tax Rate</t>
  </si>
  <si>
    <t>Income Tax Expense</t>
  </si>
  <si>
    <t>City Tax</t>
  </si>
  <si>
    <t>Bad Debts</t>
  </si>
  <si>
    <t>3rd Iteration</t>
  </si>
  <si>
    <t>Check when input is complete</t>
  </si>
  <si>
    <t xml:space="preserve">Operating Ratio </t>
  </si>
  <si>
    <t>No</t>
  </si>
  <si>
    <t>For Intial input: Uncheck Checkbox Until Completed</t>
  </si>
  <si>
    <t>Revenue Requirement</t>
  </si>
  <si>
    <t>Historical Revenue</t>
  </si>
  <si>
    <t>Revenue Increase before taxes</t>
  </si>
  <si>
    <t>Rate Increase</t>
  </si>
  <si>
    <t>Rev Sensitive Taxes</t>
  </si>
  <si>
    <t>4th Iteration</t>
  </si>
  <si>
    <t>2018 Version Update Changes</t>
  </si>
  <si>
    <t>● Allows Income Tax Rate Changes,</t>
  </si>
  <si>
    <t>● Minimizes impact of changes in test-year revenue from</t>
  </si>
  <si>
    <t xml:space="preserve">   resulting revenue requirment,</t>
  </si>
  <si>
    <t>Captial Structure Financing Investment</t>
  </si>
  <si>
    <t>Financing Cost</t>
  </si>
  <si>
    <t>● Corrects interest rate transposition in LG.</t>
  </si>
  <si>
    <t>Type</t>
  </si>
  <si>
    <t>Percent</t>
  </si>
  <si>
    <t>Cost of Capital</t>
  </si>
  <si>
    <t>Weighted</t>
  </si>
  <si>
    <t>5th Iteration</t>
  </si>
  <si>
    <t>Before</t>
  </si>
  <si>
    <t>After</t>
  </si>
  <si>
    <t>6th Iteration</t>
  </si>
  <si>
    <t>Operating Statistics</t>
  </si>
  <si>
    <t>Income Tax</t>
  </si>
  <si>
    <t>Return on Investment</t>
  </si>
  <si>
    <t>Return on Equity</t>
  </si>
  <si>
    <t>7th Iteration</t>
  </si>
  <si>
    <t>Profit Margin</t>
  </si>
  <si>
    <t>Final turnover</t>
  </si>
  <si>
    <t>Tax Rate</t>
  </si>
  <si>
    <t>Revenue Sensitive Taxes Charges</t>
  </si>
  <si>
    <t>Curve</t>
  </si>
  <si>
    <t>Lookup Table</t>
  </si>
  <si>
    <t xml:space="preserve"> B &amp; O Tax</t>
  </si>
  <si>
    <t xml:space="preserve"> WUTC Fee</t>
  </si>
  <si>
    <t xml:space="preserve"> City Tax</t>
  </si>
  <si>
    <t>Percent Chg</t>
  </si>
  <si>
    <t xml:space="preserve"> Bad Debts</t>
  </si>
  <si>
    <t>Revenue Sensitive</t>
  </si>
  <si>
    <t>Curve turnover</t>
  </si>
  <si>
    <t>@EXP(5.72260-(.68367*@LN(T)))</t>
  </si>
  <si>
    <t>Conversion Factor</t>
  </si>
  <si>
    <t>Curve No. used</t>
  </si>
  <si>
    <t>@EXP(5.70827-(.68367*@LN(T)))</t>
  </si>
  <si>
    <t>@EXP(5.69850-(.68367*@LN(T)))</t>
  </si>
  <si>
    <t>@EXP(5.69220-(.68367*@LN(T)))</t>
  </si>
  <si>
    <t>Base Utility from LG Sample Study</t>
  </si>
  <si>
    <t>Regression Results</t>
  </si>
  <si>
    <t>Y intercept (1)</t>
  </si>
  <si>
    <t>Y intercept (3)</t>
  </si>
  <si>
    <t>Y intercept (2)</t>
  </si>
  <si>
    <t>Y intercept (4)</t>
  </si>
  <si>
    <t>Pfd.</t>
  </si>
  <si>
    <t>Slope</t>
  </si>
  <si>
    <t>Pre-tax</t>
  </si>
  <si>
    <t>R</t>
  </si>
  <si>
    <t>Advertising and Promotion</t>
  </si>
  <si>
    <t>Bank Service Charges</t>
  </si>
  <si>
    <t>Donations</t>
  </si>
  <si>
    <t>Professional Fees</t>
  </si>
  <si>
    <t>Interest Income</t>
  </si>
  <si>
    <t>Shop Rent</t>
  </si>
  <si>
    <t>OTHER INCOME/(EXPENSE)</t>
  </si>
  <si>
    <t>Chamber of</t>
  </si>
  <si>
    <t>Commerce</t>
  </si>
  <si>
    <t>OFFICE/ADMIN</t>
  </si>
  <si>
    <t>OFFICERS</t>
  </si>
  <si>
    <t>Residential Garbage</t>
  </si>
  <si>
    <t>Drop Box / Compactor Collection</t>
  </si>
  <si>
    <t>Per Annual Report</t>
  </si>
  <si>
    <t>Commercial Collection</t>
  </si>
  <si>
    <t>Drop Box / Com. Pass Thru Disposal</t>
  </si>
  <si>
    <t>Residential Recycling Collection</t>
  </si>
  <si>
    <t>Multi-Family Recycling Collection</t>
  </si>
  <si>
    <t>Recycling Credits to Customers - (debits)/credits</t>
  </si>
  <si>
    <t>Yard Waste/Organics Collection</t>
  </si>
  <si>
    <t>Medical Waste Collection</t>
  </si>
  <si>
    <t>Other Revenues:</t>
  </si>
  <si>
    <t>Annual Report Total</t>
  </si>
  <si>
    <t>Operating Revenue per Annual Report:</t>
  </si>
  <si>
    <t>Other Garbage Collection</t>
  </si>
  <si>
    <t>Other Revenue - Non-regulated</t>
  </si>
  <si>
    <t>Sale of Recycle Commodities - Regulated</t>
  </si>
  <si>
    <t>Sale of Recycle Commodities - Nonregulated</t>
  </si>
  <si>
    <t>Annual Report Revenues:</t>
  </si>
  <si>
    <t>Auto/Transport Equipment</t>
  </si>
  <si>
    <t>Total Auto/Transport Equipment</t>
  </si>
  <si>
    <t>Buildings</t>
  </si>
  <si>
    <t>Total Buildings</t>
  </si>
  <si>
    <t>Furniture and Fixtures</t>
  </si>
  <si>
    <t>Total Furniture and Fixtures</t>
  </si>
  <si>
    <t>Machinery and Equipment</t>
  </si>
  <si>
    <t>Total Machinery and Equipment</t>
  </si>
  <si>
    <t>Total Miscellaneous</t>
  </si>
  <si>
    <t>Wages Office</t>
  </si>
  <si>
    <t>Per Monthly Income Statement</t>
  </si>
  <si>
    <t>Adj for Allowance for Doubtful Accounts</t>
  </si>
  <si>
    <t xml:space="preserve">Allowable Bad Debt </t>
  </si>
  <si>
    <t>Total bad debt per monthly income statement</t>
  </si>
  <si>
    <t>Nondeductible</t>
  </si>
  <si>
    <t xml:space="preserve">Pay </t>
  </si>
  <si>
    <t>Increases</t>
  </si>
  <si>
    <t>Pay</t>
  </si>
  <si>
    <t>Pay rates</t>
  </si>
  <si>
    <t>as of</t>
  </si>
  <si>
    <t xml:space="preserve">at </t>
  </si>
  <si>
    <t>Used hourly wage convervted from salary for salaried employees</t>
  </si>
  <si>
    <t>Pay increase effective date added as comment</t>
  </si>
  <si>
    <t>Test Year Gallons</t>
  </si>
  <si>
    <t>at</t>
  </si>
  <si>
    <t>RC-4</t>
  </si>
  <si>
    <t>Accrued Landfill Fees per QuickBooks</t>
  </si>
  <si>
    <t>Actual Fees per Invoice</t>
  </si>
  <si>
    <t>Reclass Adjsutment</t>
  </si>
  <si>
    <t>Pass through fees</t>
  </si>
  <si>
    <t>RC-5</t>
  </si>
  <si>
    <t>For New</t>
  </si>
  <si>
    <t>Employees</t>
  </si>
  <si>
    <t>Asset purchased after test year</t>
  </si>
  <si>
    <t>Proforma Adjustment:</t>
  </si>
  <si>
    <t>Months in forecast year</t>
  </si>
  <si>
    <t>Proforma adjustment</t>
  </si>
  <si>
    <t>Annual Hours</t>
  </si>
  <si>
    <t>Officer Pay</t>
  </si>
  <si>
    <t xml:space="preserve">Revenue from revised rates per tipping fee only </t>
  </si>
  <si>
    <t>Commercial garbage revenue per books</t>
  </si>
  <si>
    <t>Residential garbage revenue per books</t>
  </si>
  <si>
    <t>Total garbage revenue per books</t>
  </si>
  <si>
    <t>Revenue increase to residential garbage</t>
  </si>
  <si>
    <t>Revenue increase to commercial garbage</t>
  </si>
  <si>
    <t>Pro Forma - Tipping Fee Increase - Revenue from Revised Rates</t>
  </si>
  <si>
    <t>Rate Case Cost</t>
  </si>
  <si>
    <t>No assurance is provided on this forecasted statement of operations and the summary of signifcant accounting policies has been omitted.</t>
  </si>
  <si>
    <t>4001.01 · Residential Rev-Grant County</t>
  </si>
  <si>
    <t>4001.02 · Residential Rev-Othello</t>
  </si>
  <si>
    <t>4001.03 · Residential Rev-Mattawa</t>
  </si>
  <si>
    <t>4001.04 · Residential Rev-Royal City</t>
  </si>
  <si>
    <t>4001.05 · Residential Rev-Warden</t>
  </si>
  <si>
    <t>4001.07 · Residential Rev-Ephrata</t>
  </si>
  <si>
    <t>4001.09 · Residential Rev-Quincy</t>
  </si>
  <si>
    <t>4001.10 · Residential Rev.-Odessa</t>
  </si>
  <si>
    <t>4001.11 · Residential Rev-Waterville</t>
  </si>
  <si>
    <t>4001.12 · Residential Rev-Mansfield</t>
  </si>
  <si>
    <t>4001.14 · Residential Rev-Lind</t>
  </si>
  <si>
    <t>4001.15 · Residential Rev-George</t>
  </si>
  <si>
    <t>4001.16 · Residential Rev-Adams County</t>
  </si>
  <si>
    <t>4001.17 · residential Rv-Moses Lake</t>
  </si>
  <si>
    <t>4001.18 · Residential Rev-Soap Lake</t>
  </si>
  <si>
    <t>4001.19 · Residential Revenue Hat</t>
  </si>
  <si>
    <t>4001.2 · Residential Rev-Wilson Creek</t>
  </si>
  <si>
    <t>4025.01 · Commercial Rev-Grant County</t>
  </si>
  <si>
    <t>4025.02 · Commercial Rev-Othello</t>
  </si>
  <si>
    <t>4025.03 · Commercial Rev-Mattawa</t>
  </si>
  <si>
    <t>4025.04 · Commercial Rev-Royal City</t>
  </si>
  <si>
    <t>4025.05 · Commercial Rev-Warden</t>
  </si>
  <si>
    <t>4025.07 · Commercial Rev-Ephrata</t>
  </si>
  <si>
    <t>4025.09 · Commercial Rev-Quincy</t>
  </si>
  <si>
    <t>4025.10 · Commercial Rev.-Odessa</t>
  </si>
  <si>
    <t>4025.11 · Commercial Rev-Waterville</t>
  </si>
  <si>
    <t>4025.12 · Commercial Rev-Mansfield</t>
  </si>
  <si>
    <t>4025.14 · Commercial Rev-Lind</t>
  </si>
  <si>
    <t>4025.15 · Commercial Rev-George</t>
  </si>
  <si>
    <t>4025.16 · Commercial Rev-Adams County</t>
  </si>
  <si>
    <t>4025.17 · Commercial Rev.- Moses Lake</t>
  </si>
  <si>
    <t>4025.18 · Commercial Rev-Soap Lake</t>
  </si>
  <si>
    <t>4025.19 · Commercial Hatton</t>
  </si>
  <si>
    <t>4025.2 · Commercial Rev-Wi;son Creek</t>
  </si>
  <si>
    <t>4050.2 · Wilson Creek drop box rev.</t>
  </si>
  <si>
    <t>4050.01 · Dropbox/Compactor Rev-Grant Co</t>
  </si>
  <si>
    <t>4050.02 · Dropbox/Compactor Rev-Othello</t>
  </si>
  <si>
    <t>4050.03 · Dropbox Revenue - Mattawa</t>
  </si>
  <si>
    <t>4050.04 · Dropbox Revenue - Royal City</t>
  </si>
  <si>
    <t>4050.05 · Dropbox Revenue - Warden</t>
  </si>
  <si>
    <t>4050.07 · Dropbox/Compactor Rev-Ephrata</t>
  </si>
  <si>
    <t>4050.09 · Dropbox/Compactor Rev-Quincy</t>
  </si>
  <si>
    <t>4050.10 · Dropbox Revenue-Odessa</t>
  </si>
  <si>
    <t>4050.11 · Dropbox Revenue - Waterville</t>
  </si>
  <si>
    <t>4050.12 · Dropbox Revenue-Mansfield</t>
  </si>
  <si>
    <t>4050.14 · Dropbox?Compactor Rev-Lind</t>
  </si>
  <si>
    <t>4050.15 · Dropbox Revenue-George</t>
  </si>
  <si>
    <t>4050.16 · Dropbox/Compactor Rev-Adams Co</t>
  </si>
  <si>
    <t>4050.17 · Dropbox/Compactor Rev-Moses Lak</t>
  </si>
  <si>
    <t>4050.18 · Dropbox/Compactor rev-Soap Lake</t>
  </si>
  <si>
    <t>4075.14 · Lind Disposal Pass Thru Rev</t>
  </si>
  <si>
    <t>4075.2 · Disposal pass thru Rev.- Wilson</t>
  </si>
  <si>
    <t>4075.01 · Disposal PassThru Rev-Grant Co</t>
  </si>
  <si>
    <t>4075.03 · Disposal PassThru Rev-Mattawa</t>
  </si>
  <si>
    <t>4075.04 · Disposal Revenue-Royal City</t>
  </si>
  <si>
    <t>4075.05 · Disposal Revenue-Warden</t>
  </si>
  <si>
    <t>4075.06 · Disposal Pass Thru Rev-Misc</t>
  </si>
  <si>
    <t>4075.10 · Disposal Pass Thru Rev-Odessa</t>
  </si>
  <si>
    <t>4075.11 · Disposal Revenue-Waterville</t>
  </si>
  <si>
    <t>4075.12 · Disposal Revenue-Mansfield</t>
  </si>
  <si>
    <t>4075.15 · Disposal Pass Thru Rev-George</t>
  </si>
  <si>
    <t>4075.16 · Disposal Passthru Rev-Adams Co</t>
  </si>
  <si>
    <t>4100.06 · Transfer Station Revenue</t>
  </si>
  <si>
    <t>4125.02 · Othello Yard Waste</t>
  </si>
  <si>
    <t>4125.09 · Recycling Revenue-Quincy YW</t>
  </si>
  <si>
    <t>4125.10 · Odessa Yard Waste Recycling</t>
  </si>
  <si>
    <t>4125.13 · Recycling Revenue</t>
  </si>
  <si>
    <t>4125.03 · Recycling Mattawa</t>
  </si>
  <si>
    <t>4125.15 · 4125.15 Yardwast/recycle George</t>
  </si>
  <si>
    <t>4150.08 · Medical Waste Revenue</t>
  </si>
  <si>
    <t>4175.01 · Misc Garbage Revenue-Grant Co</t>
  </si>
  <si>
    <t>4175.06 · Misc Garbage Rev-Late Chg 06</t>
  </si>
  <si>
    <t>4175.08 · Misc Garbage Rev-Med Waste</t>
  </si>
  <si>
    <t>4175.16 · Misc Garbage Revenue-Adams Co</t>
  </si>
  <si>
    <t>estimated from Odrive, not sure what was filed</t>
  </si>
  <si>
    <t>9201.00 · Gain/Loss Sale of Assets</t>
  </si>
  <si>
    <t>5000.00 · Labor</t>
  </si>
  <si>
    <t>5103.00 · Repairs\Shop,Equip &amp; Buildings</t>
  </si>
  <si>
    <t>5104.06 · Repairs\Transfer Shop O&amp;M</t>
  </si>
  <si>
    <t>5105.00 · Container Maintenance</t>
  </si>
  <si>
    <t>5106.00 · Repairs\Collection Equipment</t>
  </si>
  <si>
    <t>5108.00 · Tires and Tubes</t>
  </si>
  <si>
    <t>5109.00 · Service trucks expense</t>
  </si>
  <si>
    <t>5110.00 · Other Maint. &amp; Garage Expenses</t>
  </si>
  <si>
    <t>5111.13 · Recycle Expense</t>
  </si>
  <si>
    <t>5113.06 · Tranfer Tractors Expenses</t>
  </si>
  <si>
    <t>5114.06 · Transfer Trailers Expense</t>
  </si>
  <si>
    <t>5115.06 · O &amp; M Transfer Station</t>
  </si>
  <si>
    <t>5211.00 · Land &amp; Land Rights</t>
  </si>
  <si>
    <t>5212.00 · Buildings &amp; Structures</t>
  </si>
  <si>
    <t>5213.00 · Transfer Station</t>
  </si>
  <si>
    <t>5214.00 · Amortization expense</t>
  </si>
  <si>
    <t>5215.13 · Recycling Equipment</t>
  </si>
  <si>
    <t>5222.00 · Garbage Collection Equipment</t>
  </si>
  <si>
    <t>5224.00 · Containerization</t>
  </si>
  <si>
    <t>5230.00 · Service Cars &amp; Equipment</t>
  </si>
  <si>
    <t>5240.00 · Shop and Garage Equipment</t>
  </si>
  <si>
    <t>5272.00 · Fuel and Oil</t>
  </si>
  <si>
    <t>5271.00 · Fuel &amp; Oil - Other</t>
  </si>
  <si>
    <t>5301.15 · George Disposal</t>
  </si>
  <si>
    <t>5331.01 · Disposal-Grant Co.</t>
  </si>
  <si>
    <t>5331.03 · Disposal-Mattawa</t>
  </si>
  <si>
    <t>5331.04 · Disposal-Royal City</t>
  </si>
  <si>
    <t>5331.05 · Disposal-Warden</t>
  </si>
  <si>
    <t>5331.08 · Medical Waste Disposal Fees</t>
  </si>
  <si>
    <t>5331.10 · Disposal-Odessa</t>
  </si>
  <si>
    <t>5331.11 · Disposal-Waterville</t>
  </si>
  <si>
    <t>5331.12 · Disposal-Mansfield</t>
  </si>
  <si>
    <t>5331.16 · Disposal-Adams Co.</t>
  </si>
  <si>
    <t>5301.00 · Disposal Fees &amp; Charges - Other</t>
  </si>
  <si>
    <t>5398.00 · Shop Rent</t>
  </si>
  <si>
    <t>5351.00 · Lease &amp; Rent Expense - Other</t>
  </si>
  <si>
    <t>5420.00 · Vehicle License &amp; Registration</t>
  </si>
  <si>
    <t>5430.00 · Real Estate/Personal Property</t>
  </si>
  <si>
    <t>5430.16 · Adams Co. Property tax</t>
  </si>
  <si>
    <t>5440.01 · Social Security (FICA)</t>
  </si>
  <si>
    <t>5441.00 · Federal Unemployment</t>
  </si>
  <si>
    <t>5442.00 · State Unemployment</t>
  </si>
  <si>
    <t>5460.09 · Quincy B&amp;O</t>
  </si>
  <si>
    <t>5460.16 · Adams Co. B&amp;O</t>
  </si>
  <si>
    <t>5460.19 · Hatton B&amp;O Tax</t>
  </si>
  <si>
    <t>5460.01 · Grant Co. B&amp;O</t>
  </si>
  <si>
    <t>5460.02 · Othello B &amp; O</t>
  </si>
  <si>
    <t>5460.03 · MATTAWA B&amp;O</t>
  </si>
  <si>
    <t>5460.04 · Royal City B &amp; O</t>
  </si>
  <si>
    <t>5460.05 · Warden B &amp; O</t>
  </si>
  <si>
    <t>5460.06 · RDC/TRANSFER B &amp; O</t>
  </si>
  <si>
    <t>5460.07 · Ephrata B &amp; O</t>
  </si>
  <si>
    <t>5460.08 · Medical Waste B &amp; O</t>
  </si>
  <si>
    <t>5460.10 · Odessa B&amp;O</t>
  </si>
  <si>
    <t>5460.11 · Waterville B &amp; O</t>
  </si>
  <si>
    <t>5460.12 · Mansfield B &amp; O</t>
  </si>
  <si>
    <t>5460.13 · Recycle B&amp;O Tax</t>
  </si>
  <si>
    <t>5460.15 · George B&amp;O</t>
  </si>
  <si>
    <t>5460.2 · B&amp;O Tax Wilson Creek</t>
  </si>
  <si>
    <t>5485.01 · Grant Co. Utiltiy Tax</t>
  </si>
  <si>
    <t>5485.08 · Med Waste Util Tax Expense</t>
  </si>
  <si>
    <t>5490.00 · Other Taxes and Licenses</t>
  </si>
  <si>
    <t>5495.01 · Grant Co. Business Licenses</t>
  </si>
  <si>
    <t>5495.04 · Royal City Business License</t>
  </si>
  <si>
    <t>5528.10 · Odessa Bond</t>
  </si>
  <si>
    <t>5529.00 · Liability and Propety Damage</t>
  </si>
  <si>
    <t>5530.00 · Workmen's Comp - L &amp; I</t>
  </si>
  <si>
    <t>5531.02 · Othello Bond Expense</t>
  </si>
  <si>
    <t>5532.03 · Mattawa Bond Expense</t>
  </si>
  <si>
    <t>5533.04 · Royal City Bond Expense</t>
  </si>
  <si>
    <t>5534.05 · Warden Bond Expense</t>
  </si>
  <si>
    <t>5536.07 · Ephrata Bond Expense</t>
  </si>
  <si>
    <t>5537.09 · Quincy Bond Expense</t>
  </si>
  <si>
    <t>5538.11 · Waterville Bond Expense</t>
  </si>
  <si>
    <t>5539.12 · Mansfield Bond Expense</t>
  </si>
  <si>
    <t>5540.00 · Fire, Theft and Collision</t>
  </si>
  <si>
    <t>5542.14 · Lind Bond Expense</t>
  </si>
  <si>
    <t>5543.16 · Soap lake Bond</t>
  </si>
  <si>
    <t>5501.00 · Insurance &amp; Bond Expense - Other</t>
  </si>
  <si>
    <t>5400.00 · Tax &amp; License Expense - Other</t>
  </si>
  <si>
    <t>5460.14 · Lind B&amp;O</t>
  </si>
  <si>
    <t>5460.17 · Moses Lake B&amp;O Tax</t>
  </si>
  <si>
    <t>5460.18 · Soap Lake B&amp;O Tax</t>
  </si>
  <si>
    <t>5551.00 · Interest Expense</t>
  </si>
  <si>
    <t>5602 · Employee Welfare 1</t>
  </si>
  <si>
    <t>5601.00 · Employees Welfare - Other</t>
  </si>
  <si>
    <t>5652.00 · Office Expenses</t>
  </si>
  <si>
    <t>5651.00 · Office Expense - Other</t>
  </si>
  <si>
    <t>5682.06 · Transfer Station Admin Fees</t>
  </si>
  <si>
    <t>5702.00 · Radios &amp; Utilities</t>
  </si>
  <si>
    <t>5703.06 · Radio &amp; Utilities</t>
  </si>
  <si>
    <t>5704.00 · Phone Utilities Expense</t>
  </si>
  <si>
    <t>5701.00 · Phone, Utilities, &amp; Radio - Other</t>
  </si>
  <si>
    <t>5752.00 · Advertising &amp; Promotion</t>
  </si>
  <si>
    <t>5751.00 · Advertising &amp; Promotions - Other</t>
  </si>
  <si>
    <t>5801.00 · Legal &amp; Accounting</t>
  </si>
  <si>
    <t>5852.00 · Administration Fees</t>
  </si>
  <si>
    <t>5902.00 · Subscriptions &amp; Dues</t>
  </si>
  <si>
    <t>5901.00 · Dues &amp; Subscriptions - Other</t>
  </si>
  <si>
    <t>5952.01 · Uncollectable Rev-Grant Co</t>
  </si>
  <si>
    <t>5952.16 · Uncollectable Rev-Adams Co</t>
  </si>
  <si>
    <t>5997.00 · Bad Debt Recap</t>
  </si>
  <si>
    <t>5998.01 · Bad Debt Recap-Grant Co.</t>
  </si>
  <si>
    <t>5999.16 · Bad Debt Recap-Adams Co.</t>
  </si>
  <si>
    <t>6001.00 · Bank Fees</t>
  </si>
  <si>
    <t>6052.00 · Regulatory Expense</t>
  </si>
  <si>
    <t>6102.00 · Donation</t>
  </si>
  <si>
    <t>6570 · Small Equipment Purchase</t>
  </si>
  <si>
    <t>66900 · Reconciliation Discrepancies</t>
  </si>
  <si>
    <t>7001.00 · Non-Deductible Expense</t>
  </si>
  <si>
    <t>7010.00 · Other General Expense</t>
  </si>
  <si>
    <t>7020 · Transfer Station fire expense</t>
  </si>
  <si>
    <t>4999.13 · Recycling Purchase Expense</t>
  </si>
  <si>
    <t>TRANSFER/RECYCLE</t>
  </si>
  <si>
    <t>Kenneth C. Bellows</t>
  </si>
  <si>
    <t>Darren M. Bryant</t>
  </si>
  <si>
    <t>Anthony E. Bunney</t>
  </si>
  <si>
    <t>Bailey B. Bunney</t>
  </si>
  <si>
    <t>Cameron O. Bunney</t>
  </si>
  <si>
    <t>Mario H. Cruz Jr</t>
  </si>
  <si>
    <t>Christopher M. Dahl</t>
  </si>
  <si>
    <t>Jeremy B. Dahl</t>
  </si>
  <si>
    <t>Autumn A. Dietrich</t>
  </si>
  <si>
    <t>Michael R. Dietrich</t>
  </si>
  <si>
    <t>Corey J. Everett</t>
  </si>
  <si>
    <t>Julie C. Farmer</t>
  </si>
  <si>
    <t>James I. Fleishman</t>
  </si>
  <si>
    <t>Nathanael James Fleishman</t>
  </si>
  <si>
    <t>William M. Fortner</t>
  </si>
  <si>
    <t>Samantha Jo Gausin</t>
  </si>
  <si>
    <t>Emmanuel Gonzalez Castaneda</t>
  </si>
  <si>
    <t>Jeffrey E. Graves</t>
  </si>
  <si>
    <t>Clint A. Ho-Gland</t>
  </si>
  <si>
    <t>Patrick A. Hoyt</t>
  </si>
  <si>
    <t>Michael P. Hughes</t>
  </si>
  <si>
    <t>Melton R. Langendorf</t>
  </si>
  <si>
    <t>William J. Langendorf</t>
  </si>
  <si>
    <t>Aaron K. Larsen</t>
  </si>
  <si>
    <t>Joseph E. Mack Jr</t>
  </si>
  <si>
    <t>Lester R. Mather</t>
  </si>
  <si>
    <t>Josh M. Nations</t>
  </si>
  <si>
    <t>Adan Nava</t>
  </si>
  <si>
    <t>Mark W. Perry</t>
  </si>
  <si>
    <t>Andrew A. Piper</t>
  </si>
  <si>
    <t>Nicholas L. Piper</t>
  </si>
  <si>
    <t>Jansen L. Quick</t>
  </si>
  <si>
    <t>Jason Joel Ray</t>
  </si>
  <si>
    <t>Kevin T. Ray</t>
  </si>
  <si>
    <t>Jason E. Reed</t>
  </si>
  <si>
    <t>Richard C. Schmidt</t>
  </si>
  <si>
    <t>Brent E. Tilson</t>
  </si>
  <si>
    <t>Jerry Thomas Trumble</t>
  </si>
  <si>
    <t>Macayla J. Tudor</t>
  </si>
  <si>
    <t>Dennys Valverde</t>
  </si>
  <si>
    <t>Katherine M. Wash</t>
  </si>
  <si>
    <t>Mark D. Wash</t>
  </si>
  <si>
    <t>Scott R. Webb</t>
  </si>
  <si>
    <t>Anthony J. Williamson</t>
  </si>
  <si>
    <t>Nathan F. Winter</t>
  </si>
  <si>
    <t>Debra L. Wyman</t>
  </si>
  <si>
    <t>Kyle D. Zeigler</t>
  </si>
  <si>
    <t>DT</t>
  </si>
  <si>
    <t>Consolidated Disposal Services, Inc.</t>
  </si>
  <si>
    <t>01/01/21-12/31/21</t>
  </si>
  <si>
    <t>Repairs - Truck #502</t>
  </si>
  <si>
    <t>Differential Repair - Truck #479</t>
  </si>
  <si>
    <t>Transmission Repair - Truck #491</t>
  </si>
  <si>
    <t>Injector and Core Repairs - Truck #482</t>
  </si>
  <si>
    <t>PTO Repairs - Truck #475</t>
  </si>
  <si>
    <t>Repairs - Truck #475</t>
  </si>
  <si>
    <t>Engine Rebuild - Truck #488</t>
  </si>
  <si>
    <t>Engine Rebuild - Truck #482</t>
  </si>
  <si>
    <t>Engine Rebuild - Truck #477</t>
  </si>
  <si>
    <t>Amrep Front Loader - Truck #515</t>
  </si>
  <si>
    <t>2021 Mack LR64 - Truck #515</t>
  </si>
  <si>
    <t>Amrep Front Loader - Truck #514</t>
  </si>
  <si>
    <t>2021 Mack LR64 - Truck #514</t>
  </si>
  <si>
    <t>2021 Amrep Side Loader - Truck #513</t>
  </si>
  <si>
    <t>2021 Mack LR64R - Truck #513</t>
  </si>
  <si>
    <t>2021 Chevy Silverado 5500 #8791</t>
  </si>
  <si>
    <t>Engine Cleaning - Need Truck Number</t>
  </si>
  <si>
    <t>Truck #456 - 2020 GMC Sierra 1500 #419826</t>
  </si>
  <si>
    <t>Truck #509 - Mack GR64F #17996</t>
  </si>
  <si>
    <t>2019 Chevy Silverado #480</t>
  </si>
  <si>
    <t>2019 Chevy Silverado 4500 Truck #512</t>
  </si>
  <si>
    <t>2005 Crane Carrier Labrie Read Loader #444</t>
  </si>
  <si>
    <t>2020 Amrep Drob Box Body Truck #509</t>
  </si>
  <si>
    <t>2020 Mack Anthem Long Haul Truck #510</t>
  </si>
  <si>
    <t>Truck #511 Body</t>
  </si>
  <si>
    <t>2020 Mack FEL Truck #511</t>
  </si>
  <si>
    <t xml:space="preserve">Truck #508 Body </t>
  </si>
  <si>
    <t>Truck #507 Body</t>
  </si>
  <si>
    <t>Truck #504 Body</t>
  </si>
  <si>
    <t>Truck #504 - Mack LR 64 #002244</t>
  </si>
  <si>
    <t>2008 Ford F450 #02760</t>
  </si>
  <si>
    <t>2003 Ford F550 #28962</t>
  </si>
  <si>
    <t>Truck #508 Mack LR64 #002779</t>
  </si>
  <si>
    <t>Truck #507 - Mack LR64 #002778</t>
  </si>
  <si>
    <t>Chevrolet Silverado #851542</t>
  </si>
  <si>
    <t>Truck #503</t>
  </si>
  <si>
    <t>Truck #502</t>
  </si>
  <si>
    <t>GMC Pickups</t>
  </si>
  <si>
    <t>2017 Rolloff</t>
  </si>
  <si>
    <t>2017 Mack/Dadeee SL</t>
  </si>
  <si>
    <t xml:space="preserve">2017 Mack  </t>
  </si>
  <si>
    <t>Loader</t>
  </si>
  <si>
    <t>2016 Mack Long Haul</t>
  </si>
  <si>
    <t>2016 LEU</t>
  </si>
  <si>
    <t>Mack FL</t>
  </si>
  <si>
    <t>Curotto Can</t>
  </si>
  <si>
    <t>Pete/FL</t>
  </si>
  <si>
    <t>Pete/SL</t>
  </si>
  <si>
    <t>Svc Trks</t>
  </si>
  <si>
    <t>Truck</t>
  </si>
  <si>
    <t>09 Chevy</t>
  </si>
  <si>
    <t>06 Truck</t>
  </si>
  <si>
    <t>Service Cars</t>
  </si>
  <si>
    <t>Chassis</t>
  </si>
  <si>
    <t>Chassis/Packer</t>
  </si>
  <si>
    <t>Heil 7000</t>
  </si>
  <si>
    <t>Transfer Trailer</t>
  </si>
  <si>
    <t>Pete/Packer</t>
  </si>
  <si>
    <t>Packer</t>
  </si>
  <si>
    <t xml:space="preserve">Containers                                   </t>
  </si>
  <si>
    <t xml:space="preserve">Recycling Boxes                              </t>
  </si>
  <si>
    <t xml:space="preserve">4yd, 6yd, 8yd Containers                     </t>
  </si>
  <si>
    <t xml:space="preserve">8 yd Containers                              </t>
  </si>
  <si>
    <t xml:space="preserve">4 yd Containers                              </t>
  </si>
  <si>
    <t xml:space="preserve">3 yd Containers                              </t>
  </si>
  <si>
    <t xml:space="preserve">40 yd Containers                             </t>
  </si>
  <si>
    <t xml:space="preserve">6yd Containers                               </t>
  </si>
  <si>
    <t xml:space="preserve">2017 Containers                              </t>
  </si>
  <si>
    <t xml:space="preserve">20 40 Yard Roll Off Containers               </t>
  </si>
  <si>
    <t xml:space="preserve">Bldg                                         </t>
  </si>
  <si>
    <t xml:space="preserve">Impr                                         </t>
  </si>
  <si>
    <t xml:space="preserve">Transfer Station                             </t>
  </si>
  <si>
    <t xml:space="preserve">Wash Bay Door Repair                         </t>
  </si>
  <si>
    <t xml:space="preserve">Parking Lot Chip Seal                        </t>
  </si>
  <si>
    <t xml:space="preserve">Land                                         </t>
  </si>
  <si>
    <t xml:space="preserve">Recycling Equip                              </t>
  </si>
  <si>
    <t xml:space="preserve">OFC EQ                                       </t>
  </si>
  <si>
    <t xml:space="preserve">Shop Equipment                               </t>
  </si>
  <si>
    <t xml:space="preserve">Forklift                                     </t>
  </si>
  <si>
    <t xml:space="preserve">20 ton car jacks                             </t>
  </si>
  <si>
    <t xml:space="preserve">Grizzley 215 SW Base Machine                 </t>
  </si>
  <si>
    <t xml:space="preserve">Scissor Lift                                 </t>
  </si>
  <si>
    <t xml:space="preserve">Big Ass Fans                                 </t>
  </si>
  <si>
    <t xml:space="preserve">Transfer Station Scales                      </t>
  </si>
  <si>
    <t xml:space="preserve">Oil heater for welding shop                  </t>
  </si>
  <si>
    <t xml:space="preserve">Welder/Compressor                            </t>
  </si>
  <si>
    <t xml:space="preserve">Baler Repair                                 </t>
  </si>
  <si>
    <t xml:space="preserve">Loader Wheel/Tires                           </t>
  </si>
  <si>
    <t xml:space="preserve">Cub Cadet Lawn Mower                         </t>
  </si>
  <si>
    <t xml:space="preserve">Copier                                       </t>
  </si>
  <si>
    <t xml:space="preserve">Security Cameras and Alarm                   </t>
  </si>
  <si>
    <t xml:space="preserve">Fire System                                  </t>
  </si>
  <si>
    <t xml:space="preserve">Transfer Station Electrical                  </t>
  </si>
  <si>
    <t xml:space="preserve">Fire System Repairs                          </t>
  </si>
  <si>
    <t xml:space="preserve">Transfer Trailer                             </t>
  </si>
  <si>
    <t>Heil Odessy Packer</t>
  </si>
  <si>
    <t>Trailer - Need Identifying Info</t>
  </si>
  <si>
    <t>Book/Tax Difference</t>
  </si>
  <si>
    <t>Loan Fees #51020065</t>
  </si>
  <si>
    <t>M.L.</t>
  </si>
  <si>
    <t>Quincy Valley</t>
  </si>
  <si>
    <t>AWB</t>
  </si>
  <si>
    <t>Gasoline</t>
  </si>
  <si>
    <t>Date</t>
  </si>
  <si>
    <t>20 40 Yard Drop Box Containers</t>
  </si>
  <si>
    <t>2023 Mack LR64 Truck #517</t>
  </si>
  <si>
    <t>2023 Mack GR64F Truck #516</t>
  </si>
  <si>
    <t>Residential Garbage Revenue - Regulated</t>
  </si>
  <si>
    <t>Residential Garbage Revenue  - Non-regulated</t>
  </si>
  <si>
    <t>Commercial Garbage Revenue - Regulated</t>
  </si>
  <si>
    <t>Commercial Garbage Revenue - Non-regulated</t>
  </si>
  <si>
    <t>Dropbox/Compactor Revenue - Regulated</t>
  </si>
  <si>
    <t>Dropbox/Compactor Revenue - Non-regulated</t>
  </si>
  <si>
    <t>Disposal Pass-Thru Revenue - Regulated</t>
  </si>
  <si>
    <t>Disposal Pass-Thru Revenue - Non-regulated</t>
  </si>
  <si>
    <t>Medical Waste Revenue - Regulated</t>
  </si>
  <si>
    <t>Misc Garbage Revenue - Regulated</t>
  </si>
  <si>
    <t>Misc Garbage Revenue - Non-regulated</t>
  </si>
  <si>
    <t>Recycling Purchase Expense</t>
  </si>
  <si>
    <t>Repairs and Maintenance</t>
  </si>
  <si>
    <t>Medical Waste Disposal</t>
  </si>
  <si>
    <t>Transfer Station Expenses</t>
  </si>
  <si>
    <t>Tires and Tubes</t>
  </si>
  <si>
    <t>Labor</t>
  </si>
  <si>
    <t>Lease Expense and Rent - Other</t>
  </si>
  <si>
    <t>Real Estate and Property Taxes</t>
  </si>
  <si>
    <t>Dues and Subscriptions</t>
  </si>
  <si>
    <t>Non-deductible Expenses</t>
  </si>
  <si>
    <t>Small Equipment Purchases</t>
  </si>
  <si>
    <t>Gain on Sale of Asset(s)</t>
  </si>
  <si>
    <t>Radio, Phone and Utilities Expense</t>
  </si>
  <si>
    <t>Office Expenses</t>
  </si>
  <si>
    <t>Administration Fees</t>
  </si>
  <si>
    <t>Bond Expense</t>
  </si>
  <si>
    <t>Insurance and Bond Expense - Other</t>
  </si>
  <si>
    <t>B&amp;O Taxes</t>
  </si>
  <si>
    <t>Tax and License Expense - Other</t>
  </si>
  <si>
    <t>Liability and Property Damage</t>
  </si>
  <si>
    <t>Vehicle License and Registration</t>
  </si>
  <si>
    <t>Other Taxes and Licenses</t>
  </si>
  <si>
    <t>Utility Tax</t>
  </si>
  <si>
    <t>Employee Welfare</t>
  </si>
  <si>
    <t>Uncollectible Revenues</t>
  </si>
  <si>
    <t>Reconciliation Descrepancies</t>
  </si>
  <si>
    <t>Business Licenses</t>
  </si>
  <si>
    <t>Regulatory Expense</t>
  </si>
  <si>
    <t>Other General Expense</t>
  </si>
  <si>
    <t>Residential Garbage - Regulated</t>
  </si>
  <si>
    <t>Residential Garbage - Non-regulated</t>
  </si>
  <si>
    <t>Commercial Garbage - Regulated</t>
  </si>
  <si>
    <t>Commercial Garbage - Non-regulated</t>
  </si>
  <si>
    <t>Dropbox/Compactor - Regulated</t>
  </si>
  <si>
    <t>Dropbox/Compactor - Non-regulated</t>
  </si>
  <si>
    <t>Disposal Pass-Thru - Regulated</t>
  </si>
  <si>
    <t>Disposal Pass-Thru - Non-regulated</t>
  </si>
  <si>
    <t>Transfer Station - Regulated</t>
  </si>
  <si>
    <t>Yard Waste Recycling - Regulated</t>
  </si>
  <si>
    <t>Yard Waste Recycling - Non-regulated</t>
  </si>
  <si>
    <t>Medical Waste - Regulated</t>
  </si>
  <si>
    <t>Misc Garbage - Regulated</t>
  </si>
  <si>
    <t>Misc Garbage - Non-regulated</t>
  </si>
  <si>
    <t>Medical Waste - Non-regulated</t>
  </si>
  <si>
    <t>Percentage</t>
  </si>
  <si>
    <t>January 2021</t>
  </si>
  <si>
    <t>February 2021</t>
  </si>
  <si>
    <t>March 2021</t>
  </si>
  <si>
    <t>July 2021</t>
  </si>
  <si>
    <t>August 2021</t>
  </si>
  <si>
    <t>September 2021</t>
  </si>
  <si>
    <t>October 2021</t>
  </si>
  <si>
    <t>November 2021</t>
  </si>
  <si>
    <t>December 2021</t>
  </si>
  <si>
    <t>April 2021</t>
  </si>
  <si>
    <t>May 2021</t>
  </si>
  <si>
    <t>June 2021</t>
  </si>
  <si>
    <t>agrees to comp</t>
  </si>
  <si>
    <t>Transfer Station Revenue - Non-regulated</t>
  </si>
  <si>
    <t>Yard Waste &amp; Recycling Revenue - Non-regulated</t>
  </si>
  <si>
    <t>Non-regulated</t>
  </si>
  <si>
    <t>Remove</t>
  </si>
  <si>
    <t>Interest</t>
  </si>
  <si>
    <t>Costs</t>
  </si>
  <si>
    <t>Lease &amp; Rent Expense</t>
  </si>
  <si>
    <t>Affiliated transactions consist of the following as of December 31, 2021:</t>
  </si>
  <si>
    <t>WORKPAPER 5 - CAPITAL STRUCTURE/COST OF DEBT/ROE ANALYSIS, Continued</t>
  </si>
  <si>
    <t>Residential &amp; Commercial Tons</t>
  </si>
  <si>
    <t>Adams County</t>
  </si>
  <si>
    <t>Disposal Schedule for Tons @ Various Landfills</t>
  </si>
  <si>
    <t>Grant County</t>
  </si>
  <si>
    <t>This entry adjusts for actual bad debt expense. See WP-8.</t>
  </si>
  <si>
    <t>This entry removes interest expense.</t>
  </si>
  <si>
    <t>Fuel</t>
  </si>
  <si>
    <t>Fees</t>
  </si>
  <si>
    <t>WORKPAPER 10 - RATE CASE COSTS</t>
  </si>
  <si>
    <t>WORKPAPER 4 - DUES AND SUBSCRIPTIONS ANALYSIS</t>
  </si>
  <si>
    <t>WORKPAPER 7 - FUEL ANALYSIS</t>
  </si>
  <si>
    <t>WORKPAPER 8 - BAD DEBTS</t>
  </si>
  <si>
    <t>WORKPAPER 9 - DISPOSAL FEES</t>
  </si>
  <si>
    <t>Restate</t>
  </si>
  <si>
    <t>Bad Debt to</t>
  </si>
  <si>
    <t>Record</t>
  </si>
  <si>
    <t>The estimated cost of the rate case, amortized over 3 years, is recorded. See WP-10.</t>
  </si>
  <si>
    <t>Rent paid to D &amp; D Enterprises for real property used by Consolidated Disposal Services, Inc.</t>
  </si>
  <si>
    <t>Wages - Drivers</t>
  </si>
  <si>
    <t>Wages - Mechanics</t>
  </si>
  <si>
    <t>Wages - Office</t>
  </si>
  <si>
    <t>Salary - Officer</t>
  </si>
  <si>
    <t>Wages - Transfer/Recycle</t>
  </si>
  <si>
    <t>01/01/21 - 12/31/21</t>
  </si>
  <si>
    <t>Full Name - Text - (required)</t>
  </si>
  <si>
    <t xml:space="preserve"> Number</t>
  </si>
  <si>
    <t>Driver Type</t>
  </si>
  <si>
    <t>Monday</t>
  </si>
  <si>
    <t>Tuesday</t>
  </si>
  <si>
    <t>Wednesday</t>
  </si>
  <si>
    <t>Thursday</t>
  </si>
  <si>
    <t>Friday</t>
  </si>
  <si>
    <t>Fran/Cont</t>
  </si>
  <si>
    <t>Ken Bellows</t>
  </si>
  <si>
    <t>0438</t>
  </si>
  <si>
    <t>Route</t>
  </si>
  <si>
    <t>Fr</t>
  </si>
  <si>
    <t>Cont</t>
  </si>
  <si>
    <t>50/50</t>
  </si>
  <si>
    <t>60 % Franchise / 40 % Contract</t>
  </si>
  <si>
    <t>Mario Cruz</t>
  </si>
  <si>
    <t>0422</t>
  </si>
  <si>
    <t>Recycle</t>
  </si>
  <si>
    <t>20% Franchise/40% Recycle/40% Contract</t>
  </si>
  <si>
    <t>Chris Dahl</t>
  </si>
  <si>
    <t>0423</t>
  </si>
  <si>
    <t>Dropbox</t>
  </si>
  <si>
    <t>Corey Everett</t>
  </si>
  <si>
    <t>0402</t>
  </si>
  <si>
    <t xml:space="preserve"> - - - - </t>
  </si>
  <si>
    <t>50% Franchise / 50% Contract</t>
  </si>
  <si>
    <t>Jim Fleishman</t>
  </si>
  <si>
    <t>0409</t>
  </si>
  <si>
    <t>60/40</t>
  </si>
  <si>
    <t>80/20</t>
  </si>
  <si>
    <t>25% Franchise/10% Recycle/65% Contract</t>
  </si>
  <si>
    <t>Bill Fortner</t>
  </si>
  <si>
    <t>0419</t>
  </si>
  <si>
    <t>Back up/Box</t>
  </si>
  <si>
    <t>Emmanuel Casteneda Gonzales</t>
  </si>
  <si>
    <t>0406</t>
  </si>
  <si>
    <t>80% Franchise / 20% Contract</t>
  </si>
  <si>
    <t>Jeffery Graves</t>
  </si>
  <si>
    <t>0405</t>
  </si>
  <si>
    <t>100% Franchise</t>
  </si>
  <si>
    <t>Liliana Hernandez</t>
  </si>
  <si>
    <t>418</t>
  </si>
  <si>
    <t>60% Franchise / 40 % Contract</t>
  </si>
  <si>
    <t>Clint H0-Gland</t>
  </si>
  <si>
    <t>0417</t>
  </si>
  <si>
    <t>Route/Box</t>
  </si>
  <si>
    <t>40/40 with  20% to Recycle</t>
  </si>
  <si>
    <t>Patrick Hoyt</t>
  </si>
  <si>
    <t>0408</t>
  </si>
  <si>
    <t>70% Franchise/30% Contract</t>
  </si>
  <si>
    <t>Michael Hughes</t>
  </si>
  <si>
    <t>0404</t>
  </si>
  <si>
    <t>40% Franchise/60% Contract</t>
  </si>
  <si>
    <t>Rusty Langendorf</t>
  </si>
  <si>
    <t>0414</t>
  </si>
  <si>
    <t>Mechanic</t>
  </si>
  <si>
    <t>Joe Mack</t>
  </si>
  <si>
    <t>0416</t>
  </si>
  <si>
    <t>50/50R</t>
  </si>
  <si>
    <t>50% Franchise/30% Recycle/20% Contract</t>
  </si>
  <si>
    <t>Lester Mather</t>
  </si>
  <si>
    <t>0436</t>
  </si>
  <si>
    <t xml:space="preserve">Transfer </t>
  </si>
  <si>
    <t>Josh Nations</t>
  </si>
  <si>
    <t>0435</t>
  </si>
  <si>
    <t>0415</t>
  </si>
  <si>
    <t>Mark Perry</t>
  </si>
  <si>
    <t>0426</t>
  </si>
  <si>
    <t>Jason Ray</t>
  </si>
  <si>
    <t>410</t>
  </si>
  <si>
    <t>Kevin Ray</t>
  </si>
  <si>
    <t>0407</t>
  </si>
  <si>
    <t>20% Franchise/80% Contract</t>
  </si>
  <si>
    <t>Jason Reed</t>
  </si>
  <si>
    <t>0437</t>
  </si>
  <si>
    <t>Brent Tilson</t>
  </si>
  <si>
    <t>0429</t>
  </si>
  <si>
    <t>0420</t>
  </si>
  <si>
    <t>Scott Webb</t>
  </si>
  <si>
    <t>0411</t>
  </si>
  <si>
    <t>100% Contract</t>
  </si>
  <si>
    <t>Tony Williamson</t>
  </si>
  <si>
    <t>0413</t>
  </si>
  <si>
    <t>80% Fr</t>
  </si>
  <si>
    <t>50% Cont</t>
  </si>
  <si>
    <t>Nathan Winter</t>
  </si>
  <si>
    <t>0425</t>
  </si>
  <si>
    <t>N/A</t>
  </si>
  <si>
    <t>Dental - Delta</t>
  </si>
  <si>
    <t>Vision - VSP</t>
  </si>
  <si>
    <t>Health - Premera</t>
  </si>
  <si>
    <t>Anthony J Bunney</t>
  </si>
  <si>
    <t>Vernon J Chipperfield</t>
  </si>
  <si>
    <t>Elizabeth L Hernandez</t>
  </si>
  <si>
    <t>01/01/2021 to 12/31/2021</t>
  </si>
  <si>
    <t>01/01/22 - 12/31/22</t>
  </si>
  <si>
    <t>AVG - Diesel</t>
  </si>
  <si>
    <t>AVG - Gas</t>
  </si>
  <si>
    <t>Diesel</t>
  </si>
  <si>
    <t>Gas</t>
  </si>
  <si>
    <t>Adjusted fuel expense to reflect price changes (large increases) in diesel and gasoline. See WP-7.</t>
  </si>
  <si>
    <t>401k</t>
  </si>
  <si>
    <t>H.S.A.</t>
  </si>
  <si>
    <t>A payroll analysis is done at period end so an adjustment has been done to reclass payroll.</t>
  </si>
  <si>
    <t>Updated tax rates with 2023 information</t>
  </si>
  <si>
    <t>B</t>
  </si>
  <si>
    <t>2023 Western Trailer #000138 - NEED SALES TAX</t>
  </si>
  <si>
    <t>2024 Western Trailer #000139 - NEED SALES TAX</t>
  </si>
  <si>
    <t>Buildings and Improvements</t>
  </si>
  <si>
    <t>Water Meter Line</t>
  </si>
  <si>
    <t>Driveway Access</t>
  </si>
  <si>
    <t>Electrical Inst.</t>
  </si>
  <si>
    <t>Plas &amp; Eng. Bldg.</t>
  </si>
  <si>
    <t>Electrical Conduits</t>
  </si>
  <si>
    <t>Elec Inst.</t>
  </si>
  <si>
    <t>Access Road</t>
  </si>
  <si>
    <t>Crushed Rock</t>
  </si>
  <si>
    <t>Electrical Access Line</t>
  </si>
  <si>
    <t>Sewer</t>
  </si>
  <si>
    <t>Land clearing</t>
  </si>
  <si>
    <t>Sewer hook up</t>
  </si>
  <si>
    <t>New Building</t>
  </si>
  <si>
    <t>Sign</t>
  </si>
  <si>
    <t>Repair Building</t>
  </si>
  <si>
    <t>Building</t>
  </si>
  <si>
    <t>Building Impr.</t>
  </si>
  <si>
    <t>Fence</t>
  </si>
  <si>
    <t xml:space="preserve">Concrete </t>
  </si>
  <si>
    <t>Well</t>
  </si>
  <si>
    <t>Subtotal Furniture and Fixtures</t>
  </si>
  <si>
    <t>per FACS at end of 2021</t>
  </si>
  <si>
    <t>Less "previous years" in FACS</t>
  </si>
  <si>
    <t>Plus assets from prior rate case in service pre 2007</t>
  </si>
  <si>
    <t>Plus 2021 disposals not in FACS total at end of 2021</t>
  </si>
  <si>
    <t>Rate case asset cost agrees to FACS at end of 2021</t>
  </si>
  <si>
    <t>Odessa Res</t>
  </si>
  <si>
    <t>Regulated percentage</t>
  </si>
  <si>
    <t>regulated percentage of drivers</t>
  </si>
  <si>
    <t>customers</t>
  </si>
  <si>
    <t>regulated percentage of customers</t>
  </si>
  <si>
    <t>using revenue for allocation</t>
  </si>
  <si>
    <t>non reg</t>
  </si>
  <si>
    <t>all regulated</t>
  </si>
  <si>
    <t>Bad debt</t>
  </si>
  <si>
    <t xml:space="preserve">Uncollectible </t>
  </si>
  <si>
    <t>Odessa Comm</t>
  </si>
  <si>
    <t>M&amp;W Comm</t>
  </si>
  <si>
    <t>M&amp;W Res</t>
  </si>
  <si>
    <t>WM rate</t>
  </si>
  <si>
    <t>Grant County Res</t>
  </si>
  <si>
    <t>Grant County Comm</t>
  </si>
  <si>
    <t>No increase 1/1/23 per web site</t>
  </si>
  <si>
    <t>Grant County Drop Box</t>
  </si>
  <si>
    <t>Adams County Drop Box</t>
  </si>
  <si>
    <t>Adams County Comm</t>
  </si>
  <si>
    <t>Adams County Res</t>
  </si>
  <si>
    <t>Odessa rate</t>
  </si>
  <si>
    <t>Grant rate</t>
  </si>
  <si>
    <t>Adams rate</t>
  </si>
  <si>
    <t>Adams</t>
  </si>
  <si>
    <t>Grant</t>
  </si>
  <si>
    <t>proof Adams</t>
  </si>
  <si>
    <t>total</t>
  </si>
  <si>
    <t>tb</t>
  </si>
  <si>
    <t>proof grant</t>
  </si>
  <si>
    <t>very close!</t>
  </si>
  <si>
    <t xml:space="preserve">Regulated tons:  </t>
  </si>
  <si>
    <t xml:space="preserve"> Regulated Drop Box Tons:  </t>
  </si>
  <si>
    <t>Non-Regulated</t>
  </si>
  <si>
    <t>Regulated</t>
  </si>
  <si>
    <t>Reclass 1</t>
  </si>
  <si>
    <t>Pass through Dispoal</t>
  </si>
  <si>
    <t>drop box</t>
  </si>
  <si>
    <t>comm/res</t>
  </si>
  <si>
    <t>Amrep Body - Truck #517</t>
  </si>
  <si>
    <t>Amrep Body - Truck #516</t>
  </si>
  <si>
    <t>Salvage Value Catch Up</t>
  </si>
  <si>
    <t>Loan Fees #72606223</t>
  </si>
  <si>
    <t>Salvage Value Assets from Prior Case</t>
  </si>
  <si>
    <t>Plus salvage value catch up not in FACS</t>
  </si>
  <si>
    <t>Depreciation per the financial statements differs from the allowable depreciation for WUTC purposes. This adjustment restates the depreciation. See WP-1.</t>
  </si>
  <si>
    <t>Monthly allocated depreciation of asset purchased after test year</t>
  </si>
  <si>
    <t>12 Months OT</t>
  </si>
  <si>
    <t>12 Months Reg</t>
  </si>
  <si>
    <t>Garrett C Wood</t>
  </si>
  <si>
    <t>Joel S Johnson</t>
  </si>
  <si>
    <t>Transfer Station</t>
  </si>
  <si>
    <t>transfer</t>
  </si>
  <si>
    <t>Jan, Feb 21</t>
  </si>
  <si>
    <t>Mar 21-current</t>
  </si>
  <si>
    <t>per ton</t>
  </si>
  <si>
    <t>Jan, Feb tons</t>
  </si>
  <si>
    <t>Comm/Res</t>
  </si>
  <si>
    <t>Disposals fees increased March 1 of test year</t>
  </si>
  <si>
    <t>total tons</t>
  </si>
  <si>
    <t>total outage pass</t>
  </si>
  <si>
    <t>regulated disp</t>
  </si>
  <si>
    <t>Disposal pass through</t>
  </si>
  <si>
    <t>Disposal Pass-Thru Revenue - Non-regulated Transfer station and others</t>
  </si>
  <si>
    <t>If employee was hired during test year or terminated prior to forecast year, recorded hire/termination date as a comment in column G</t>
  </si>
  <si>
    <t>x</t>
  </si>
  <si>
    <t>Other mis</t>
  </si>
  <si>
    <t>Additives</t>
  </si>
  <si>
    <t>Cenex</t>
  </si>
  <si>
    <t>propane</t>
  </si>
  <si>
    <t>lube</t>
  </si>
  <si>
    <t>other repair</t>
  </si>
  <si>
    <t>agrees to g/l</t>
  </si>
  <si>
    <t>proof</t>
  </si>
  <si>
    <t>Other fuel and oil account</t>
  </si>
  <si>
    <t>Regulated Portion</t>
  </si>
  <si>
    <t>Total forecasted increase</t>
  </si>
  <si>
    <t>For the Twelve Months Ended December 31, 2021 Historical and March 31, 2024 Forecasted</t>
  </si>
  <si>
    <t>Recycle 2102-04</t>
  </si>
  <si>
    <t>Collection - 4305-18</t>
  </si>
  <si>
    <t>Clerical - 4904-00</t>
  </si>
  <si>
    <t>Amount of Restate</t>
  </si>
  <si>
    <t>Remove Non-Regulated</t>
  </si>
  <si>
    <t>Regulated Depreciation</t>
  </si>
  <si>
    <t>Total Depreciation</t>
  </si>
  <si>
    <t>Monthly allocated amortization of asset purchased after test year</t>
  </si>
  <si>
    <t>1/1/2023 Rate</t>
  </si>
  <si>
    <t xml:space="preserve">Forecast </t>
  </si>
  <si>
    <t xml:space="preserve">Year </t>
  </si>
  <si>
    <t>Transfer Pay</t>
  </si>
  <si>
    <t>Payroll is adjusted to reflect payroll increases, staff attaining benefits, and increases in medical costs, employment security and labor and industry rates in effect as of April 1, 2023.</t>
  </si>
  <si>
    <t>see WP2 pg 2</t>
  </si>
  <si>
    <t>Payroll Tax</t>
  </si>
  <si>
    <t>dbl check</t>
  </si>
  <si>
    <t>drivers</t>
  </si>
  <si>
    <t>3 Adams</t>
  </si>
  <si>
    <t>2 Transfer station</t>
  </si>
  <si>
    <t>13 other Grant county drivers</t>
  </si>
  <si>
    <t>5 Drivers that go to transfer station for Grant</t>
  </si>
  <si>
    <t>payroll</t>
  </si>
  <si>
    <t>pass</t>
  </si>
  <si>
    <t>Factor</t>
  </si>
  <si>
    <t>unallowed</t>
  </si>
  <si>
    <t>disposal tons</t>
  </si>
  <si>
    <t>revenue</t>
  </si>
  <si>
    <t>Regulated tons to ts by percentage - Grant County</t>
  </si>
  <si>
    <t>Manny</t>
  </si>
  <si>
    <t>Jeff</t>
  </si>
  <si>
    <t>Brent</t>
  </si>
  <si>
    <t>Clint</t>
  </si>
  <si>
    <t>total Grant County drivers</t>
  </si>
  <si>
    <t>percent reg</t>
  </si>
  <si>
    <t>Reg Tons</t>
  </si>
  <si>
    <t>Total Tons</t>
  </si>
  <si>
    <t>this is the regulated tons passing through transfer station</t>
  </si>
  <si>
    <t>total drop box</t>
  </si>
  <si>
    <t>regulated drop box</t>
  </si>
  <si>
    <t>non regulated drop box</t>
  </si>
  <si>
    <t>Less non-regulated: by type</t>
  </si>
  <si>
    <t>Allocation Factor</t>
  </si>
  <si>
    <t>Driver %</t>
  </si>
  <si>
    <t>TS Regulated Tons</t>
  </si>
  <si>
    <t>80% Regulated per Michael</t>
  </si>
  <si>
    <t>HELPERS</t>
  </si>
  <si>
    <t>Wages - Helpers</t>
  </si>
  <si>
    <t>Wages - Helper</t>
  </si>
  <si>
    <t>VSP</t>
  </si>
  <si>
    <t>Helper Wages</t>
  </si>
  <si>
    <t>Allocated</t>
  </si>
  <si>
    <t>Non-regulated payroll</t>
  </si>
  <si>
    <t>Regulated Test Year</t>
  </si>
  <si>
    <t>Proforma Adj</t>
  </si>
  <si>
    <t>Wage Proforma:</t>
  </si>
  <si>
    <t>04/01/23-3/31/24</t>
  </si>
  <si>
    <t>Premera</t>
  </si>
  <si>
    <t>Delta</t>
  </si>
  <si>
    <t>Vernon Chipperfield</t>
  </si>
  <si>
    <t>Non regulated</t>
  </si>
  <si>
    <t>OFFICE</t>
  </si>
  <si>
    <t>H.S.A</t>
  </si>
  <si>
    <t>Test year benefits</t>
  </si>
  <si>
    <t>Adjust employee benefits to match what was accounted for as company paid on WP-2 pg 3</t>
  </si>
  <si>
    <t>Total Benefits</t>
  </si>
  <si>
    <t>For the Year Ended March 31, 2024</t>
  </si>
  <si>
    <t>The financial forecast presents, to the best of management’s knowledge and belief, the financial position and results of operation of Consolidated Disposal Services, Inc. Accordingly, this forecast reflects management’s judgment as of February 14, 2023, the date of this forecast, of the expected conditions and its’ expected course of action. The assumptions disclosed herein are those that management believes are significant to this forecast. Furthermore, there will usually be differences between the forecasted and actual results, because events and circumstances frequently do not occur as expected, and those differences may be material.</t>
  </si>
  <si>
    <t xml:space="preserve">All expenses have increased since the filing of the last rate case in 2011.  Signficant increases are labor, fuel, and equipment costs.  Additionally, during this time the transfer station facility used for most of the operations, including the office, maintanance shop, wash bays and truck parking in additon to the transfer station itself burned and was rebuilt.  </t>
  </si>
  <si>
    <t>NFIB</t>
  </si>
  <si>
    <t>Columbia</t>
  </si>
  <si>
    <t>Basin</t>
  </si>
  <si>
    <t>Herald</t>
  </si>
  <si>
    <t>EDC</t>
  </si>
  <si>
    <t>Grant Co</t>
  </si>
  <si>
    <t>Quincy</t>
  </si>
  <si>
    <t>Valley</t>
  </si>
  <si>
    <t>Post</t>
  </si>
  <si>
    <t>Total  Dues and Subscriptions per Books</t>
  </si>
  <si>
    <t>100% Regulated</t>
  </si>
  <si>
    <t>Contains Allocable Regulated Portion</t>
  </si>
  <si>
    <t>Agree to Dues and Subscriptions per Books</t>
  </si>
  <si>
    <t>Removed actual, then used drivers</t>
  </si>
  <si>
    <t>Non-regulated removed on WP 11</t>
  </si>
  <si>
    <t>Adjustment</t>
  </si>
  <si>
    <t>Benefits</t>
  </si>
  <si>
    <t>and</t>
  </si>
  <si>
    <t>One year of depreciation and amortization on assets placed in service after the test year.  See WP-1 pg. 2</t>
  </si>
  <si>
    <t xml:space="preserve">and </t>
  </si>
  <si>
    <t>WRRA lobbying was already removed from the books as an adjusting journal entry, need to include a restating adjustment to disallow the lobbying portion of NFIB dues.</t>
  </si>
  <si>
    <t>WRRA Lobbying</t>
  </si>
  <si>
    <t>NFIB Lobbying - Restating Adjustment</t>
  </si>
  <si>
    <t xml:space="preserve">0% Regulated </t>
  </si>
  <si>
    <t>This entry removes non-deductible expenses. Charitable contributions are removed as well as the lobbying portion of dues and subscriptions on WP-4.</t>
  </si>
  <si>
    <t>In Support of Tariff 7 effective April 1, 2023</t>
  </si>
  <si>
    <t>Assets from prior rate case not on our FACS depreciation schedule</t>
  </si>
  <si>
    <t>SUI</t>
  </si>
  <si>
    <t>State Tax Rates</t>
  </si>
  <si>
    <t>Purpose - allocate tons going through transfer station</t>
  </si>
  <si>
    <t>Drivers:</t>
  </si>
  <si>
    <t>Per Opertions</t>
  </si>
  <si>
    <t>Agrees</t>
  </si>
  <si>
    <t>per invoice</t>
  </si>
  <si>
    <t>This workpaper should no longer yield a large difference since salvage values no longer used by UTC.</t>
  </si>
  <si>
    <t>February 2023 to date</t>
  </si>
  <si>
    <t>Reclass pass through disposal fees</t>
  </si>
  <si>
    <t>Disposal - pass through</t>
  </si>
  <si>
    <t xml:space="preserve">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</si>
</sst>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8">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
    <numFmt numFmtId="166" formatCode="mm/dd/yy;@"/>
    <numFmt numFmtId="167" formatCode="_(* #,##0.000_);_(* \(#,##0.000\);_(* &quot;-&quot;???_);_(@_)"/>
    <numFmt numFmtId="168" formatCode="&quot;$&quot;#,##0.00"/>
    <numFmt numFmtId="169" formatCode="General_)"/>
    <numFmt numFmtId="170" formatCode="0.0%"/>
    <numFmt numFmtId="171" formatCode="_(* #,##0_);_(* \(#,##0\);_(* &quot;-&quot;??_);_(@_)"/>
    <numFmt numFmtId="172" formatCode="_(* #,##0.00_);_(* \(#,##0.00\);_(* &quot;-&quot;???_);_(@_)"/>
    <numFmt numFmtId="173" formatCode="#,###_);\(#,###\);&quot;-&quot;"/>
    <numFmt numFmtId="174" formatCode="mmmm\ d\,\ yyyy"/>
    <numFmt numFmtId="175" formatCode="_*\ #,###.0,;_(* \(#,###.0,\);_(* &quot;-&quot;??_);_(@_)"/>
    <numFmt numFmtId="176" formatCode="#,##0.0"/>
    <numFmt numFmtId="177" formatCode="[$-F800]dddd\,\ mmmm\ dd\,\ yyyy"/>
    <numFmt numFmtId="178" formatCode="#,##0.0000_);\(#,##0.0000\)"/>
    <numFmt numFmtId="179" formatCode="#,##0.000_);\(#,##0.000\)"/>
    <numFmt numFmtId="180" formatCode="#,##0.00000_);\(#,##0.00000\)"/>
    <numFmt numFmtId="181" formatCode="0.00000"/>
    <numFmt numFmtId="182" formatCode="#,##0.00;\-#,##0.00"/>
    <numFmt numFmtId="183" formatCode="_(* #,##0.00_);_(* \(#,##0.00\);_(* &quot;-&quot;_);_(@_)"/>
    <numFmt numFmtId="184" formatCode="#,##0.0000000000000_);\(#,##0.0000000000000\)"/>
    <numFmt numFmtId="185" formatCode="#,##0.0000"/>
    <numFmt numFmtId="186" formatCode="#,##0.0_);\(#,##0.0\)"/>
  </numFmts>
  <fonts count="201">
    <font>
      <sz val="12"/>
      <name val="Arial"/>
    </font>
    <font>
      <sz val="11"/>
      <color theme="1"/>
      <name val="Calibri"/>
      <family val="2"/>
      <scheme val="minor"/>
    </font>
    <font>
      <sz val="11"/>
      <color theme="1"/>
      <name val="Calibri"/>
      <family val="2"/>
      <scheme val="minor"/>
    </font>
    <font>
      <sz val="10"/>
      <color indexed="8"/>
      <name val="Arial"/>
      <family val="2"/>
    </font>
    <font>
      <b/>
      <sz val="12"/>
      <name val="Arial"/>
      <family val="2"/>
    </font>
    <font>
      <sz val="12"/>
      <name val="Arial"/>
      <family val="2"/>
    </font>
    <font>
      <sz val="12"/>
      <name val="Times New Roman"/>
      <family val="1"/>
    </font>
    <font>
      <b/>
      <sz val="12"/>
      <name val="Times New Roman"/>
      <family val="1"/>
    </font>
    <font>
      <sz val="12"/>
      <name val="Arial"/>
      <family val="2"/>
    </font>
    <font>
      <sz val="12"/>
      <name val="Times New Roman"/>
      <family val="1"/>
    </font>
    <font>
      <sz val="8"/>
      <name val="Times New Roman"/>
      <family val="1"/>
    </font>
    <font>
      <sz val="10"/>
      <name val="Arial"/>
      <family val="2"/>
    </font>
    <font>
      <sz val="10"/>
      <name val="Times New Roman"/>
      <family val="1"/>
    </font>
    <font>
      <sz val="12"/>
      <name val="Helv"/>
    </font>
    <font>
      <b/>
      <sz val="10"/>
      <name val="Times New Roman"/>
      <family val="1"/>
    </font>
    <font>
      <sz val="14"/>
      <name val="Times New Roman"/>
      <family val="1"/>
    </font>
    <font>
      <sz val="11"/>
      <name val="Times New Roman"/>
      <family val="1"/>
    </font>
    <font>
      <b/>
      <u/>
      <sz val="12"/>
      <name val="Times New Roman"/>
      <family val="1"/>
    </font>
    <font>
      <sz val="12"/>
      <color indexed="10"/>
      <name val="Times New Roman"/>
      <family val="1"/>
    </font>
    <font>
      <b/>
      <sz val="13"/>
      <name val="Times New Roman"/>
      <family val="1"/>
    </font>
    <font>
      <sz val="13"/>
      <name val="Times New Roman"/>
      <family val="1"/>
    </font>
    <font>
      <b/>
      <u/>
      <sz val="10"/>
      <name val="Times New Roman"/>
      <family val="1"/>
    </font>
    <font>
      <b/>
      <sz val="11"/>
      <name val="Times New Roman"/>
      <family val="1"/>
    </font>
    <font>
      <b/>
      <u/>
      <sz val="11"/>
      <name val="Times New Roman"/>
      <family val="1"/>
    </font>
    <font>
      <b/>
      <sz val="18"/>
      <name val="Times New Roman"/>
      <family val="1"/>
    </font>
    <font>
      <sz val="10"/>
      <name val="Arial"/>
      <family val="2"/>
    </font>
    <font>
      <sz val="12"/>
      <name val="SWISS"/>
    </font>
    <font>
      <sz val="12"/>
      <name val="Arial"/>
      <family val="2"/>
    </font>
    <font>
      <sz val="11"/>
      <name val="Arial"/>
      <family val="2"/>
    </font>
    <font>
      <b/>
      <u val="singleAccounting"/>
      <sz val="11"/>
      <name val="Times New Roman"/>
      <family val="1"/>
    </font>
    <font>
      <u/>
      <sz val="11"/>
      <name val="Times New Roman"/>
      <family val="1"/>
    </font>
    <font>
      <b/>
      <sz val="16"/>
      <name val="Times New Roman"/>
      <family val="1"/>
    </font>
    <font>
      <sz val="9"/>
      <color indexed="81"/>
      <name val="Tahoma"/>
      <family val="2"/>
    </font>
    <font>
      <b/>
      <sz val="9"/>
      <color indexed="81"/>
      <name val="Tahoma"/>
      <family val="2"/>
    </font>
    <font>
      <sz val="7"/>
      <name val="Arial"/>
      <family val="2"/>
    </font>
    <font>
      <sz val="7"/>
      <name val="Times New Roman"/>
      <family val="1"/>
    </font>
    <font>
      <b/>
      <sz val="7"/>
      <name val="Times New Roman"/>
      <family val="1"/>
    </font>
    <font>
      <b/>
      <sz val="7"/>
      <name val="Arial"/>
      <family val="2"/>
    </font>
    <font>
      <b/>
      <sz val="10"/>
      <name val="Arial"/>
      <family val="2"/>
    </font>
    <font>
      <sz val="9"/>
      <name val="Arial"/>
      <family val="2"/>
    </font>
    <font>
      <b/>
      <sz val="9"/>
      <name val="Times New Roman"/>
      <family val="1"/>
    </font>
    <font>
      <sz val="12"/>
      <name val="Arial"/>
      <family val="2"/>
    </font>
    <font>
      <sz val="12"/>
      <name val="Arial"/>
      <family val="2"/>
    </font>
    <font>
      <sz val="12"/>
      <name val="Arial"/>
      <family val="2"/>
    </font>
    <font>
      <sz val="12"/>
      <name val="Arial"/>
      <family val="2"/>
    </font>
    <font>
      <sz val="10"/>
      <color indexed="9"/>
      <name val="Arial"/>
      <family val="2"/>
    </font>
    <font>
      <b/>
      <sz val="10"/>
      <color indexed="9"/>
      <name val="Arial"/>
      <family val="2"/>
    </font>
    <font>
      <sz val="11"/>
      <color indexed="8"/>
      <name val="Calibri"/>
      <family val="2"/>
    </font>
    <font>
      <sz val="12"/>
      <color indexed="8"/>
      <name val="Times New Roman"/>
      <family val="2"/>
    </font>
    <font>
      <sz val="8"/>
      <name val="Arial"/>
      <family val="2"/>
    </font>
    <font>
      <b/>
      <sz val="14"/>
      <name val="Arial"/>
      <family val="2"/>
    </font>
    <font>
      <b/>
      <i/>
      <sz val="14"/>
      <name val="Arial"/>
      <family val="2"/>
    </font>
    <font>
      <b/>
      <sz val="11"/>
      <name val="Arial"/>
      <family val="2"/>
    </font>
    <font>
      <b/>
      <sz val="24"/>
      <name val="Arial Narrow"/>
      <family val="2"/>
    </font>
    <font>
      <b/>
      <i/>
      <sz val="12"/>
      <name val="Arial"/>
      <family val="2"/>
    </font>
    <font>
      <i/>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sz val="12"/>
      <color indexed="8"/>
      <name val="Arial"/>
      <family val="2"/>
    </font>
    <font>
      <sz val="8"/>
      <color indexed="56"/>
      <name val="Arial"/>
      <family val="2"/>
    </font>
    <font>
      <sz val="10"/>
      <name val="MS Sans Serif"/>
      <family val="2"/>
    </font>
    <font>
      <b/>
      <sz val="10"/>
      <name val="MS Sans Serif"/>
      <family val="2"/>
    </font>
    <font>
      <sz val="10"/>
      <color indexed="61"/>
      <name val="Arial"/>
      <family val="2"/>
    </font>
    <font>
      <b/>
      <i/>
      <sz val="10"/>
      <color indexed="9"/>
      <name val="Arial"/>
      <family val="2"/>
    </font>
    <font>
      <i/>
      <sz val="10"/>
      <color indexed="9"/>
      <name val="Arial"/>
      <family val="2"/>
    </font>
    <font>
      <sz val="14"/>
      <name val="Arial"/>
      <family val="2"/>
    </font>
    <font>
      <sz val="11"/>
      <color indexed="8"/>
      <name val="Calibri"/>
      <family val="2"/>
    </font>
    <font>
      <sz val="12"/>
      <color indexed="8"/>
      <name val="Times New Roman"/>
      <family val="2"/>
    </font>
    <font>
      <sz val="12"/>
      <color indexed="8"/>
      <name val="Times New Roman"/>
      <family val="1"/>
    </font>
    <font>
      <b/>
      <sz val="12"/>
      <color indexed="8"/>
      <name val="Times New Roman"/>
      <family val="1"/>
    </font>
    <font>
      <sz val="11"/>
      <color indexed="8"/>
      <name val="Times New Roman"/>
      <family val="1"/>
    </font>
    <font>
      <b/>
      <sz val="11"/>
      <color indexed="8"/>
      <name val="Times New Roman"/>
      <family val="1"/>
    </font>
    <font>
      <b/>
      <u/>
      <sz val="11"/>
      <color indexed="8"/>
      <name val="Times New Roman"/>
      <family val="1"/>
    </font>
    <font>
      <u/>
      <sz val="11"/>
      <color indexed="8"/>
      <name val="Times New Roman"/>
      <family val="1"/>
    </font>
    <font>
      <sz val="12"/>
      <color indexed="60"/>
      <name val="Times New Roman"/>
      <family val="1"/>
    </font>
    <font>
      <sz val="12"/>
      <color indexed="36"/>
      <name val="Times New Roman"/>
      <family val="1"/>
    </font>
    <font>
      <sz val="12"/>
      <color indexed="10"/>
      <name val="Times New Roman"/>
      <family val="1"/>
    </font>
    <font>
      <sz val="9"/>
      <color indexed="60"/>
      <name val="Times New Roman"/>
      <family val="1"/>
    </font>
    <font>
      <b/>
      <sz val="12"/>
      <color indexed="10"/>
      <name val="Times New Roman"/>
      <family val="1"/>
    </font>
    <font>
      <sz val="11"/>
      <color indexed="17"/>
      <name val="Calibri"/>
      <family val="2"/>
    </font>
    <font>
      <sz val="11"/>
      <color indexed="20"/>
      <name val="Calibri"/>
      <family val="2"/>
    </font>
    <font>
      <sz val="11"/>
      <color indexed="60"/>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2"/>
      <name val="Courier"/>
      <family val="3"/>
    </font>
    <font>
      <sz val="9"/>
      <color indexed="8"/>
      <name val="Arial"/>
      <family val="2"/>
    </font>
    <font>
      <sz val="11"/>
      <color indexed="8"/>
      <name val="Arial"/>
      <family val="2"/>
    </font>
    <font>
      <b/>
      <sz val="10"/>
      <color indexed="12"/>
      <name val="Arial"/>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u/>
      <sz val="11"/>
      <color indexed="12"/>
      <name val="Calibri"/>
      <family val="2"/>
    </font>
    <font>
      <sz val="10"/>
      <color indexed="12"/>
      <name val="Arial"/>
      <family val="2"/>
    </font>
    <font>
      <i/>
      <sz val="10"/>
      <color indexed="10"/>
      <name val="Arial"/>
      <family val="2"/>
    </font>
    <font>
      <b/>
      <sz val="11"/>
      <color indexed="61"/>
      <name val="Calibri"/>
      <family val="2"/>
    </font>
    <font>
      <sz val="11"/>
      <color indexed="61"/>
      <name val="Calibri"/>
      <family val="2"/>
    </font>
    <font>
      <b/>
      <sz val="18"/>
      <color indexed="61"/>
      <name val="Cambria"/>
      <family val="2"/>
    </font>
    <font>
      <b/>
      <sz val="15"/>
      <color indexed="56"/>
      <name val="Calibri"/>
      <family val="2"/>
    </font>
    <font>
      <b/>
      <sz val="13"/>
      <color indexed="56"/>
      <name val="Calibri"/>
      <family val="2"/>
    </font>
    <font>
      <b/>
      <sz val="11"/>
      <color indexed="56"/>
      <name val="Calibri"/>
      <family val="2"/>
    </font>
    <font>
      <sz val="12"/>
      <name val="Arial MT"/>
    </font>
    <font>
      <b/>
      <u/>
      <sz val="11"/>
      <name val="Arial"/>
      <family val="2"/>
    </font>
    <font>
      <sz val="12"/>
      <name val="Arial"/>
      <family val="2"/>
    </font>
    <font>
      <sz val="10"/>
      <color theme="1"/>
      <name val="Arial"/>
      <family val="2"/>
    </font>
    <font>
      <sz val="11"/>
      <color theme="1"/>
      <name val="Calibri"/>
      <family val="2"/>
      <scheme val="minor"/>
    </font>
    <font>
      <sz val="12"/>
      <color theme="1"/>
      <name val="Times New Roman"/>
      <family val="2"/>
    </font>
    <font>
      <sz val="12"/>
      <color theme="1"/>
      <name val="Times New Roman"/>
      <family val="1"/>
    </font>
    <font>
      <sz val="12"/>
      <color rgb="FFC00000"/>
      <name val="Times New Roman"/>
      <family val="1"/>
    </font>
    <font>
      <b/>
      <sz val="12"/>
      <color rgb="FFC00000"/>
      <name val="Times New Roman"/>
      <family val="1"/>
    </font>
    <font>
      <sz val="11"/>
      <color theme="1"/>
      <name val="Times New Roman"/>
      <family val="2"/>
    </font>
    <font>
      <b/>
      <sz val="11"/>
      <color theme="1"/>
      <name val="Times New Roman"/>
      <family val="1"/>
    </font>
    <font>
      <b/>
      <sz val="12"/>
      <color theme="1"/>
      <name val="Times New Roman"/>
      <family val="1"/>
    </font>
    <font>
      <sz val="11"/>
      <color theme="1"/>
      <name val="Times New Roman"/>
      <family val="1"/>
    </font>
    <font>
      <b/>
      <sz val="10"/>
      <color theme="1"/>
      <name val="Times New Roman"/>
      <family val="1"/>
    </font>
    <font>
      <b/>
      <sz val="13"/>
      <color theme="1"/>
      <name val="Times New Roman"/>
      <family val="1"/>
    </font>
    <font>
      <b/>
      <sz val="14"/>
      <color theme="1"/>
      <name val="Times New Roman"/>
      <family val="1"/>
    </font>
    <font>
      <sz val="14"/>
      <color theme="1"/>
      <name val="Times New Roman"/>
      <family val="1"/>
    </font>
    <font>
      <sz val="12"/>
      <color theme="1"/>
      <name val="Arial"/>
      <family val="2"/>
    </font>
    <font>
      <sz val="11"/>
      <color theme="1"/>
      <name val="Arial"/>
      <family val="2"/>
    </font>
    <font>
      <sz val="8"/>
      <color theme="1"/>
      <name val="Times New Roman"/>
      <family val="1"/>
    </font>
    <font>
      <sz val="12"/>
      <color theme="1" tint="4.9989318521683403E-2"/>
      <name val="Times New Roman"/>
      <family val="1"/>
    </font>
    <font>
      <sz val="10"/>
      <color rgb="FF00B050"/>
      <name val="Calibri"/>
      <family val="2"/>
    </font>
    <font>
      <sz val="11"/>
      <color rgb="FF00B050"/>
      <name val="Calibri"/>
      <family val="2"/>
    </font>
    <font>
      <sz val="12"/>
      <color rgb="FF00B050"/>
      <name val="Times New Roman"/>
      <family val="1"/>
    </font>
    <font>
      <sz val="12"/>
      <color rgb="FF00B050"/>
      <name val="Arial"/>
      <family val="2"/>
    </font>
    <font>
      <sz val="11"/>
      <color rgb="FF00B050"/>
      <name val="Times New Roman"/>
      <family val="1"/>
    </font>
    <font>
      <sz val="12"/>
      <color rgb="FF00B050"/>
      <name val="Times New Roman"/>
      <family val="2"/>
    </font>
    <font>
      <b/>
      <sz val="12"/>
      <color rgb="FF00B050"/>
      <name val="Times New Roman"/>
      <family val="1"/>
    </font>
    <font>
      <sz val="14"/>
      <color rgb="FF00B050"/>
      <name val="Times New Roman"/>
      <family val="1"/>
    </font>
    <font>
      <sz val="12"/>
      <color rgb="FFFF0000"/>
      <name val="Times New Roman"/>
      <family val="1"/>
    </font>
    <font>
      <sz val="10"/>
      <color rgb="FF00B050"/>
      <name val="Times New Roman"/>
      <family val="1"/>
    </font>
    <font>
      <sz val="12"/>
      <name val="Calibri"/>
      <family val="2"/>
    </font>
    <font>
      <sz val="12"/>
      <color theme="0"/>
      <name val="Times New Roman"/>
      <family val="1"/>
    </font>
    <font>
      <sz val="11"/>
      <color theme="0"/>
      <name val="Calibri"/>
      <family val="2"/>
      <scheme val="minor"/>
    </font>
    <font>
      <sz val="12"/>
      <color indexed="12"/>
      <name val="SWISS"/>
    </font>
    <font>
      <b/>
      <sz val="12"/>
      <name val="SWISS"/>
    </font>
    <font>
      <sz val="8"/>
      <color indexed="9"/>
      <name val="Calibri"/>
      <family val="2"/>
    </font>
    <font>
      <sz val="14"/>
      <color indexed="9"/>
      <name val="Calibri"/>
      <family val="2"/>
    </font>
    <font>
      <b/>
      <sz val="14"/>
      <name val="SWISS"/>
    </font>
    <font>
      <sz val="9"/>
      <color rgb="FF0070C0"/>
      <name val="SWISS"/>
    </font>
    <font>
      <b/>
      <sz val="12"/>
      <color indexed="12"/>
      <name val="Times New Roman"/>
      <family val="1"/>
    </font>
    <font>
      <sz val="12"/>
      <color indexed="39"/>
      <name val="SWISS"/>
    </font>
    <font>
      <sz val="12"/>
      <color indexed="39"/>
      <name val="Times New Roman"/>
      <family val="1"/>
    </font>
    <font>
      <b/>
      <sz val="12"/>
      <color indexed="39"/>
      <name val="Times New Roman"/>
      <family val="1"/>
    </font>
    <font>
      <sz val="12"/>
      <color indexed="10"/>
      <name val="SWISS"/>
    </font>
    <font>
      <sz val="12"/>
      <color indexed="8"/>
      <name val="SWISS"/>
    </font>
    <font>
      <sz val="9"/>
      <color indexed="39"/>
      <name val="Times New Roman"/>
      <family val="1"/>
    </font>
    <font>
      <u/>
      <sz val="12"/>
      <color indexed="12"/>
      <name val="Times New Roman"/>
      <family val="1"/>
    </font>
    <font>
      <b/>
      <u/>
      <sz val="12"/>
      <color indexed="39"/>
      <name val="Times New Roman"/>
      <family val="1"/>
    </font>
    <font>
      <sz val="12"/>
      <color indexed="18"/>
      <name val="Times New Roman"/>
      <family val="1"/>
    </font>
    <font>
      <u/>
      <sz val="12"/>
      <color indexed="8"/>
      <name val="Times New Roman"/>
      <family val="1"/>
    </font>
    <font>
      <sz val="12"/>
      <color indexed="32"/>
      <name val="SWISS"/>
    </font>
    <font>
      <sz val="12"/>
      <color indexed="18"/>
      <name val="SWISS"/>
    </font>
    <font>
      <b/>
      <sz val="10"/>
      <name val="SWISS"/>
    </font>
    <font>
      <sz val="12"/>
      <color indexed="56"/>
      <name val="SWISS"/>
    </font>
    <font>
      <i/>
      <sz val="12"/>
      <name val="SWISS"/>
    </font>
    <font>
      <sz val="10"/>
      <color indexed="39"/>
      <name val="Times New Roman"/>
      <family val="1"/>
    </font>
    <font>
      <sz val="10"/>
      <color indexed="18"/>
      <name val="Times New Roman"/>
      <family val="1"/>
    </font>
    <font>
      <sz val="8"/>
      <color rgb="FF000000"/>
      <name val="Arial"/>
      <family val="2"/>
    </font>
    <font>
      <sz val="12"/>
      <color theme="3"/>
      <name val="Times New Roman"/>
      <family val="1"/>
    </font>
    <font>
      <sz val="8"/>
      <name val="Arial"/>
      <family val="2"/>
    </font>
    <font>
      <b/>
      <sz val="8"/>
      <color rgb="FF000000"/>
      <name val="Arial"/>
      <family val="2"/>
    </font>
    <font>
      <sz val="12"/>
      <color rgb="FFFF0000"/>
      <name val="Arial"/>
      <family val="2"/>
    </font>
    <font>
      <sz val="10"/>
      <color rgb="FFFF0000"/>
      <name val="Times New Roman"/>
      <family val="1"/>
    </font>
    <font>
      <sz val="8"/>
      <name val="Arial"/>
      <family val="2"/>
    </font>
    <font>
      <sz val="12"/>
      <name val="Arial"/>
      <family val="2"/>
    </font>
    <font>
      <b/>
      <sz val="12"/>
      <color rgb="FFFF0000"/>
      <name val="Arial"/>
      <family val="2"/>
    </font>
    <font>
      <sz val="12"/>
      <color rgb="FFFF0000"/>
      <name val="Ariel"/>
    </font>
    <font>
      <b/>
      <sz val="12"/>
      <color rgb="FFFF0000"/>
      <name val="Times New Roman"/>
      <family val="1"/>
    </font>
    <font>
      <sz val="11"/>
      <color rgb="FF00B050"/>
      <name val="Times New Roman"/>
      <family val="2"/>
    </font>
    <font>
      <sz val="11"/>
      <color rgb="FFFF0000"/>
      <name val="Times New Roman"/>
      <family val="2"/>
    </font>
    <font>
      <u/>
      <sz val="12"/>
      <name val="Times New Roman"/>
      <family val="1"/>
    </font>
    <font>
      <sz val="11"/>
      <color rgb="FFFF0000"/>
      <name val="Calibri"/>
      <family val="2"/>
    </font>
    <font>
      <sz val="11"/>
      <color rgb="FF000000"/>
      <name val="Calibri"/>
      <family val="2"/>
    </font>
    <font>
      <b/>
      <sz val="9"/>
      <color theme="1"/>
      <name val="Times New Roman"/>
      <family val="1"/>
    </font>
    <font>
      <sz val="11"/>
      <color rgb="FFFF0000"/>
      <name val="Calibri"/>
      <family val="2"/>
      <scheme val="minor"/>
    </font>
    <font>
      <sz val="12"/>
      <color rgb="FF0070C0"/>
      <name val="Times New Roman"/>
      <family val="1"/>
    </font>
    <font>
      <sz val="10"/>
      <color rgb="FF0070C0"/>
      <name val="Arial"/>
      <family val="2"/>
    </font>
    <font>
      <sz val="11"/>
      <color rgb="FF0070C0"/>
      <name val="Calibri"/>
      <family val="2"/>
      <scheme val="minor"/>
    </font>
    <font>
      <sz val="12"/>
      <color theme="3" tint="0.39997558519241921"/>
      <name val="Times New Roman"/>
      <family val="1"/>
    </font>
    <font>
      <sz val="11"/>
      <color rgb="FFFF0000"/>
      <name val="Times New Roman"/>
      <family val="1"/>
    </font>
    <font>
      <sz val="11"/>
      <color theme="2" tint="-0.89999084444715716"/>
      <name val="Times New Roman"/>
      <family val="1"/>
    </font>
    <font>
      <sz val="12"/>
      <color theme="2" tint="-0.89999084444715716"/>
      <name val="Arial"/>
      <family val="2"/>
    </font>
    <font>
      <sz val="11"/>
      <color theme="1" tint="4.9989318521683403E-2"/>
      <name val="Times New Roman"/>
      <family val="1"/>
    </font>
    <font>
      <i/>
      <sz val="12"/>
      <color theme="1"/>
      <name val="Times New Roman"/>
      <family val="1"/>
    </font>
    <font>
      <sz val="16"/>
      <name val="Times New Roman"/>
      <family val="1"/>
    </font>
    <font>
      <sz val="12"/>
      <color theme="2" tint="-0.89999084444715716"/>
      <name val="Times New Roman"/>
      <family val="1"/>
    </font>
    <font>
      <b/>
      <sz val="12"/>
      <color theme="1" tint="4.9989318521683403E-2"/>
      <name val="Times New Roman"/>
      <family val="1"/>
    </font>
    <font>
      <b/>
      <sz val="12"/>
      <color theme="1" tint="4.9989318521683403E-2"/>
      <name val="Arial"/>
      <family val="2"/>
    </font>
    <font>
      <sz val="12"/>
      <color theme="1" tint="4.9989318521683403E-2"/>
      <name val="Arial"/>
      <family val="2"/>
    </font>
    <font>
      <sz val="12"/>
      <color theme="1" tint="4.9989318521683403E-2"/>
      <name val="Ariel"/>
    </font>
  </fonts>
  <fills count="43">
    <fill>
      <patternFill patternType="none"/>
    </fill>
    <fill>
      <patternFill patternType="gray125"/>
    </fill>
    <fill>
      <patternFill patternType="solid">
        <fgColor indexed="31"/>
      </patternFill>
    </fill>
    <fill>
      <patternFill patternType="solid">
        <fgColor indexed="22"/>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8"/>
      </patternFill>
    </fill>
    <fill>
      <patternFill patternType="solid">
        <fgColor indexed="9"/>
      </patternFill>
    </fill>
    <fill>
      <patternFill patternType="solid">
        <fgColor indexed="63"/>
      </patternFill>
    </fill>
    <fill>
      <patternFill patternType="solid">
        <fgColor indexed="45"/>
        <bgColor indexed="64"/>
      </patternFill>
    </fill>
    <fill>
      <patternFill patternType="solid">
        <fgColor indexed="65"/>
        <bgColor indexed="10"/>
      </patternFill>
    </fill>
    <fill>
      <patternFill patternType="gray125">
        <fgColor indexed="10"/>
      </patternFill>
    </fill>
    <fill>
      <patternFill patternType="solid">
        <fgColor indexed="22"/>
        <bgColor indexed="64"/>
      </patternFill>
    </fill>
    <fill>
      <patternFill patternType="solid">
        <fgColor indexed="26"/>
        <bgColor indexed="64"/>
      </patternFill>
    </fill>
    <fill>
      <patternFill patternType="solid">
        <fgColor indexed="57"/>
        <bgColor indexed="64"/>
      </patternFill>
    </fill>
    <fill>
      <patternFill patternType="mediumGray">
        <fgColor indexed="22"/>
      </patternFill>
    </fill>
    <fill>
      <patternFill patternType="solid">
        <fgColor indexed="43"/>
        <bgColor indexed="64"/>
      </patternFill>
    </fill>
    <fill>
      <patternFill patternType="solid">
        <fgColor indexed="9"/>
        <bgColor indexed="64"/>
      </patternFill>
    </fill>
    <fill>
      <patternFill patternType="solid">
        <fgColor indexed="26"/>
        <bgColor indexed="41"/>
      </patternFill>
    </fill>
    <fill>
      <patternFill patternType="solid">
        <fgColor indexed="26"/>
        <bgColor indexed="31"/>
      </patternFill>
    </fill>
    <fill>
      <patternFill patternType="solid">
        <fgColor indexed="22"/>
        <bgColor indexed="26"/>
      </patternFill>
    </fill>
    <fill>
      <patternFill patternType="solid">
        <fgColor indexed="22"/>
        <bgColor indexed="29"/>
      </patternFill>
    </fill>
    <fill>
      <patternFill patternType="solid">
        <fgColor theme="8"/>
      </patternFill>
    </fill>
    <fill>
      <patternFill patternType="solid">
        <fgColor indexed="15"/>
        <bgColor indexed="64"/>
      </patternFill>
    </fill>
    <fill>
      <patternFill patternType="solid">
        <fgColor rgb="FFFFFF00"/>
        <bgColor indexed="64"/>
      </patternFill>
    </fill>
    <fill>
      <patternFill patternType="solid">
        <fgColor indexed="9"/>
        <bgColor indexed="8"/>
      </patternFill>
    </fill>
    <fill>
      <patternFill patternType="solid">
        <fgColor theme="0" tint="-4.9989318521683403E-2"/>
        <bgColor indexed="64"/>
      </patternFill>
    </fill>
    <fill>
      <patternFill patternType="solid">
        <fgColor theme="7" tint="0.79998168889431442"/>
        <bgColor indexed="64"/>
      </patternFill>
    </fill>
  </fills>
  <borders count="73">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2"/>
      </left>
      <right style="double">
        <color indexed="62"/>
      </right>
      <top style="double">
        <color indexed="62"/>
      </top>
      <bottom style="double">
        <color indexed="62"/>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2"/>
      </left>
      <right style="thin">
        <color indexed="62"/>
      </right>
      <top style="thin">
        <color indexed="62"/>
      </top>
      <bottom style="thin">
        <color indexed="62"/>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top/>
      <bottom/>
      <diagonal/>
    </border>
    <border>
      <left/>
      <right/>
      <top/>
      <bottom style="thin">
        <color indexed="8"/>
      </bottom>
      <diagonal/>
    </border>
    <border>
      <left/>
      <right/>
      <top/>
      <bottom style="double">
        <color indexed="8"/>
      </bottom>
      <diagonal/>
    </border>
    <border>
      <left/>
      <right/>
      <top style="thin">
        <color indexed="8"/>
      </top>
      <bottom style="thin">
        <color indexed="8"/>
      </bottom>
      <diagonal/>
    </border>
    <border>
      <left/>
      <right/>
      <top style="thin">
        <color indexed="8"/>
      </top>
      <bottom/>
      <diagonal/>
    </border>
    <border>
      <left/>
      <right/>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thin">
        <color indexed="64"/>
      </top>
      <bottom style="double">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ck">
        <color indexed="8"/>
      </left>
      <right/>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double">
        <color indexed="64"/>
      </bottom>
      <diagonal/>
    </border>
    <border>
      <left/>
      <right/>
      <top style="thin">
        <color theme="4" tint="-0.24994659260841701"/>
      </top>
      <bottom style="double">
        <color theme="4" tint="-0.24994659260841701"/>
      </bottom>
      <diagonal/>
    </border>
    <border>
      <left/>
      <right style="thin">
        <color auto="1"/>
      </right>
      <top style="thin">
        <color auto="1"/>
      </top>
      <bottom style="thin">
        <color auto="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8"/>
      </bottom>
      <diagonal/>
    </border>
    <border>
      <left style="thick">
        <color auto="1"/>
      </left>
      <right/>
      <top/>
      <bottom/>
      <diagonal/>
    </border>
    <border>
      <left/>
      <right style="thick">
        <color indexed="8"/>
      </right>
      <top/>
      <bottom/>
      <diagonal/>
    </border>
    <border>
      <left style="medium">
        <color indexed="64"/>
      </left>
      <right style="medium">
        <color indexed="64"/>
      </right>
      <top style="medium">
        <color indexed="64"/>
      </top>
      <bottom style="medium">
        <color indexed="64"/>
      </bottom>
      <diagonal/>
    </border>
    <border>
      <left/>
      <right/>
      <top style="double">
        <color indexed="64"/>
      </top>
      <bottom style="double">
        <color indexed="64"/>
      </bottom>
      <diagonal/>
    </border>
    <border>
      <left/>
      <right/>
      <top style="thin">
        <color indexed="8"/>
      </top>
      <bottom style="thin">
        <color indexed="8"/>
      </bottom>
      <diagonal/>
    </border>
    <border>
      <left/>
      <right style="thick">
        <color indexed="64"/>
      </right>
      <top/>
      <bottom/>
      <diagonal/>
    </border>
    <border>
      <left/>
      <right style="thick">
        <color indexed="64"/>
      </right>
      <top style="thin">
        <color indexed="8"/>
      </top>
      <bottom style="thin">
        <color indexed="8"/>
      </bottom>
      <diagonal/>
    </border>
    <border>
      <left/>
      <right style="thick">
        <color indexed="64"/>
      </right>
      <top/>
      <bottom style="double">
        <color indexed="8"/>
      </bottom>
      <diagonal/>
    </border>
  </borders>
  <cellStyleXfs count="435">
    <xf numFmtId="37" fontId="0" fillId="0" borderId="0"/>
    <xf numFmtId="0" fontId="47" fillId="3" borderId="0" applyNumberFormat="0" applyBorder="0" applyAlignment="0" applyProtection="0"/>
    <xf numFmtId="0" fontId="47" fillId="2" borderId="0" applyNumberFormat="0" applyBorder="0" applyAlignment="0" applyProtection="0"/>
    <xf numFmtId="0" fontId="47" fillId="5" borderId="0" applyNumberFormat="0" applyBorder="0" applyAlignment="0" applyProtection="0"/>
    <xf numFmtId="0" fontId="47" fillId="7" borderId="0" applyNumberFormat="0" applyBorder="0" applyAlignment="0" applyProtection="0"/>
    <xf numFmtId="0" fontId="47" fillId="3" borderId="0" applyNumberFormat="0" applyBorder="0" applyAlignment="0" applyProtection="0"/>
    <xf numFmtId="0" fontId="47" fillId="8" borderId="0" applyNumberFormat="0" applyBorder="0" applyAlignment="0" applyProtection="0"/>
    <xf numFmtId="0" fontId="47" fillId="9" borderId="0" applyNumberFormat="0" applyBorder="0" applyAlignment="0" applyProtection="0"/>
    <xf numFmtId="0" fontId="47" fillId="7" borderId="0" applyNumberFormat="0" applyBorder="0" applyAlignment="0" applyProtection="0"/>
    <xf numFmtId="0" fontId="47" fillId="3" borderId="0" applyNumberFormat="0" applyBorder="0" applyAlignment="0" applyProtection="0"/>
    <xf numFmtId="0" fontId="47" fillId="10" borderId="0" applyNumberFormat="0" applyBorder="0" applyAlignment="0" applyProtection="0"/>
    <xf numFmtId="0" fontId="47" fillId="5" borderId="0" applyNumberFormat="0" applyBorder="0" applyAlignment="0" applyProtection="0"/>
    <xf numFmtId="0" fontId="47" fillId="12" borderId="0" applyNumberFormat="0" applyBorder="0" applyAlignment="0" applyProtection="0"/>
    <xf numFmtId="0" fontId="47" fillId="3" borderId="0" applyNumberFormat="0" applyBorder="0" applyAlignment="0" applyProtection="0"/>
    <xf numFmtId="0" fontId="47" fillId="8" borderId="0" applyNumberFormat="0" applyBorder="0" applyAlignment="0" applyProtection="0"/>
    <xf numFmtId="0" fontId="47" fillId="10" borderId="0" applyNumberFormat="0" applyBorder="0" applyAlignment="0" applyProtection="0"/>
    <xf numFmtId="0" fontId="47" fillId="12" borderId="0" applyNumberFormat="0" applyBorder="0" applyAlignment="0" applyProtection="0"/>
    <xf numFmtId="0" fontId="47" fillId="13" borderId="0" applyNumberFormat="0" applyBorder="0" applyAlignment="0" applyProtection="0"/>
    <xf numFmtId="0" fontId="92" fillId="15" borderId="0" applyNumberFormat="0" applyBorder="0" applyAlignment="0" applyProtection="0"/>
    <xf numFmtId="0" fontId="92" fillId="14" borderId="0" applyNumberFormat="0" applyBorder="0" applyAlignment="0" applyProtection="0"/>
    <xf numFmtId="0" fontId="92" fillId="5" borderId="0" applyNumberFormat="0" applyBorder="0" applyAlignment="0" applyProtection="0"/>
    <xf numFmtId="0" fontId="92" fillId="12" borderId="0" applyNumberFormat="0" applyBorder="0" applyAlignment="0" applyProtection="0"/>
    <xf numFmtId="0" fontId="92" fillId="11" borderId="0" applyNumberFormat="0" applyBorder="0" applyAlignment="0" applyProtection="0"/>
    <xf numFmtId="0" fontId="92" fillId="3" borderId="0" applyNumberFormat="0" applyBorder="0" applyAlignment="0" applyProtection="0"/>
    <xf numFmtId="0" fontId="92" fillId="16" borderId="0" applyNumberFormat="0" applyBorder="0" applyAlignment="0" applyProtection="0"/>
    <xf numFmtId="0" fontId="92" fillId="15" borderId="0" applyNumberFormat="0" applyBorder="0" applyAlignment="0" applyProtection="0"/>
    <xf numFmtId="0" fontId="92" fillId="5" borderId="0" applyNumberFormat="0" applyBorder="0" applyAlignment="0" applyProtection="0"/>
    <xf numFmtId="0" fontId="92" fillId="15" borderId="0" applyNumberFormat="0" applyBorder="0" applyAlignment="0" applyProtection="0"/>
    <xf numFmtId="0" fontId="92" fillId="17" borderId="0" applyNumberFormat="0" applyBorder="0" applyAlignment="0" applyProtection="0"/>
    <xf numFmtId="0" fontId="92" fillId="18" borderId="0" applyNumberFormat="0" applyBorder="0" applyAlignment="0" applyProtection="0"/>
    <xf numFmtId="0" fontId="92" fillId="19" borderId="0" applyNumberFormat="0" applyBorder="0" applyAlignment="0" applyProtection="0"/>
    <xf numFmtId="0" fontId="92" fillId="20" borderId="0" applyNumberFormat="0" applyBorder="0" applyAlignment="0" applyProtection="0"/>
    <xf numFmtId="0" fontId="92" fillId="21" borderId="0" applyNumberFormat="0" applyBorder="0" applyAlignment="0" applyProtection="0"/>
    <xf numFmtId="0" fontId="92" fillId="20" borderId="0" applyNumberFormat="0" applyBorder="0" applyAlignment="0" applyProtection="0"/>
    <xf numFmtId="41" fontId="11" fillId="0" borderId="0"/>
    <xf numFmtId="41" fontId="11" fillId="0" borderId="0"/>
    <xf numFmtId="41" fontId="11" fillId="0" borderId="0"/>
    <xf numFmtId="41" fontId="11" fillId="0" borderId="0"/>
    <xf numFmtId="0" fontId="84" fillId="4" borderId="0" applyNumberFormat="0" applyBorder="0" applyAlignment="0" applyProtection="0"/>
    <xf numFmtId="3" fontId="11" fillId="0" borderId="0"/>
    <xf numFmtId="3" fontId="11" fillId="0" borderId="0"/>
    <xf numFmtId="3" fontId="11" fillId="0" borderId="0"/>
    <xf numFmtId="3" fontId="11" fillId="0" borderId="0"/>
    <xf numFmtId="168" fontId="49" fillId="0" borderId="0" applyFill="0"/>
    <xf numFmtId="168" fontId="49" fillId="0" borderId="0">
      <alignment horizontal="center"/>
    </xf>
    <xf numFmtId="0" fontId="49" fillId="0" borderId="0" applyFill="0">
      <alignment horizontal="center"/>
    </xf>
    <xf numFmtId="168" fontId="50" fillId="0" borderId="1" applyFill="0"/>
    <xf numFmtId="0" fontId="11" fillId="0" borderId="0" applyFont="0" applyAlignment="0"/>
    <xf numFmtId="0" fontId="51" fillId="0" borderId="0" applyFill="0">
      <alignment vertical="top"/>
    </xf>
    <xf numFmtId="0" fontId="50" fillId="0" borderId="0" applyFill="0">
      <alignment horizontal="left" vertical="top"/>
    </xf>
    <xf numFmtId="168" fontId="4" fillId="0" borderId="2" applyFill="0"/>
    <xf numFmtId="0" fontId="11" fillId="0" borderId="0" applyNumberFormat="0" applyFont="0" applyAlignment="0"/>
    <xf numFmtId="0" fontId="51" fillId="0" borderId="0" applyFill="0">
      <alignment wrapText="1"/>
    </xf>
    <xf numFmtId="0" fontId="50" fillId="0" borderId="0" applyFill="0">
      <alignment horizontal="left" vertical="top" wrapText="1"/>
    </xf>
    <xf numFmtId="168" fontId="52" fillId="0" borderId="0" applyFill="0"/>
    <xf numFmtId="0" fontId="53" fillId="0" borderId="0" applyNumberFormat="0" applyFont="0" applyAlignment="0">
      <alignment horizontal="center"/>
    </xf>
    <xf numFmtId="0" fontId="54" fillId="0" borderId="0" applyFill="0">
      <alignment vertical="top" wrapText="1"/>
    </xf>
    <xf numFmtId="0" fontId="4" fillId="0" borderId="0" applyFill="0">
      <alignment horizontal="left" vertical="top" wrapText="1"/>
    </xf>
    <xf numFmtId="168" fontId="11" fillId="0" borderId="0" applyFill="0"/>
    <xf numFmtId="0" fontId="53" fillId="0" borderId="0" applyNumberFormat="0" applyFont="0" applyAlignment="0">
      <alignment horizontal="center"/>
    </xf>
    <xf numFmtId="0" fontId="55" fillId="0" borderId="0" applyFill="0">
      <alignment vertical="center" wrapText="1"/>
    </xf>
    <xf numFmtId="0" fontId="5" fillId="0" borderId="0">
      <alignment horizontal="left" vertical="center" wrapText="1"/>
    </xf>
    <xf numFmtId="168" fontId="39" fillId="0" borderId="0" applyFill="0"/>
    <xf numFmtId="0" fontId="53" fillId="0" borderId="0" applyNumberFormat="0" applyFont="0" applyAlignment="0">
      <alignment horizontal="center"/>
    </xf>
    <xf numFmtId="0" fontId="56" fillId="0" borderId="0" applyFill="0">
      <alignment horizontal="center" vertical="center" wrapText="1"/>
    </xf>
    <xf numFmtId="0" fontId="11" fillId="0" borderId="0" applyFill="0">
      <alignment horizontal="center" vertical="center" wrapText="1"/>
    </xf>
    <xf numFmtId="168" fontId="57" fillId="0" borderId="0" applyFill="0"/>
    <xf numFmtId="0" fontId="53" fillId="0" borderId="0" applyNumberFormat="0" applyFont="0" applyAlignment="0">
      <alignment horizontal="center"/>
    </xf>
    <xf numFmtId="0" fontId="58" fillId="0" borderId="0" applyFill="0">
      <alignment horizontal="center" vertical="center" wrapText="1"/>
    </xf>
    <xf numFmtId="0" fontId="59" fillId="0" borderId="0" applyFill="0">
      <alignment horizontal="center" vertical="center" wrapText="1"/>
    </xf>
    <xf numFmtId="168" fontId="60" fillId="0" borderId="0" applyFill="0"/>
    <xf numFmtId="0" fontId="53" fillId="0" borderId="0" applyNumberFormat="0" applyFont="0" applyAlignment="0">
      <alignment horizontal="center"/>
    </xf>
    <xf numFmtId="0" fontId="61" fillId="0" borderId="0">
      <alignment horizontal="center" wrapText="1"/>
    </xf>
    <xf numFmtId="0" fontId="57" fillId="0" borderId="0" applyFill="0">
      <alignment horizontal="center" wrapText="1"/>
    </xf>
    <xf numFmtId="0" fontId="86" fillId="22" borderId="3" applyNumberFormat="0" applyAlignment="0" applyProtection="0"/>
    <xf numFmtId="0" fontId="86" fillId="3" borderId="3" applyNumberFormat="0" applyAlignment="0" applyProtection="0"/>
    <xf numFmtId="0" fontId="88" fillId="23" borderId="4" applyNumberFormat="0" applyAlignment="0" applyProtection="0"/>
    <xf numFmtId="0" fontId="11" fillId="24" borderId="0">
      <alignment horizontal="center"/>
    </xf>
    <xf numFmtId="43" fontId="8"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9" fillId="0" borderId="0" applyFont="0" applyFill="0" applyBorder="0" applyAlignment="0" applyProtection="0"/>
    <xf numFmtId="43" fontId="7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9"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11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9" fillId="0" borderId="0" applyFont="0" applyFill="0" applyBorder="0" applyAlignment="0" applyProtection="0"/>
    <xf numFmtId="173" fontId="12"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70"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3" fontId="7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7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 fontId="3" fillId="0" borderId="0"/>
    <xf numFmtId="3" fontId="11" fillId="0" borderId="0" applyFill="0" applyBorder="0" applyAlignment="0" applyProtection="0"/>
    <xf numFmtId="0" fontId="93" fillId="0" borderId="0"/>
    <xf numFmtId="0" fontId="93" fillId="0" borderId="0"/>
    <xf numFmtId="0" fontId="94" fillId="25" borderId="5" applyAlignment="0">
      <alignment horizontal="right"/>
      <protection locked="0"/>
    </xf>
    <xf numFmtId="44" fontId="70"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47"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49"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95" fillId="0" borderId="0" applyFont="0" applyFill="0" applyBorder="0" applyAlignment="0" applyProtection="0"/>
    <xf numFmtId="44" fontId="12" fillId="0" borderId="0" applyFont="0" applyFill="0" applyBorder="0" applyAlignment="0" applyProtection="0"/>
    <xf numFmtId="44" fontId="47"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47" fillId="0" borderId="0" applyFont="0" applyFill="0" applyBorder="0" applyAlignment="0" applyProtection="0"/>
    <xf numFmtId="44" fontId="11" fillId="0" borderId="0" applyFont="0" applyFill="0" applyBorder="0" applyAlignment="0" applyProtection="0"/>
    <xf numFmtId="44" fontId="47" fillId="0" borderId="0" applyFont="0" applyFill="0" applyBorder="0" applyAlignment="0" applyProtection="0"/>
    <xf numFmtId="44" fontId="11" fillId="0" borderId="0" applyFont="0" applyFill="0" applyBorder="0" applyAlignment="0" applyProtection="0"/>
    <xf numFmtId="44" fontId="47" fillId="0" borderId="0" applyFont="0" applyFill="0" applyBorder="0" applyAlignment="0" applyProtection="0"/>
    <xf numFmtId="44" fontId="70" fillId="0" borderId="0" applyFont="0" applyFill="0" applyBorder="0" applyAlignment="0" applyProtection="0"/>
    <xf numFmtId="44" fontId="49"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5" fontId="11" fillId="0" borderId="0" applyFill="0" applyBorder="0" applyAlignment="0" applyProtection="0"/>
    <xf numFmtId="0" fontId="96" fillId="26" borderId="0">
      <alignment horizontal="right"/>
      <protection locked="0"/>
    </xf>
    <xf numFmtId="174" fontId="11" fillId="0" borderId="0" applyFill="0" applyBorder="0" applyAlignment="0" applyProtection="0"/>
    <xf numFmtId="14" fontId="11" fillId="0" borderId="0"/>
    <xf numFmtId="0" fontId="90" fillId="0" borderId="0" applyNumberFormat="0" applyFill="0" applyBorder="0" applyAlignment="0" applyProtection="0"/>
    <xf numFmtId="2" fontId="96" fillId="26" borderId="0">
      <alignment horizontal="right"/>
      <protection locked="0"/>
    </xf>
    <xf numFmtId="1" fontId="11" fillId="0" borderId="0">
      <alignment horizontal="center"/>
    </xf>
    <xf numFmtId="2" fontId="11" fillId="0" borderId="0" applyFill="0" applyBorder="0" applyAlignment="0" applyProtection="0"/>
    <xf numFmtId="0" fontId="83" fillId="6" borderId="0" applyNumberFormat="0" applyBorder="0" applyAlignment="0" applyProtection="0"/>
    <xf numFmtId="38" fontId="49" fillId="27" borderId="0" applyNumberFormat="0" applyBorder="0" applyAlignment="0" applyProtection="0"/>
    <xf numFmtId="0" fontId="4" fillId="0" borderId="6" applyNumberFormat="0" applyAlignment="0" applyProtection="0">
      <alignment horizontal="left" vertical="center"/>
    </xf>
    <xf numFmtId="0" fontId="4" fillId="0" borderId="7">
      <alignment horizontal="left" vertical="center"/>
    </xf>
    <xf numFmtId="0" fontId="97" fillId="0" borderId="9" applyNumberFormat="0" applyFill="0" applyAlignment="0" applyProtection="0"/>
    <xf numFmtId="0" fontId="107" fillId="0" borderId="8" applyNumberFormat="0" applyFill="0" applyAlignment="0" applyProtection="0"/>
    <xf numFmtId="0" fontId="98" fillId="0" borderId="10" applyNumberFormat="0" applyFill="0" applyAlignment="0" applyProtection="0"/>
    <xf numFmtId="0" fontId="108" fillId="0" borderId="10" applyNumberFormat="0" applyFill="0" applyAlignment="0" applyProtection="0"/>
    <xf numFmtId="0" fontId="99" fillId="0" borderId="12" applyNumberFormat="0" applyFill="0" applyAlignment="0" applyProtection="0"/>
    <xf numFmtId="0" fontId="109" fillId="0" borderId="11" applyNumberFormat="0" applyFill="0" applyAlignment="0" applyProtection="0"/>
    <xf numFmtId="0" fontId="104" fillId="0" borderId="0" applyNumberFormat="0" applyFill="0" applyBorder="0" applyAlignment="0" applyProtection="0"/>
    <xf numFmtId="0" fontId="100" fillId="0" borderId="0" applyNumberFormat="0" applyFill="0" applyBorder="0" applyAlignment="0" applyProtection="0">
      <alignment vertical="top"/>
      <protection locked="0"/>
    </xf>
    <xf numFmtId="0" fontId="101"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10" fontId="49" fillId="28" borderId="13" applyNumberFormat="0" applyBorder="0" applyAlignment="0" applyProtection="0"/>
    <xf numFmtId="0" fontId="105" fillId="12" borderId="3" applyNumberFormat="0" applyAlignment="0" applyProtection="0"/>
    <xf numFmtId="3" fontId="102" fillId="27" borderId="0">
      <protection locked="0"/>
    </xf>
    <xf numFmtId="4" fontId="102" fillId="27" borderId="0">
      <protection locked="0"/>
    </xf>
    <xf numFmtId="0" fontId="87" fillId="0" borderId="14" applyNumberFormat="0" applyFill="0" applyAlignment="0" applyProtection="0"/>
    <xf numFmtId="41" fontId="62" fillId="29" borderId="0" applyFill="0" applyBorder="0" applyAlignment="0" applyProtection="0"/>
    <xf numFmtId="0" fontId="85" fillId="12" borderId="0" applyNumberFormat="0" applyBorder="0" applyAlignment="0" applyProtection="0"/>
    <xf numFmtId="43"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37" fontId="5" fillId="0" borderId="0"/>
    <xf numFmtId="0" fontId="114" fillId="0" borderId="0"/>
    <xf numFmtId="0" fontId="114" fillId="0" borderId="0"/>
    <xf numFmtId="0" fontId="47" fillId="0" borderId="0"/>
    <xf numFmtId="0" fontId="11" fillId="0" borderId="0"/>
    <xf numFmtId="0" fontId="11" fillId="0" borderId="0"/>
    <xf numFmtId="0" fontId="11" fillId="0" borderId="0"/>
    <xf numFmtId="37" fontId="5" fillId="0" borderId="0"/>
    <xf numFmtId="37" fontId="5" fillId="0" borderId="0"/>
    <xf numFmtId="0" fontId="114" fillId="0" borderId="0"/>
    <xf numFmtId="0" fontId="47" fillId="0" borderId="0"/>
    <xf numFmtId="37" fontId="5" fillId="0" borderId="0"/>
    <xf numFmtId="0" fontId="47" fillId="0" borderId="0"/>
    <xf numFmtId="37" fontId="5" fillId="0" borderId="0"/>
    <xf numFmtId="0" fontId="47" fillId="0" borderId="0"/>
    <xf numFmtId="37" fontId="5" fillId="0" borderId="0"/>
    <xf numFmtId="0" fontId="47" fillId="0" borderId="0"/>
    <xf numFmtId="0" fontId="114" fillId="0" borderId="0"/>
    <xf numFmtId="0" fontId="47" fillId="0" borderId="0"/>
    <xf numFmtId="0" fontId="47" fillId="0" borderId="0"/>
    <xf numFmtId="0" fontId="47" fillId="0" borderId="0"/>
    <xf numFmtId="0" fontId="47" fillId="0" borderId="0"/>
    <xf numFmtId="0" fontId="113" fillId="0" borderId="0"/>
    <xf numFmtId="169" fontId="13" fillId="0" borderId="0"/>
    <xf numFmtId="0" fontId="11" fillId="0" borderId="0"/>
    <xf numFmtId="0" fontId="11" fillId="0" borderId="0"/>
    <xf numFmtId="0" fontId="11" fillId="0" borderId="0"/>
    <xf numFmtId="0" fontId="11" fillId="0" borderId="0"/>
    <xf numFmtId="0" fontId="15" fillId="0" borderId="0"/>
    <xf numFmtId="0" fontId="11" fillId="0" borderId="0"/>
    <xf numFmtId="0" fontId="11" fillId="0" borderId="0"/>
    <xf numFmtId="0" fontId="11" fillId="0" borderId="0"/>
    <xf numFmtId="0" fontId="114" fillId="0" borderId="0"/>
    <xf numFmtId="0" fontId="11" fillId="0" borderId="0"/>
    <xf numFmtId="0" fontId="11" fillId="0" borderId="0"/>
    <xf numFmtId="0" fontId="4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6" fillId="0" borderId="0"/>
    <xf numFmtId="0" fontId="114" fillId="0" borderId="0"/>
    <xf numFmtId="0" fontId="3" fillId="0" borderId="0">
      <alignment vertical="top"/>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4"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5" fillId="0" borderId="0"/>
    <xf numFmtId="0" fontId="1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6" fillId="0" borderId="0"/>
    <xf numFmtId="0" fontId="11" fillId="0" borderId="0"/>
    <xf numFmtId="0" fontId="47" fillId="0" borderId="0"/>
    <xf numFmtId="0" fontId="3" fillId="0" borderId="0">
      <alignment vertical="top"/>
    </xf>
    <xf numFmtId="0" fontId="3" fillId="0" borderId="0">
      <alignment vertical="top"/>
    </xf>
    <xf numFmtId="0" fontId="3" fillId="0" borderId="0">
      <alignment vertical="top"/>
    </xf>
    <xf numFmtId="0" fontId="47" fillId="0" borderId="0"/>
    <xf numFmtId="0" fontId="114" fillId="0" borderId="0"/>
    <xf numFmtId="0" fontId="114" fillId="0" borderId="0"/>
    <xf numFmtId="37" fontId="27" fillId="0" borderId="0"/>
    <xf numFmtId="37" fontId="5" fillId="0" borderId="0"/>
    <xf numFmtId="0" fontId="11" fillId="0" borderId="0"/>
    <xf numFmtId="0" fontId="9" fillId="0" borderId="0"/>
    <xf numFmtId="0" fontId="47" fillId="7" borderId="15" applyNumberFormat="0" applyFont="0" applyAlignment="0" applyProtection="0"/>
    <xf numFmtId="0" fontId="49" fillId="7" borderId="15" applyNumberFormat="0" applyFont="0" applyAlignment="0" applyProtection="0"/>
    <xf numFmtId="170" fontId="103" fillId="0" borderId="0" applyNumberFormat="0"/>
    <xf numFmtId="0" fontId="99" fillId="22" borderId="16" applyNumberFormat="0" applyAlignment="0" applyProtection="0"/>
    <xf numFmtId="9" fontId="8" fillId="0" borderId="0" applyFont="0" applyFill="0" applyBorder="0" applyAlignment="0" applyProtection="0"/>
    <xf numFmtId="10" fontId="11" fillId="0" borderId="0" applyFont="0" applyFill="0" applyBorder="0" applyAlignment="0" applyProtection="0"/>
    <xf numFmtId="9" fontId="47" fillId="0" borderId="0" applyFont="0" applyFill="0" applyBorder="0" applyAlignment="0" applyProtection="0"/>
    <xf numFmtId="9" fontId="114" fillId="0" borderId="0" applyFont="0" applyFill="0" applyBorder="0" applyAlignment="0" applyProtection="0"/>
    <xf numFmtId="9" fontId="115" fillId="0" borderId="0" applyFont="0" applyFill="0" applyBorder="0" applyAlignment="0" applyProtection="0"/>
    <xf numFmtId="9" fontId="5" fillId="0" borderId="0" applyFont="0" applyFill="0" applyBorder="0" applyAlignment="0" applyProtection="0"/>
    <xf numFmtId="9" fontId="71" fillId="0" borderId="0" applyFont="0" applyFill="0" applyBorder="0" applyAlignment="0" applyProtection="0"/>
    <xf numFmtId="9" fontId="12"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1" fillId="0" borderId="0" applyFont="0" applyFill="0" applyBorder="0" applyAlignment="0" applyProtection="0"/>
    <xf numFmtId="9" fontId="71" fillId="0" borderId="0" applyFont="0" applyFill="0" applyBorder="0" applyAlignment="0" applyProtection="0"/>
    <xf numFmtId="9" fontId="49"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70" fillId="0" borderId="0" applyFont="0" applyFill="0" applyBorder="0" applyAlignment="0" applyProtection="0"/>
    <xf numFmtId="9" fontId="47" fillId="0" borderId="0" applyFont="0" applyFill="0" applyBorder="0" applyAlignment="0" applyProtection="0"/>
    <xf numFmtId="170" fontId="11" fillId="0" borderId="0" applyFont="0" applyFill="0" applyBorder="0" applyAlignment="0" applyProtection="0"/>
    <xf numFmtId="10" fontId="11" fillId="0" borderId="0" applyFont="0" applyFill="0" applyBorder="0" applyAlignment="0" applyProtection="0"/>
    <xf numFmtId="0" fontId="11" fillId="0" borderId="0"/>
    <xf numFmtId="0" fontId="11" fillId="0" borderId="0"/>
    <xf numFmtId="0" fontId="11" fillId="0" borderId="0"/>
    <xf numFmtId="0" fontId="11" fillId="0" borderId="0"/>
    <xf numFmtId="38" fontId="63" fillId="0" borderId="0" applyNumberFormat="0" applyFont="0" applyFill="0" applyBorder="0">
      <alignment horizontal="left" indent="4"/>
      <protection locked="0"/>
    </xf>
    <xf numFmtId="0" fontId="64" fillId="0" borderId="0" applyNumberFormat="0" applyFont="0" applyFill="0" applyBorder="0" applyAlignment="0" applyProtection="0">
      <alignment horizontal="left"/>
    </xf>
    <xf numFmtId="15" fontId="64" fillId="0" borderId="0" applyFont="0" applyFill="0" applyBorder="0" applyAlignment="0" applyProtection="0"/>
    <xf numFmtId="4" fontId="64" fillId="0" borderId="0" applyFont="0" applyFill="0" applyBorder="0" applyAlignment="0" applyProtection="0"/>
    <xf numFmtId="0" fontId="65" fillId="0" borderId="17">
      <alignment horizontal="center"/>
    </xf>
    <xf numFmtId="0" fontId="65" fillId="0" borderId="17">
      <alignment horizontal="center"/>
    </xf>
    <xf numFmtId="3" fontId="64" fillId="0" borderId="0" applyFont="0" applyFill="0" applyBorder="0" applyAlignment="0" applyProtection="0"/>
    <xf numFmtId="0" fontId="64" fillId="30" borderId="0" applyNumberFormat="0" applyFont="0" applyBorder="0" applyAlignment="0" applyProtection="0"/>
    <xf numFmtId="175" fontId="28" fillId="31" borderId="18" applyNumberFormat="0" applyFill="0"/>
    <xf numFmtId="0" fontId="66" fillId="31" borderId="0" applyNumberFormat="0" applyFill="0" applyBorder="0" applyAlignment="0" applyProtection="0">
      <alignment horizontal="left" indent="7"/>
    </xf>
    <xf numFmtId="0" fontId="11" fillId="32" borderId="18" applyNumberFormat="0" applyFill="0">
      <alignment horizontal="left" indent="6"/>
    </xf>
    <xf numFmtId="175" fontId="52" fillId="0" borderId="19" applyNumberFormat="0" applyFill="0"/>
    <xf numFmtId="0" fontId="38" fillId="33" borderId="13" applyNumberFormat="0" applyFill="0" applyBorder="0" applyAlignment="0">
      <alignment horizontal="right"/>
    </xf>
    <xf numFmtId="0" fontId="46" fillId="34" borderId="18" applyNumberFormat="0" applyFill="0" applyBorder="0" applyAlignment="0"/>
    <xf numFmtId="0" fontId="52" fillId="0" borderId="18" applyNumberFormat="0" applyFill="0"/>
    <xf numFmtId="175" fontId="52" fillId="0" borderId="18" applyNumberFormat="0" applyFill="0"/>
    <xf numFmtId="0" fontId="11" fillId="35" borderId="0" applyNumberFormat="0" applyFill="0" applyBorder="0" applyAlignment="0"/>
    <xf numFmtId="0" fontId="67" fillId="36" borderId="18" applyNumberFormat="0" applyFill="0" applyBorder="0">
      <alignment horizontal="left" indent="1"/>
    </xf>
    <xf numFmtId="0" fontId="38" fillId="0" borderId="18" applyNumberFormat="0" applyFill="0">
      <alignment horizontal="left" indent="1"/>
    </xf>
    <xf numFmtId="175" fontId="52" fillId="0" borderId="18" applyNumberFormat="0" applyFill="0"/>
    <xf numFmtId="0" fontId="11" fillId="24" borderId="0" applyNumberFormat="0" applyFill="0" applyBorder="0" applyAlignment="0"/>
    <xf numFmtId="0" fontId="46" fillId="24" borderId="18" applyNumberFormat="0" applyFill="0" applyBorder="0">
      <alignment horizontal="left" indent="2"/>
    </xf>
    <xf numFmtId="0" fontId="38" fillId="24" borderId="18" applyNumberFormat="0" applyFill="0">
      <alignment horizontal="left" indent="2"/>
    </xf>
    <xf numFmtId="175" fontId="28" fillId="0" borderId="18" applyNumberFormat="0" applyFill="0"/>
    <xf numFmtId="0" fontId="11" fillId="0" borderId="0" applyNumberFormat="0" applyFill="0" applyBorder="0" applyAlignment="0"/>
    <xf numFmtId="0" fontId="67" fillId="0" borderId="18" applyNumberFormat="0" applyFill="0" applyBorder="0">
      <alignment horizontal="left" indent="3"/>
    </xf>
    <xf numFmtId="0" fontId="11" fillId="0" borderId="18" applyNumberFormat="0" applyFill="0" applyProtection="0">
      <alignment horizontal="left" indent="3"/>
    </xf>
    <xf numFmtId="175" fontId="28" fillId="0" borderId="18" applyNumberFormat="0" applyFill="0"/>
    <xf numFmtId="0" fontId="11" fillId="0" borderId="0" applyNumberFormat="0" applyFill="0" applyBorder="0" applyAlignment="0"/>
    <xf numFmtId="0" fontId="45" fillId="0" borderId="18" applyNumberFormat="0" applyFill="0" applyBorder="0">
      <alignment horizontal="left" indent="4"/>
    </xf>
    <xf numFmtId="176" fontId="11" fillId="0" borderId="18" applyNumberFormat="0" applyFill="0">
      <alignment horizontal="left" indent="4"/>
    </xf>
    <xf numFmtId="175" fontId="28" fillId="0" borderId="18" applyNumberFormat="0" applyFill="0"/>
    <xf numFmtId="0" fontId="11" fillId="0" borderId="0" applyNumberFormat="0" applyBorder="0" applyAlignment="0"/>
    <xf numFmtId="0" fontId="45" fillId="0" borderId="18" applyNumberFormat="0" applyFill="0" applyBorder="0">
      <alignment horizontal="left" indent="5"/>
    </xf>
    <xf numFmtId="0" fontId="11" fillId="0" borderId="18" applyNumberFormat="0" applyFill="0">
      <alignment horizontal="left" indent="5"/>
    </xf>
    <xf numFmtId="175" fontId="28" fillId="0" borderId="18" applyNumberFormat="0" applyFill="0"/>
    <xf numFmtId="0" fontId="11" fillId="0" borderId="0" applyNumberFormat="0" applyFill="0" applyBorder="0" applyAlignment="0"/>
    <xf numFmtId="0" fontId="68" fillId="0" borderId="18" applyNumberFormat="0" applyFill="0" applyBorder="0">
      <alignment horizontal="left" indent="6"/>
    </xf>
    <xf numFmtId="0" fontId="56" fillId="0" borderId="18" applyNumberFormat="0" applyFill="0">
      <alignment horizontal="left" indent="6"/>
    </xf>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3" fillId="0" borderId="0">
      <alignment vertical="top"/>
    </xf>
    <xf numFmtId="0" fontId="3" fillId="0" borderId="0">
      <alignment vertical="top"/>
    </xf>
    <xf numFmtId="0" fontId="3" fillId="0" borderId="0" applyNumberFormat="0" applyBorder="0" applyAlignment="0"/>
    <xf numFmtId="0" fontId="3" fillId="0" borderId="0" applyNumberFormat="0" applyBorder="0" applyAlignment="0"/>
    <xf numFmtId="37" fontId="111" fillId="0" borderId="0"/>
    <xf numFmtId="175" fontId="69" fillId="31" borderId="18" applyNumberFormat="0" applyProtection="0">
      <alignment horizontal="right"/>
    </xf>
    <xf numFmtId="0" fontId="106" fillId="0" borderId="0" applyNumberFormat="0" applyFill="0" applyBorder="0" applyAlignment="0" applyProtection="0"/>
    <xf numFmtId="0" fontId="91" fillId="0" borderId="21" applyNumberFormat="0" applyFill="0" applyAlignment="0" applyProtection="0"/>
    <xf numFmtId="0" fontId="91" fillId="0" borderId="20" applyNumberFormat="0" applyFill="0" applyAlignment="0" applyProtection="0"/>
    <xf numFmtId="0" fontId="89" fillId="0" borderId="0" applyNumberFormat="0" applyFill="0" applyBorder="0" applyAlignment="0" applyProtection="0"/>
    <xf numFmtId="171" fontId="5" fillId="31" borderId="0" applyFont="0" applyFill="0" applyBorder="0" applyAlignment="0" applyProtection="0">
      <alignment wrapText="1"/>
    </xf>
    <xf numFmtId="0" fontId="5" fillId="31" borderId="22" applyNumberFormat="0" applyFill="0" applyBorder="0" applyProtection="0">
      <alignment horizontal="right"/>
    </xf>
    <xf numFmtId="0" fontId="26" fillId="22" borderId="0"/>
    <xf numFmtId="41" fontId="12" fillId="32" borderId="0">
      <alignment horizontal="left"/>
    </xf>
    <xf numFmtId="10" fontId="12" fillId="32" borderId="0"/>
    <xf numFmtId="41" fontId="12" fillId="32" borderId="0">
      <alignment horizontal="left"/>
    </xf>
    <xf numFmtId="0" fontId="143" fillId="37" borderId="0" applyNumberFormat="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175" fillId="0" borderId="0" applyFont="0" applyFill="0" applyBorder="0" applyAlignment="0" applyProtection="0"/>
    <xf numFmtId="0" fontId="1" fillId="0" borderId="0"/>
  </cellStyleXfs>
  <cellXfs count="894">
    <xf numFmtId="37" fontId="0" fillId="0" borderId="0" xfId="0"/>
    <xf numFmtId="37" fontId="6" fillId="0" borderId="0" xfId="0" applyFont="1"/>
    <xf numFmtId="37" fontId="6" fillId="0" borderId="0" xfId="0" applyFont="1" applyAlignment="1">
      <alignment horizontal="center"/>
    </xf>
    <xf numFmtId="37" fontId="7" fillId="0" borderId="0" xfId="0" applyFont="1"/>
    <xf numFmtId="37" fontId="7" fillId="0" borderId="0" xfId="0" applyFont="1" applyAlignment="1">
      <alignment horizontal="center"/>
    </xf>
    <xf numFmtId="41" fontId="15" fillId="0" borderId="0" xfId="0" applyNumberFormat="1" applyFont="1"/>
    <xf numFmtId="37" fontId="20" fillId="0" borderId="0" xfId="0" applyFont="1"/>
    <xf numFmtId="37" fontId="19" fillId="0" borderId="0" xfId="0" applyFont="1" applyAlignment="1">
      <alignment horizontal="center"/>
    </xf>
    <xf numFmtId="37" fontId="16" fillId="0" borderId="0" xfId="0" applyFont="1"/>
    <xf numFmtId="37" fontId="16" fillId="0" borderId="0" xfId="0" applyFont="1" applyAlignment="1">
      <alignment horizontal="left" indent="1"/>
    </xf>
    <xf numFmtId="41" fontId="16" fillId="0" borderId="0" xfId="0" applyNumberFormat="1" applyFont="1"/>
    <xf numFmtId="37" fontId="22" fillId="0" borderId="0" xfId="0" applyFont="1"/>
    <xf numFmtId="37" fontId="19" fillId="0" borderId="0" xfId="0" applyFont="1"/>
    <xf numFmtId="165" fontId="15" fillId="0" borderId="0" xfId="0" applyNumberFormat="1" applyFont="1"/>
    <xf numFmtId="37" fontId="6" fillId="0" borderId="0" xfId="0" applyFont="1" applyAlignment="1">
      <alignment wrapText="1"/>
    </xf>
    <xf numFmtId="37" fontId="6" fillId="0" borderId="0" xfId="0" quotePrefix="1" applyFont="1" applyAlignment="1">
      <alignment wrapText="1"/>
    </xf>
    <xf numFmtId="164" fontId="6" fillId="0" borderId="0" xfId="0" applyNumberFormat="1" applyFont="1"/>
    <xf numFmtId="37" fontId="4" fillId="0" borderId="0" xfId="0" applyFont="1" applyAlignment="1">
      <alignment horizontal="center"/>
    </xf>
    <xf numFmtId="37" fontId="34" fillId="0" borderId="0" xfId="0" applyFont="1"/>
    <xf numFmtId="171" fontId="0" fillId="0" borderId="0" xfId="78" applyNumberFormat="1" applyFont="1"/>
    <xf numFmtId="37" fontId="22" fillId="0" borderId="0" xfId="0" applyFont="1" applyAlignment="1">
      <alignment horizontal="right" indent="1"/>
    </xf>
    <xf numFmtId="171" fontId="4" fillId="0" borderId="7" xfId="78" applyNumberFormat="1" applyFont="1" applyBorder="1"/>
    <xf numFmtId="9" fontId="0" fillId="0" borderId="0" xfId="323" applyFont="1"/>
    <xf numFmtId="37" fontId="35" fillId="0" borderId="0" xfId="0" applyFont="1"/>
    <xf numFmtId="37" fontId="36" fillId="0" borderId="0" xfId="0" applyFont="1" applyAlignment="1">
      <alignment horizontal="center"/>
    </xf>
    <xf numFmtId="37" fontId="34" fillId="0" borderId="5" xfId="0" applyFont="1" applyBorder="1" applyAlignment="1">
      <alignment horizontal="center"/>
    </xf>
    <xf numFmtId="171" fontId="34" fillId="0" borderId="0" xfId="78" applyNumberFormat="1" applyFont="1"/>
    <xf numFmtId="37" fontId="40" fillId="0" borderId="0" xfId="0" applyFont="1"/>
    <xf numFmtId="171" fontId="34" fillId="0" borderId="0" xfId="78" applyNumberFormat="1" applyFont="1" applyFill="1"/>
    <xf numFmtId="171" fontId="0" fillId="0" borderId="0" xfId="78" applyNumberFormat="1" applyFont="1" applyFill="1"/>
    <xf numFmtId="171" fontId="4" fillId="0" borderId="7" xfId="78" applyNumberFormat="1" applyFont="1" applyFill="1" applyBorder="1"/>
    <xf numFmtId="37" fontId="34" fillId="0" borderId="0" xfId="0" applyFont="1" applyAlignment="1">
      <alignment horizontal="center"/>
    </xf>
    <xf numFmtId="171" fontId="112" fillId="0" borderId="0" xfId="78" applyNumberFormat="1" applyFont="1" applyFill="1"/>
    <xf numFmtId="9" fontId="112" fillId="0" borderId="0" xfId="323" applyFont="1" applyFill="1"/>
    <xf numFmtId="171" fontId="37" fillId="0" borderId="7" xfId="78" applyNumberFormat="1" applyFont="1" applyFill="1" applyBorder="1"/>
    <xf numFmtId="9" fontId="34" fillId="0" borderId="0" xfId="323" applyFont="1" applyFill="1"/>
    <xf numFmtId="171" fontId="44" fillId="0" borderId="0" xfId="78" applyNumberFormat="1" applyFont="1" applyFill="1"/>
    <xf numFmtId="171" fontId="42" fillId="0" borderId="0" xfId="78" applyNumberFormat="1" applyFont="1" applyFill="1"/>
    <xf numFmtId="171" fontId="41" fillId="0" borderId="0" xfId="78" applyNumberFormat="1" applyFont="1" applyFill="1"/>
    <xf numFmtId="37" fontId="133" fillId="0" borderId="0" xfId="0" applyFont="1" applyAlignment="1">
      <alignment horizontal="center"/>
    </xf>
    <xf numFmtId="41" fontId="22" fillId="0" borderId="0" xfId="0" applyNumberFormat="1" applyFont="1"/>
    <xf numFmtId="37" fontId="16" fillId="0" borderId="0" xfId="0" applyFont="1" applyAlignment="1">
      <alignment horizontal="center"/>
    </xf>
    <xf numFmtId="41" fontId="22" fillId="0" borderId="0" xfId="0" applyNumberFormat="1" applyFont="1" applyAlignment="1">
      <alignment horizontal="center"/>
    </xf>
    <xf numFmtId="41" fontId="23" fillId="0" borderId="0" xfId="0" applyNumberFormat="1" applyFont="1" applyAlignment="1">
      <alignment horizontal="center"/>
    </xf>
    <xf numFmtId="42" fontId="16" fillId="0" borderId="0" xfId="0" applyNumberFormat="1" applyFont="1"/>
    <xf numFmtId="41" fontId="16" fillId="0" borderId="23" xfId="0" applyNumberFormat="1" applyFont="1" applyBorder="1"/>
    <xf numFmtId="41" fontId="16" fillId="0" borderId="0" xfId="0" applyNumberFormat="1" applyFont="1" applyAlignment="1">
      <alignment horizontal="center"/>
    </xf>
    <xf numFmtId="41" fontId="16" fillId="0" borderId="26" xfId="0" applyNumberFormat="1" applyFont="1" applyBorder="1"/>
    <xf numFmtId="42" fontId="16" fillId="0" borderId="24" xfId="0" applyNumberFormat="1" applyFont="1" applyBorder="1"/>
    <xf numFmtId="41" fontId="135" fillId="0" borderId="0" xfId="0" applyNumberFormat="1" applyFont="1"/>
    <xf numFmtId="41" fontId="16" fillId="0" borderId="5" xfId="0" applyNumberFormat="1" applyFont="1" applyBorder="1"/>
    <xf numFmtId="171" fontId="127" fillId="0" borderId="0" xfId="78" applyNumberFormat="1" applyFont="1" applyFill="1"/>
    <xf numFmtId="171" fontId="0" fillId="0" borderId="5" xfId="78" applyNumberFormat="1" applyFont="1" applyBorder="1"/>
    <xf numFmtId="0" fontId="26" fillId="38" borderId="0" xfId="422" applyFill="1"/>
    <xf numFmtId="0" fontId="144" fillId="38" borderId="0" xfId="422" applyFont="1" applyFill="1"/>
    <xf numFmtId="0" fontId="144" fillId="38" borderId="17" xfId="422" applyFont="1" applyFill="1" applyBorder="1"/>
    <xf numFmtId="0" fontId="144" fillId="0" borderId="31" xfId="422" applyFont="1" applyFill="1" applyBorder="1"/>
    <xf numFmtId="0" fontId="144" fillId="0" borderId="0" xfId="422" applyFont="1" applyFill="1" applyAlignment="1">
      <alignment horizontal="center"/>
    </xf>
    <xf numFmtId="0" fontId="144" fillId="0" borderId="0" xfId="422" applyFont="1" applyFill="1"/>
    <xf numFmtId="0" fontId="146" fillId="37" borderId="41" xfId="426" applyNumberFormat="1" applyFont="1" applyBorder="1" applyAlignment="1">
      <alignment horizontal="centerContinuous"/>
    </xf>
    <xf numFmtId="0" fontId="147" fillId="37" borderId="6" xfId="426" applyNumberFormat="1" applyFont="1" applyBorder="1" applyAlignment="1">
      <alignment horizontal="centerContinuous"/>
    </xf>
    <xf numFmtId="0" fontId="147" fillId="37" borderId="6" xfId="426" applyNumberFormat="1" applyFont="1" applyBorder="1" applyAlignment="1">
      <alignment horizontal="left"/>
    </xf>
    <xf numFmtId="0" fontId="26" fillId="22" borderId="0" xfId="422"/>
    <xf numFmtId="0" fontId="26" fillId="22" borderId="31" xfId="422" applyBorder="1"/>
    <xf numFmtId="0" fontId="6" fillId="22" borderId="47" xfId="422" applyFont="1" applyBorder="1"/>
    <xf numFmtId="0" fontId="6" fillId="22" borderId="0" xfId="422" applyFont="1"/>
    <xf numFmtId="0" fontId="149" fillId="22" borderId="0" xfId="422" applyFont="1" applyAlignment="1">
      <alignment horizontal="center"/>
    </xf>
    <xf numFmtId="0" fontId="26" fillId="22" borderId="0" xfId="422" applyAlignment="1">
      <alignment horizontal="center"/>
    </xf>
    <xf numFmtId="0" fontId="147" fillId="37" borderId="48" xfId="426" applyNumberFormat="1" applyFont="1" applyBorder="1" applyAlignment="1">
      <alignment horizontal="left"/>
    </xf>
    <xf numFmtId="0" fontId="26" fillId="39" borderId="0" xfId="422" applyFill="1"/>
    <xf numFmtId="0" fontId="6" fillId="22" borderId="31" xfId="422" applyFont="1" applyBorder="1"/>
    <xf numFmtId="0" fontId="150" fillId="40" borderId="0" xfId="422" applyFont="1" applyFill="1" applyAlignment="1">
      <alignment horizontal="center"/>
    </xf>
    <xf numFmtId="0" fontId="151" fillId="38" borderId="0" xfId="422" applyFont="1" applyFill="1"/>
    <xf numFmtId="0" fontId="152" fillId="22" borderId="35" xfId="422" applyFont="1" applyBorder="1" applyAlignment="1">
      <alignment horizontal="right"/>
    </xf>
    <xf numFmtId="41" fontId="6" fillId="0" borderId="28" xfId="425" applyFont="1" applyFill="1" applyBorder="1">
      <alignment horizontal="left"/>
    </xf>
    <xf numFmtId="0" fontId="152" fillId="22" borderId="31" xfId="422" applyFont="1" applyBorder="1"/>
    <xf numFmtId="0" fontId="152" fillId="22" borderId="0" xfId="422" applyFont="1"/>
    <xf numFmtId="0" fontId="153" fillId="40" borderId="0" xfId="422" applyFont="1" applyFill="1" applyAlignment="1">
      <alignment horizontal="center"/>
    </xf>
    <xf numFmtId="41" fontId="26" fillId="38" borderId="0" xfId="422" applyNumberFormat="1" applyFill="1"/>
    <xf numFmtId="0" fontId="12" fillId="22" borderId="0" xfId="422" applyFont="1"/>
    <xf numFmtId="0" fontId="152" fillId="22" borderId="29" xfId="422" applyFont="1" applyBorder="1"/>
    <xf numFmtId="0" fontId="150" fillId="40" borderId="5" xfId="422" applyFont="1" applyFill="1" applyBorder="1"/>
    <xf numFmtId="0" fontId="153" fillId="40" borderId="5" xfId="422" applyFont="1" applyFill="1" applyBorder="1" applyAlignment="1">
      <alignment horizontal="center"/>
    </xf>
    <xf numFmtId="0" fontId="153" fillId="40" borderId="5" xfId="422" applyFont="1" applyFill="1" applyBorder="1"/>
    <xf numFmtId="0" fontId="152" fillId="22" borderId="0" xfId="422" applyFont="1" applyAlignment="1">
      <alignment horizontal="right"/>
    </xf>
    <xf numFmtId="41" fontId="152" fillId="22" borderId="0" xfId="422" applyNumberFormat="1" applyFont="1"/>
    <xf numFmtId="0" fontId="155" fillId="22" borderId="31" xfId="422" applyFont="1" applyBorder="1" applyAlignment="1">
      <alignment horizontal="center"/>
    </xf>
    <xf numFmtId="2" fontId="26" fillId="22" borderId="31" xfId="422" applyNumberFormat="1" applyBorder="1" applyAlignment="1">
      <alignment horizontal="center"/>
    </xf>
    <xf numFmtId="178" fontId="26" fillId="22" borderId="0" xfId="422" applyNumberFormat="1"/>
    <xf numFmtId="10" fontId="154" fillId="22" borderId="0" xfId="422" applyNumberFormat="1" applyFont="1"/>
    <xf numFmtId="41" fontId="26" fillId="22" borderId="30" xfId="422" applyNumberFormat="1" applyBorder="1"/>
    <xf numFmtId="41" fontId="26" fillId="22" borderId="31" xfId="422" applyNumberFormat="1" applyBorder="1"/>
    <xf numFmtId="41" fontId="26" fillId="22" borderId="0" xfId="422" applyNumberFormat="1"/>
    <xf numFmtId="0" fontId="152" fillId="22" borderId="35" xfId="422" applyFont="1" applyBorder="1" applyAlignment="1">
      <alignment horizontal="center"/>
    </xf>
    <xf numFmtId="0" fontId="26" fillId="22" borderId="31" xfId="422" applyBorder="1" applyAlignment="1">
      <alignment horizontal="center"/>
    </xf>
    <xf numFmtId="0" fontId="26" fillId="22" borderId="29" xfId="422" applyBorder="1" applyAlignment="1">
      <alignment horizontal="center"/>
    </xf>
    <xf numFmtId="0" fontId="153" fillId="22" borderId="35" xfId="422" applyFont="1" applyBorder="1" applyAlignment="1">
      <alignment horizontal="right"/>
    </xf>
    <xf numFmtId="178" fontId="155" fillId="22" borderId="0" xfId="422" applyNumberFormat="1" applyFont="1"/>
    <xf numFmtId="0" fontId="152" fillId="22" borderId="36" xfId="422" applyFont="1" applyBorder="1" applyAlignment="1">
      <alignment horizontal="right"/>
    </xf>
    <xf numFmtId="178" fontId="26" fillId="22" borderId="5" xfId="422" applyNumberFormat="1" applyBorder="1"/>
    <xf numFmtId="41" fontId="6" fillId="22" borderId="0" xfId="422" applyNumberFormat="1" applyFont="1"/>
    <xf numFmtId="0" fontId="152" fillId="22" borderId="49" xfId="422" applyFont="1" applyBorder="1" applyAlignment="1">
      <alignment horizontal="right"/>
    </xf>
    <xf numFmtId="10" fontId="152" fillId="22" borderId="0" xfId="422" applyNumberFormat="1" applyFont="1" applyAlignment="1">
      <alignment horizontal="right"/>
    </xf>
    <xf numFmtId="41" fontId="6" fillId="32" borderId="0" xfId="425" applyFont="1" applyAlignment="1">
      <alignment horizontal="right"/>
    </xf>
    <xf numFmtId="0" fontId="26" fillId="22" borderId="0" xfId="422" applyAlignment="1">
      <alignment horizontal="right"/>
    </xf>
    <xf numFmtId="0" fontId="26" fillId="22" borderId="50" xfId="422" applyBorder="1" applyAlignment="1">
      <alignment horizontal="center"/>
    </xf>
    <xf numFmtId="2" fontId="26" fillId="22" borderId="50" xfId="422" applyNumberFormat="1" applyBorder="1" applyAlignment="1">
      <alignment horizontal="center"/>
    </xf>
    <xf numFmtId="178" fontId="26" fillId="22" borderId="51" xfId="422" applyNumberFormat="1" applyBorder="1"/>
    <xf numFmtId="10" fontId="154" fillId="22" borderId="51" xfId="422" applyNumberFormat="1" applyFont="1" applyBorder="1"/>
    <xf numFmtId="41" fontId="26" fillId="22" borderId="52" xfId="422" applyNumberFormat="1" applyBorder="1"/>
    <xf numFmtId="41" fontId="26" fillId="22" borderId="50" xfId="422" applyNumberFormat="1" applyBorder="1"/>
    <xf numFmtId="41" fontId="26" fillId="22" borderId="51" xfId="422" applyNumberFormat="1" applyBorder="1"/>
    <xf numFmtId="0" fontId="150" fillId="40" borderId="50" xfId="422" applyFont="1" applyFill="1" applyBorder="1" applyAlignment="1">
      <alignment horizontal="left"/>
    </xf>
    <xf numFmtId="0" fontId="26" fillId="22" borderId="51" xfId="422" applyBorder="1"/>
    <xf numFmtId="0" fontId="26" fillId="22" borderId="52" xfId="422" applyBorder="1"/>
    <xf numFmtId="0" fontId="156" fillId="22" borderId="0" xfId="422" applyFont="1" applyAlignment="1">
      <alignment horizontal="left"/>
    </xf>
    <xf numFmtId="41" fontId="152" fillId="22" borderId="30" xfId="422" applyNumberFormat="1" applyFont="1" applyBorder="1"/>
    <xf numFmtId="0" fontId="145" fillId="38" borderId="0" xfId="422" applyFont="1" applyFill="1"/>
    <xf numFmtId="0" fontId="153" fillId="22" borderId="0" xfId="422" applyFont="1" applyAlignment="1">
      <alignment horizontal="right"/>
    </xf>
    <xf numFmtId="41" fontId="153" fillId="22" borderId="40" xfId="422" applyNumberFormat="1" applyFont="1" applyBorder="1"/>
    <xf numFmtId="41" fontId="153" fillId="22" borderId="54" xfId="422" applyNumberFormat="1" applyFont="1" applyBorder="1"/>
    <xf numFmtId="0" fontId="26" fillId="22" borderId="29" xfId="422" applyBorder="1"/>
    <xf numFmtId="0" fontId="26" fillId="22" borderId="5" xfId="422" applyBorder="1"/>
    <xf numFmtId="0" fontId="26" fillId="22" borderId="28" xfId="422" applyBorder="1"/>
    <xf numFmtId="0" fontId="150" fillId="40" borderId="0" xfId="422" applyFont="1" applyFill="1" applyAlignment="1">
      <alignment horizontal="right"/>
    </xf>
    <xf numFmtId="0" fontId="150" fillId="32" borderId="0" xfId="422" applyFont="1" applyFill="1" applyAlignment="1">
      <alignment horizontal="centerContinuous"/>
    </xf>
    <xf numFmtId="0" fontId="157" fillId="22" borderId="0" xfId="422" applyFont="1" applyAlignment="1">
      <alignment horizontal="right"/>
    </xf>
    <xf numFmtId="41" fontId="157" fillId="22" borderId="0" xfId="422" applyNumberFormat="1" applyFont="1" applyAlignment="1">
      <alignment horizontal="center"/>
    </xf>
    <xf numFmtId="0" fontId="157" fillId="22" borderId="0" xfId="422" applyFont="1" applyAlignment="1">
      <alignment horizontal="center"/>
    </xf>
    <xf numFmtId="37" fontId="26" fillId="22" borderId="0" xfId="422" applyNumberFormat="1"/>
    <xf numFmtId="39" fontId="26" fillId="22" borderId="0" xfId="422" applyNumberFormat="1"/>
    <xf numFmtId="10" fontId="152" fillId="22" borderId="0" xfId="422" applyNumberFormat="1" applyFont="1" applyAlignment="1">
      <alignment horizontal="center"/>
    </xf>
    <xf numFmtId="41" fontId="152" fillId="22" borderId="0" xfId="422" applyNumberFormat="1" applyFont="1" applyProtection="1">
      <protection locked="0"/>
    </xf>
    <xf numFmtId="41" fontId="152" fillId="22" borderId="5" xfId="422" applyNumberFormat="1" applyFont="1" applyBorder="1" applyProtection="1">
      <protection locked="0"/>
    </xf>
    <xf numFmtId="9" fontId="152" fillId="22" borderId="0" xfId="422" applyNumberFormat="1" applyFont="1" applyAlignment="1">
      <alignment horizontal="center"/>
    </xf>
    <xf numFmtId="41" fontId="152" fillId="22" borderId="55" xfId="422" applyNumberFormat="1" applyFont="1" applyBorder="1"/>
    <xf numFmtId="0" fontId="6" fillId="22" borderId="0" xfId="422" applyFont="1" applyAlignment="1">
      <alignment horizontal="right"/>
    </xf>
    <xf numFmtId="10" fontId="152" fillId="22" borderId="55" xfId="422" applyNumberFormat="1" applyFont="1" applyBorder="1" applyAlignment="1">
      <alignment horizontal="center"/>
    </xf>
    <xf numFmtId="0" fontId="153" fillId="22" borderId="0" xfId="422" applyFont="1" applyAlignment="1">
      <alignment horizontal="center"/>
    </xf>
    <xf numFmtId="0" fontId="158" fillId="22" borderId="0" xfId="422" applyFont="1"/>
    <xf numFmtId="0" fontId="153" fillId="22" borderId="0" xfId="422" applyFont="1"/>
    <xf numFmtId="0" fontId="158" fillId="22" borderId="0" xfId="422" applyFont="1" applyAlignment="1">
      <alignment horizontal="right"/>
    </xf>
    <xf numFmtId="10" fontId="152" fillId="22" borderId="0" xfId="422" applyNumberFormat="1" applyFont="1"/>
    <xf numFmtId="10" fontId="26" fillId="38" borderId="0" xfId="422" applyNumberFormat="1" applyFill="1"/>
    <xf numFmtId="0" fontId="152" fillId="22" borderId="0" xfId="422" quotePrefix="1" applyFont="1" applyAlignment="1">
      <alignment horizontal="left"/>
    </xf>
    <xf numFmtId="179" fontId="26" fillId="22" borderId="0" xfId="422" applyNumberFormat="1"/>
    <xf numFmtId="0" fontId="159" fillId="22" borderId="0" xfId="422" applyFont="1"/>
    <xf numFmtId="39" fontId="152" fillId="22" borderId="0" xfId="422" applyNumberFormat="1" applyFont="1"/>
    <xf numFmtId="0" fontId="26" fillId="22" borderId="35" xfId="422" applyBorder="1"/>
    <xf numFmtId="0" fontId="160" fillId="22" borderId="0" xfId="422" applyFont="1"/>
    <xf numFmtId="0" fontId="26" fillId="22" borderId="50" xfId="422" applyBorder="1" applyAlignment="1">
      <alignment horizontal="centerContinuous"/>
    </xf>
    <xf numFmtId="0" fontId="26" fillId="22" borderId="52" xfId="422" applyBorder="1" applyAlignment="1">
      <alignment horizontal="centerContinuous"/>
    </xf>
    <xf numFmtId="10" fontId="12" fillId="32" borderId="0" xfId="424"/>
    <xf numFmtId="0" fontId="153" fillId="22" borderId="5" xfId="422" applyFont="1" applyBorder="1" applyAlignment="1">
      <alignment horizontal="right"/>
    </xf>
    <xf numFmtId="0" fontId="153" fillId="22" borderId="5" xfId="422" applyFont="1" applyBorder="1" applyAlignment="1">
      <alignment horizontal="center"/>
    </xf>
    <xf numFmtId="0" fontId="26" fillId="22" borderId="31" xfId="422" applyBorder="1" applyAlignment="1">
      <alignment horizontal="centerContinuous"/>
    </xf>
    <xf numFmtId="0" fontId="26" fillId="22" borderId="30" xfId="422" applyBorder="1" applyAlignment="1">
      <alignment horizontal="centerContinuous"/>
    </xf>
    <xf numFmtId="0" fontId="26" fillId="22" borderId="30" xfId="422" applyBorder="1"/>
    <xf numFmtId="0" fontId="72" fillId="22" borderId="0" xfId="422" applyFont="1"/>
    <xf numFmtId="164" fontId="152" fillId="22" borderId="0" xfId="422" applyNumberFormat="1" applyFont="1"/>
    <xf numFmtId="171" fontId="152" fillId="22" borderId="0" xfId="422" applyNumberFormat="1" applyFont="1" applyProtection="1">
      <protection locked="0"/>
    </xf>
    <xf numFmtId="0" fontId="26" fillId="22" borderId="30" xfId="422" applyBorder="1" applyAlignment="1">
      <alignment horizontal="center"/>
    </xf>
    <xf numFmtId="0" fontId="26" fillId="22" borderId="0" xfId="422" quotePrefix="1" applyAlignment="1">
      <alignment horizontal="right"/>
    </xf>
    <xf numFmtId="10" fontId="26" fillId="22" borderId="30" xfId="422" applyNumberFormat="1" applyBorder="1"/>
    <xf numFmtId="10" fontId="26" fillId="22" borderId="0" xfId="422" applyNumberFormat="1" applyAlignment="1">
      <alignment horizontal="center"/>
    </xf>
    <xf numFmtId="10" fontId="26" fillId="22" borderId="30" xfId="422" applyNumberFormat="1" applyBorder="1" applyAlignment="1">
      <alignment horizontal="right"/>
    </xf>
    <xf numFmtId="0" fontId="26" fillId="22" borderId="28" xfId="422" applyBorder="1" applyAlignment="1">
      <alignment horizontal="center"/>
    </xf>
    <xf numFmtId="164" fontId="152" fillId="22" borderId="55" xfId="422" applyNumberFormat="1" applyFont="1" applyBorder="1"/>
    <xf numFmtId="39" fontId="26" fillId="22" borderId="50" xfId="422" applyNumberFormat="1" applyBorder="1" applyAlignment="1">
      <alignment horizontal="center"/>
    </xf>
    <xf numFmtId="0" fontId="26" fillId="22" borderId="51" xfId="422" quotePrefix="1" applyBorder="1" applyAlignment="1">
      <alignment horizontal="left"/>
    </xf>
    <xf numFmtId="0" fontId="26" fillId="22" borderId="0" xfId="422" quotePrefix="1" applyAlignment="1">
      <alignment horizontal="left"/>
    </xf>
    <xf numFmtId="0" fontId="161" fillId="38" borderId="0" xfId="422" applyFont="1" applyFill="1"/>
    <xf numFmtId="2" fontId="161" fillId="38" borderId="0" xfId="422" applyNumberFormat="1" applyFont="1" applyFill="1"/>
    <xf numFmtId="10" fontId="26" fillId="22" borderId="29" xfId="422" applyNumberFormat="1" applyBorder="1" applyAlignment="1">
      <alignment horizontal="center"/>
    </xf>
    <xf numFmtId="0" fontId="162" fillId="22" borderId="28" xfId="422" applyFont="1" applyBorder="1"/>
    <xf numFmtId="0" fontId="162" fillId="38" borderId="0" xfId="422" applyFont="1" applyFill="1"/>
    <xf numFmtId="180" fontId="26" fillId="22" borderId="0" xfId="422" applyNumberFormat="1"/>
    <xf numFmtId="0" fontId="145" fillId="22" borderId="0" xfId="422" applyFont="1" applyAlignment="1">
      <alignment horizontal="centerContinuous"/>
    </xf>
    <xf numFmtId="0" fontId="26" fillId="22" borderId="0" xfId="422" applyAlignment="1">
      <alignment horizontal="centerContinuous"/>
    </xf>
    <xf numFmtId="0" fontId="26" fillId="38" borderId="0" xfId="422" applyFill="1" applyAlignment="1">
      <alignment horizontal="right"/>
    </xf>
    <xf numFmtId="0" fontId="26" fillId="22" borderId="50" xfId="422" applyBorder="1"/>
    <xf numFmtId="0" fontId="163" fillId="22" borderId="51" xfId="422" applyFont="1" applyBorder="1" applyAlignment="1">
      <alignment horizontal="center"/>
    </xf>
    <xf numFmtId="0" fontId="163" fillId="22" borderId="52" xfId="422" applyFont="1" applyBorder="1" applyAlignment="1">
      <alignment horizontal="center"/>
    </xf>
    <xf numFmtId="0" fontId="26" fillId="22" borderId="50" xfId="422" applyBorder="1" applyAlignment="1">
      <alignment horizontal="left"/>
    </xf>
    <xf numFmtId="181" fontId="164" fillId="22" borderId="51" xfId="422" applyNumberFormat="1" applyFont="1" applyBorder="1" applyAlignment="1">
      <alignment horizontal="center"/>
    </xf>
    <xf numFmtId="0" fontId="26" fillId="22" borderId="51" xfId="422" applyBorder="1" applyAlignment="1">
      <alignment horizontal="left"/>
    </xf>
    <xf numFmtId="181" fontId="164" fillId="22" borderId="52" xfId="422" applyNumberFormat="1" applyFont="1" applyBorder="1" applyAlignment="1">
      <alignment horizontal="center"/>
    </xf>
    <xf numFmtId="10" fontId="26" fillId="22" borderId="0" xfId="422" applyNumberFormat="1"/>
    <xf numFmtId="0" fontId="26" fillId="22" borderId="31" xfId="422" applyBorder="1" applyAlignment="1">
      <alignment horizontal="left"/>
    </xf>
    <xf numFmtId="181" fontId="164" fillId="22" borderId="0" xfId="422" applyNumberFormat="1" applyFont="1" applyAlignment="1">
      <alignment horizontal="center"/>
    </xf>
    <xf numFmtId="0" fontId="26" fillId="22" borderId="0" xfId="422" applyAlignment="1">
      <alignment horizontal="left"/>
    </xf>
    <xf numFmtId="181" fontId="164" fillId="22" borderId="30" xfId="422" applyNumberFormat="1" applyFont="1" applyBorder="1" applyAlignment="1">
      <alignment horizontal="center"/>
    </xf>
    <xf numFmtId="0" fontId="165" fillId="22" borderId="0" xfId="422" applyFont="1" applyAlignment="1">
      <alignment horizontal="centerContinuous"/>
    </xf>
    <xf numFmtId="181" fontId="26" fillId="22" borderId="30" xfId="422" applyNumberFormat="1" applyBorder="1" applyAlignment="1">
      <alignment horizontal="center"/>
    </xf>
    <xf numFmtId="0" fontId="162" fillId="38" borderId="0" xfId="422" applyFont="1" applyFill="1" applyAlignment="1">
      <alignment horizontal="fill"/>
    </xf>
    <xf numFmtId="10" fontId="26" fillId="22" borderId="5" xfId="422" applyNumberFormat="1" applyBorder="1"/>
    <xf numFmtId="10" fontId="16" fillId="32" borderId="0" xfId="424" applyFont="1"/>
    <xf numFmtId="164" fontId="16" fillId="32" borderId="30" xfId="424" applyNumberFormat="1" applyFont="1" applyBorder="1"/>
    <xf numFmtId="0" fontId="26" fillId="22" borderId="5" xfId="422" applyBorder="1" applyAlignment="1">
      <alignment horizontal="right"/>
    </xf>
    <xf numFmtId="181" fontId="164" fillId="22" borderId="5" xfId="422" applyNumberFormat="1" applyFont="1" applyBorder="1" applyAlignment="1">
      <alignment horizontal="left"/>
    </xf>
    <xf numFmtId="181" fontId="26" fillId="22" borderId="28" xfId="422" applyNumberFormat="1" applyBorder="1" applyAlignment="1">
      <alignment horizontal="center"/>
    </xf>
    <xf numFmtId="10" fontId="16" fillId="32" borderId="5" xfId="424" applyFont="1" applyBorder="1"/>
    <xf numFmtId="10" fontId="16" fillId="32" borderId="28" xfId="424" applyFont="1" applyBorder="1"/>
    <xf numFmtId="181" fontId="26" fillId="22" borderId="0" xfId="422" applyNumberFormat="1"/>
    <xf numFmtId="0" fontId="166" fillId="22" borderId="51" xfId="422" applyFont="1" applyBorder="1"/>
    <xf numFmtId="0" fontId="166" fillId="22" borderId="31" xfId="422" applyFont="1" applyBorder="1"/>
    <xf numFmtId="0" fontId="166" fillId="22" borderId="0" xfId="422" applyFont="1"/>
    <xf numFmtId="0" fontId="166" fillId="22" borderId="30" xfId="422" applyFont="1" applyBorder="1"/>
    <xf numFmtId="0" fontId="26" fillId="32" borderId="0" xfId="422" applyFill="1"/>
    <xf numFmtId="0" fontId="167" fillId="22" borderId="0" xfId="422" applyFont="1"/>
    <xf numFmtId="10" fontId="16" fillId="32" borderId="30" xfId="424" applyFont="1" applyBorder="1"/>
    <xf numFmtId="39" fontId="26" fillId="22" borderId="5" xfId="422" applyNumberFormat="1" applyBorder="1"/>
    <xf numFmtId="179" fontId="26" fillId="22" borderId="5" xfId="422" applyNumberFormat="1" applyBorder="1"/>
    <xf numFmtId="178" fontId="26" fillId="22" borderId="28" xfId="422" applyNumberFormat="1" applyBorder="1"/>
    <xf numFmtId="41" fontId="152" fillId="22" borderId="21" xfId="422" applyNumberFormat="1" applyFont="1" applyBorder="1"/>
    <xf numFmtId="164" fontId="6" fillId="0" borderId="56" xfId="424" applyNumberFormat="1" applyFont="1" applyFill="1" applyBorder="1"/>
    <xf numFmtId="41" fontId="26" fillId="22" borderId="57" xfId="422" applyNumberFormat="1" applyBorder="1"/>
    <xf numFmtId="41" fontId="26" fillId="22" borderId="58" xfId="422" applyNumberFormat="1" applyBorder="1"/>
    <xf numFmtId="41" fontId="26" fillId="22" borderId="59" xfId="422" applyNumberFormat="1" applyBorder="1"/>
    <xf numFmtId="10" fontId="154" fillId="22" borderId="58" xfId="422" applyNumberFormat="1" applyFont="1" applyBorder="1"/>
    <xf numFmtId="178" fontId="26" fillId="22" borderId="58" xfId="422" applyNumberFormat="1" applyBorder="1"/>
    <xf numFmtId="2" fontId="26" fillId="22" borderId="59" xfId="422" applyNumberFormat="1" applyBorder="1" applyAlignment="1">
      <alignment horizontal="center"/>
    </xf>
    <xf numFmtId="0" fontId="26" fillId="22" borderId="59" xfId="422" applyBorder="1" applyAlignment="1">
      <alignment horizontal="center"/>
    </xf>
    <xf numFmtId="5" fontId="152" fillId="22" borderId="60" xfId="422" applyNumberFormat="1" applyFont="1" applyBorder="1"/>
    <xf numFmtId="41" fontId="152" fillId="22" borderId="60" xfId="422" applyNumberFormat="1" applyFont="1" applyBorder="1"/>
    <xf numFmtId="10" fontId="6" fillId="0" borderId="56" xfId="424" applyFont="1" applyFill="1" applyBorder="1"/>
    <xf numFmtId="0" fontId="152" fillId="22" borderId="61" xfId="422" applyFont="1" applyBorder="1" applyAlignment="1">
      <alignment horizontal="center"/>
    </xf>
    <xf numFmtId="41" fontId="6" fillId="0" borderId="56" xfId="425" applyFont="1" applyFill="1" applyBorder="1">
      <alignment horizontal="left"/>
    </xf>
    <xf numFmtId="0" fontId="147" fillId="37" borderId="62" xfId="426" applyNumberFormat="1" applyFont="1" applyBorder="1" applyAlignment="1">
      <alignment horizontal="left"/>
    </xf>
    <xf numFmtId="0" fontId="26" fillId="22" borderId="63" xfId="422" applyBorder="1" applyAlignment="1">
      <alignment horizontal="centerContinuous"/>
    </xf>
    <xf numFmtId="0" fontId="148" fillId="22" borderId="63" xfId="422" applyFont="1" applyBorder="1" applyAlignment="1">
      <alignment horizontal="centerContinuous"/>
    </xf>
    <xf numFmtId="0" fontId="148" fillId="22" borderId="62" xfId="422" applyFont="1" applyBorder="1" applyAlignment="1">
      <alignment horizontal="centerContinuous"/>
    </xf>
    <xf numFmtId="41" fontId="16" fillId="0" borderId="64" xfId="0" applyNumberFormat="1" applyFont="1" applyBorder="1"/>
    <xf numFmtId="171" fontId="112" fillId="0" borderId="5" xfId="78" applyNumberFormat="1" applyFont="1" applyFill="1" applyBorder="1"/>
    <xf numFmtId="37" fontId="7" fillId="0" borderId="0" xfId="0" applyFont="1" applyAlignment="1">
      <alignment horizontal="justify"/>
    </xf>
    <xf numFmtId="171" fontId="43" fillId="0" borderId="0" xfId="78" applyNumberFormat="1" applyFont="1" applyFill="1"/>
    <xf numFmtId="10" fontId="6" fillId="0" borderId="56" xfId="323" applyNumberFormat="1" applyFont="1" applyFill="1" applyBorder="1"/>
    <xf numFmtId="37" fontId="15" fillId="0" borderId="0" xfId="0" applyFont="1"/>
    <xf numFmtId="41" fontId="7" fillId="0" borderId="0" xfId="0" applyNumberFormat="1" applyFont="1"/>
    <xf numFmtId="165" fontId="16" fillId="0" borderId="0" xfId="0" applyNumberFormat="1" applyFont="1"/>
    <xf numFmtId="165" fontId="16" fillId="0" borderId="0" xfId="0" applyNumberFormat="1" applyFont="1" applyAlignment="1">
      <alignment horizontal="center"/>
    </xf>
    <xf numFmtId="14" fontId="16" fillId="0" borderId="0" xfId="0" applyNumberFormat="1" applyFont="1" applyAlignment="1">
      <alignment horizontal="center"/>
    </xf>
    <xf numFmtId="41" fontId="16" fillId="0" borderId="25" xfId="0" applyNumberFormat="1" applyFont="1" applyBorder="1"/>
    <xf numFmtId="10" fontId="15" fillId="0" borderId="0" xfId="0" applyNumberFormat="1" applyFont="1"/>
    <xf numFmtId="41" fontId="132" fillId="0" borderId="0" xfId="0" applyNumberFormat="1" applyFont="1" applyAlignment="1">
      <alignment horizontal="center"/>
    </xf>
    <xf numFmtId="41" fontId="16" fillId="0" borderId="2" xfId="0" applyNumberFormat="1" applyFont="1" applyBorder="1"/>
    <xf numFmtId="43" fontId="16" fillId="0" borderId="0" xfId="0" applyNumberFormat="1" applyFont="1"/>
    <xf numFmtId="0" fontId="14" fillId="0" borderId="0" xfId="215" applyFont="1"/>
    <xf numFmtId="43" fontId="12" fillId="0" borderId="0" xfId="215" applyNumberFormat="1" applyFont="1"/>
    <xf numFmtId="0" fontId="12" fillId="0" borderId="0" xfId="215" applyFont="1"/>
    <xf numFmtId="0" fontId="12" fillId="0" borderId="0" xfId="215" quotePrefix="1" applyFont="1" applyAlignment="1">
      <alignment horizontal="center"/>
    </xf>
    <xf numFmtId="49" fontId="12" fillId="0" borderId="0" xfId="215" applyNumberFormat="1" applyFont="1" applyAlignment="1">
      <alignment horizontal="center"/>
    </xf>
    <xf numFmtId="43" fontId="12" fillId="0" borderId="0" xfId="215" applyNumberFormat="1" applyFont="1" applyAlignment="1">
      <alignment horizontal="center"/>
    </xf>
    <xf numFmtId="49" fontId="12" fillId="0" borderId="0" xfId="215" applyNumberFormat="1" applyFont="1" applyAlignment="1">
      <alignment horizontal="left"/>
    </xf>
    <xf numFmtId="49" fontId="171" fillId="0" borderId="0" xfId="0" applyNumberFormat="1" applyFont="1"/>
    <xf numFmtId="182" fontId="168" fillId="0" borderId="0" xfId="0" applyNumberFormat="1" applyFont="1"/>
    <xf numFmtId="182" fontId="12" fillId="0" borderId="0" xfId="215" applyNumberFormat="1" applyFont="1"/>
    <xf numFmtId="182" fontId="168" fillId="0" borderId="58" xfId="0" applyNumberFormat="1" applyFont="1" applyBorder="1"/>
    <xf numFmtId="0" fontId="11" fillId="0" borderId="0" xfId="215" applyFont="1"/>
    <xf numFmtId="49" fontId="11" fillId="0" borderId="0" xfId="215" applyNumberFormat="1" applyFont="1" applyAlignment="1">
      <alignment horizontal="left"/>
    </xf>
    <xf numFmtId="43" fontId="11" fillId="0" borderId="58" xfId="215" applyNumberFormat="1" applyFont="1" applyBorder="1" applyAlignment="1">
      <alignment horizontal="right"/>
    </xf>
    <xf numFmtId="43" fontId="11" fillId="0" borderId="0" xfId="215" applyNumberFormat="1" applyFont="1"/>
    <xf numFmtId="43" fontId="11" fillId="0" borderId="0" xfId="215" applyNumberFormat="1" applyFont="1" applyAlignment="1">
      <alignment horizontal="right"/>
    </xf>
    <xf numFmtId="43" fontId="12" fillId="0" borderId="0" xfId="215" applyNumberFormat="1" applyFont="1" applyAlignment="1">
      <alignment horizontal="right"/>
    </xf>
    <xf numFmtId="43" fontId="12" fillId="0" borderId="27" xfId="215" applyNumberFormat="1" applyFont="1" applyBorder="1" applyAlignment="1">
      <alignment horizontal="right"/>
    </xf>
    <xf numFmtId="43" fontId="140" fillId="0" borderId="0" xfId="215" applyNumberFormat="1" applyFont="1"/>
    <xf numFmtId="0" fontId="131" fillId="0" borderId="0" xfId="215" applyFont="1"/>
    <xf numFmtId="0" fontId="140" fillId="0" borderId="0" xfId="215" applyFont="1"/>
    <xf numFmtId="182" fontId="168" fillId="0" borderId="5" xfId="0" applyNumberFormat="1" applyFont="1" applyBorder="1"/>
    <xf numFmtId="43" fontId="12" fillId="0" borderId="5" xfId="215" applyNumberFormat="1" applyFont="1" applyBorder="1"/>
    <xf numFmtId="182" fontId="12" fillId="0" borderId="5" xfId="215" applyNumberFormat="1" applyFont="1" applyBorder="1"/>
    <xf numFmtId="43" fontId="12" fillId="0" borderId="5" xfId="215" applyNumberFormat="1" applyFont="1" applyBorder="1" applyAlignment="1">
      <alignment horizontal="right"/>
    </xf>
    <xf numFmtId="43" fontId="116" fillId="39" borderId="0" xfId="194" applyNumberFormat="1" applyFont="1" applyFill="1"/>
    <xf numFmtId="43" fontId="116" fillId="39" borderId="0" xfId="78" applyFont="1" applyFill="1"/>
    <xf numFmtId="171" fontId="121" fillId="39" borderId="40" xfId="101" applyNumberFormat="1" applyFont="1" applyFill="1" applyBorder="1"/>
    <xf numFmtId="43" fontId="121" fillId="39" borderId="40" xfId="78" applyFont="1" applyFill="1" applyBorder="1"/>
    <xf numFmtId="37" fontId="6" fillId="0" borderId="0" xfId="0" applyFont="1" applyAlignment="1">
      <alignment horizontal="left" indent="1"/>
    </xf>
    <xf numFmtId="41" fontId="6" fillId="0" borderId="0" xfId="0" applyNumberFormat="1" applyFont="1"/>
    <xf numFmtId="0" fontId="6" fillId="0" borderId="0" xfId="0" applyNumberFormat="1" applyFont="1"/>
    <xf numFmtId="0" fontId="7" fillId="0" borderId="0" xfId="239" applyFont="1" applyAlignment="1">
      <alignment horizontal="left"/>
    </xf>
    <xf numFmtId="37" fontId="18" fillId="0" borderId="0" xfId="0" applyFont="1"/>
    <xf numFmtId="0" fontId="18" fillId="0" borderId="0" xfId="0" applyNumberFormat="1" applyFont="1"/>
    <xf numFmtId="0" fontId="6" fillId="0" borderId="0" xfId="0" applyNumberFormat="1" applyFont="1" applyAlignment="1">
      <alignment horizontal="center"/>
    </xf>
    <xf numFmtId="0" fontId="24" fillId="0" borderId="0" xfId="0" applyNumberFormat="1" applyFont="1"/>
    <xf numFmtId="0" fontId="7" fillId="0" borderId="0" xfId="0" applyNumberFormat="1" applyFont="1" applyAlignment="1">
      <alignment horizontal="center"/>
    </xf>
    <xf numFmtId="37" fontId="7" fillId="0" borderId="23" xfId="0" applyFont="1" applyBorder="1" applyAlignment="1">
      <alignment horizontal="center"/>
    </xf>
    <xf numFmtId="0" fontId="7" fillId="0" borderId="23" xfId="0" applyNumberFormat="1" applyFont="1" applyBorder="1" applyAlignment="1">
      <alignment horizontal="center"/>
    </xf>
    <xf numFmtId="37" fontId="7" fillId="0" borderId="0" xfId="0" applyFont="1" applyAlignment="1">
      <alignment horizontal="left" indent="2"/>
    </xf>
    <xf numFmtId="171" fontId="80" fillId="0" borderId="0" xfId="0" applyNumberFormat="1" applyFont="1"/>
    <xf numFmtId="37" fontId="7" fillId="0" borderId="0" xfId="239" applyNumberFormat="1" applyFont="1" applyAlignment="1">
      <alignment horizontal="left"/>
    </xf>
    <xf numFmtId="0" fontId="169" fillId="0" borderId="0" xfId="0" applyNumberFormat="1" applyFont="1"/>
    <xf numFmtId="41" fontId="6" fillId="0" borderId="64" xfId="0" applyNumberFormat="1" applyFont="1" applyBorder="1"/>
    <xf numFmtId="0" fontId="6" fillId="0" borderId="64" xfId="0" applyNumberFormat="1" applyFont="1" applyBorder="1"/>
    <xf numFmtId="41" fontId="6" fillId="0" borderId="23" xfId="0" applyNumberFormat="1" applyFont="1" applyBorder="1"/>
    <xf numFmtId="41" fontId="6" fillId="0" borderId="5" xfId="0" applyNumberFormat="1" applyFont="1" applyBorder="1"/>
    <xf numFmtId="0" fontId="6" fillId="0" borderId="5" xfId="0" applyNumberFormat="1" applyFont="1" applyBorder="1"/>
    <xf numFmtId="41" fontId="6" fillId="0" borderId="60" xfId="0" applyNumberFormat="1" applyFont="1" applyBorder="1"/>
    <xf numFmtId="37" fontId="7" fillId="0" borderId="0" xfId="239" applyNumberFormat="1" applyFont="1"/>
    <xf numFmtId="37" fontId="82" fillId="0" borderId="0" xfId="0" applyFont="1" applyAlignment="1">
      <alignment horizontal="center"/>
    </xf>
    <xf numFmtId="37" fontId="18" fillId="0" borderId="23" xfId="0" applyFont="1" applyBorder="1"/>
    <xf numFmtId="41" fontId="80" fillId="0" borderId="0" xfId="0" applyNumberFormat="1" applyFont="1"/>
    <xf numFmtId="180" fontId="6" fillId="0" borderId="0" xfId="0" applyNumberFormat="1" applyFont="1"/>
    <xf numFmtId="39" fontId="6" fillId="0" borderId="0" xfId="0" applyNumberFormat="1" applyFont="1"/>
    <xf numFmtId="179" fontId="6" fillId="0" borderId="0" xfId="0" applyNumberFormat="1" applyFont="1"/>
    <xf numFmtId="43" fontId="6" fillId="0" borderId="0" xfId="0" applyNumberFormat="1" applyFont="1"/>
    <xf numFmtId="0" fontId="6" fillId="0" borderId="60" xfId="0" applyNumberFormat="1" applyFont="1" applyBorder="1"/>
    <xf numFmtId="171" fontId="80" fillId="0" borderId="60" xfId="0" applyNumberFormat="1" applyFont="1" applyBorder="1"/>
    <xf numFmtId="183" fontId="6" fillId="0" borderId="0" xfId="0" applyNumberFormat="1" applyFont="1"/>
    <xf numFmtId="37" fontId="132" fillId="0" borderId="0" xfId="0" applyFont="1" applyAlignment="1">
      <alignment vertical="top" wrapText="1"/>
    </xf>
    <xf numFmtId="37" fontId="133" fillId="0" borderId="0" xfId="0" applyFont="1"/>
    <xf numFmtId="39" fontId="6" fillId="0" borderId="0" xfId="0" applyNumberFormat="1" applyFont="1" applyAlignment="1">
      <alignment horizontal="center"/>
    </xf>
    <xf numFmtId="37" fontId="132" fillId="0" borderId="0" xfId="0" applyFont="1" applyAlignment="1">
      <alignment vertical="top"/>
    </xf>
    <xf numFmtId="0" fontId="133" fillId="0" borderId="0" xfId="0" applyNumberFormat="1" applyFont="1" applyAlignment="1">
      <alignment vertical="top"/>
    </xf>
    <xf numFmtId="0" fontId="6" fillId="0" borderId="0" xfId="0" applyNumberFormat="1" applyFont="1" applyAlignment="1">
      <alignment vertical="top" wrapText="1"/>
    </xf>
    <xf numFmtId="0" fontId="7" fillId="0" borderId="0" xfId="239" applyFont="1"/>
    <xf numFmtId="0" fontId="7" fillId="0" borderId="0" xfId="239" applyFont="1" applyAlignment="1">
      <alignment horizontal="center"/>
    </xf>
    <xf numFmtId="182" fontId="49" fillId="0" borderId="0" xfId="0" applyNumberFormat="1" applyFont="1"/>
    <xf numFmtId="0" fontId="6" fillId="0" borderId="0" xfId="306" applyFont="1"/>
    <xf numFmtId="37" fontId="7" fillId="0" borderId="0" xfId="306" applyNumberFormat="1" applyFont="1"/>
    <xf numFmtId="0" fontId="7" fillId="0" borderId="0" xfId="306" applyFont="1"/>
    <xf numFmtId="37" fontId="7" fillId="0" borderId="0" xfId="306" applyNumberFormat="1" applyFont="1" applyAlignment="1">
      <alignment horizontal="center"/>
    </xf>
    <xf numFmtId="0" fontId="12" fillId="0" borderId="0" xfId="306" applyFont="1"/>
    <xf numFmtId="0" fontId="16" fillId="0" borderId="0" xfId="306" applyFont="1"/>
    <xf numFmtId="0" fontId="12" fillId="0" borderId="0" xfId="306" applyFont="1" applyAlignment="1">
      <alignment horizontal="center"/>
    </xf>
    <xf numFmtId="0" fontId="14" fillId="0" borderId="0" xfId="306" applyFont="1" applyAlignment="1">
      <alignment horizontal="center"/>
    </xf>
    <xf numFmtId="0" fontId="14" fillId="0" borderId="0" xfId="306" applyFont="1" applyAlignment="1">
      <alignment horizontal="left"/>
    </xf>
    <xf numFmtId="0" fontId="21" fillId="0" borderId="0" xfId="306" applyFont="1" applyAlignment="1">
      <alignment horizontal="center"/>
    </xf>
    <xf numFmtId="14" fontId="21" fillId="0" borderId="0" xfId="306" quotePrefix="1" applyNumberFormat="1" applyFont="1" applyAlignment="1">
      <alignment horizontal="center"/>
    </xf>
    <xf numFmtId="14" fontId="12" fillId="0" borderId="0" xfId="306" applyNumberFormat="1" applyFont="1" applyAlignment="1">
      <alignment horizontal="center"/>
    </xf>
    <xf numFmtId="14" fontId="21" fillId="0" borderId="0" xfId="306" applyNumberFormat="1" applyFont="1" applyAlignment="1">
      <alignment horizontal="center"/>
    </xf>
    <xf numFmtId="44" fontId="12" fillId="0" borderId="0" xfId="306" applyNumberFormat="1" applyFont="1"/>
    <xf numFmtId="43" fontId="12" fillId="0" borderId="0" xfId="306" applyNumberFormat="1" applyFont="1"/>
    <xf numFmtId="43" fontId="12" fillId="0" borderId="5" xfId="306" applyNumberFormat="1" applyFont="1" applyBorder="1"/>
    <xf numFmtId="44" fontId="12" fillId="0" borderId="24" xfId="306" applyNumberFormat="1" applyFont="1" applyBorder="1"/>
    <xf numFmtId="43" fontId="16" fillId="0" borderId="0" xfId="306" applyNumberFormat="1" applyFont="1"/>
    <xf numFmtId="44" fontId="16" fillId="0" borderId="0" xfId="306" applyNumberFormat="1" applyFont="1"/>
    <xf numFmtId="37" fontId="7" fillId="0" borderId="0" xfId="239" applyNumberFormat="1" applyFont="1" applyAlignment="1">
      <alignment horizontal="center"/>
    </xf>
    <xf numFmtId="0" fontId="6" fillId="0" borderId="0" xfId="239" applyFont="1"/>
    <xf numFmtId="43" fontId="6" fillId="0" borderId="0" xfId="239" applyNumberFormat="1" applyFont="1"/>
    <xf numFmtId="0" fontId="22" fillId="0" borderId="0" xfId="239" applyFont="1" applyAlignment="1">
      <alignment horizontal="center"/>
    </xf>
    <xf numFmtId="0" fontId="22" fillId="0" borderId="0" xfId="239" applyFont="1"/>
    <xf numFmtId="43" fontId="22" fillId="0" borderId="0" xfId="239" applyNumberFormat="1" applyFont="1"/>
    <xf numFmtId="0" fontId="23" fillId="0" borderId="0" xfId="239" applyFont="1" applyAlignment="1">
      <alignment horizontal="center"/>
    </xf>
    <xf numFmtId="43" fontId="29" fillId="0" borderId="0" xfId="239" applyNumberFormat="1" applyFont="1" applyAlignment="1">
      <alignment horizontal="center"/>
    </xf>
    <xf numFmtId="0" fontId="6" fillId="0" borderId="0" xfId="239" applyFont="1" applyAlignment="1">
      <alignment horizontal="left"/>
    </xf>
    <xf numFmtId="42" fontId="6" fillId="0" borderId="0" xfId="239" applyNumberFormat="1" applyFont="1"/>
    <xf numFmtId="41" fontId="6" fillId="0" borderId="0" xfId="239" applyNumberFormat="1" applyFont="1"/>
    <xf numFmtId="41" fontId="6" fillId="0" borderId="23" xfId="239" applyNumberFormat="1" applyFont="1" applyBorder="1"/>
    <xf numFmtId="41" fontId="6" fillId="0" borderId="5" xfId="239" applyNumberFormat="1" applyFont="1" applyBorder="1"/>
    <xf numFmtId="42" fontId="6" fillId="0" borderId="24" xfId="239" applyNumberFormat="1" applyFont="1" applyBorder="1"/>
    <xf numFmtId="41" fontId="12" fillId="0" borderId="0" xfId="239" applyNumberFormat="1" applyFont="1"/>
    <xf numFmtId="41" fontId="6" fillId="0" borderId="0" xfId="239" applyNumberFormat="1" applyFont="1" applyAlignment="1">
      <alignment horizontal="center"/>
    </xf>
    <xf numFmtId="41" fontId="6" fillId="0" borderId="44" xfId="239" applyNumberFormat="1" applyFont="1" applyBorder="1"/>
    <xf numFmtId="41" fontId="6" fillId="0" borderId="40" xfId="239" applyNumberFormat="1" applyFont="1" applyBorder="1"/>
    <xf numFmtId="0" fontId="6" fillId="0" borderId="0" xfId="239" applyFont="1" applyAlignment="1">
      <alignment horizontal="right"/>
    </xf>
    <xf numFmtId="41" fontId="7" fillId="0" borderId="0" xfId="239" applyNumberFormat="1" applyFont="1" applyAlignment="1">
      <alignment horizontal="center"/>
    </xf>
    <xf numFmtId="41" fontId="7" fillId="0" borderId="0" xfId="239" applyNumberFormat="1" applyFont="1" applyAlignment="1">
      <alignment horizontal="right"/>
    </xf>
    <xf numFmtId="0" fontId="7" fillId="0" borderId="0" xfId="239" applyFont="1" applyAlignment="1">
      <alignment horizontal="right"/>
    </xf>
    <xf numFmtId="0" fontId="16" fillId="0" borderId="0" xfId="239" applyFont="1"/>
    <xf numFmtId="14" fontId="23" fillId="0" borderId="0" xfId="239" applyNumberFormat="1" applyFont="1" applyAlignment="1">
      <alignment horizontal="center"/>
    </xf>
    <xf numFmtId="0" fontId="30" fillId="0" borderId="0" xfId="239" applyFont="1" applyAlignment="1">
      <alignment horizontal="center"/>
    </xf>
    <xf numFmtId="10" fontId="6" fillId="0" borderId="0" xfId="239" applyNumberFormat="1" applyFont="1"/>
    <xf numFmtId="37" fontId="6" fillId="0" borderId="0" xfId="239" applyNumberFormat="1" applyFont="1"/>
    <xf numFmtId="0" fontId="139" fillId="0" borderId="0" xfId="239" applyFont="1"/>
    <xf numFmtId="0" fontId="6" fillId="0" borderId="0" xfId="239" applyFont="1" applyAlignment="1">
      <alignment horizontal="center"/>
    </xf>
    <xf numFmtId="0" fontId="72" fillId="0" borderId="0" xfId="281" applyFont="1"/>
    <xf numFmtId="0" fontId="7" fillId="0" borderId="0" xfId="221" applyFont="1"/>
    <xf numFmtId="0" fontId="6" fillId="0" borderId="0" xfId="221" applyFont="1"/>
    <xf numFmtId="0" fontId="78" fillId="0" borderId="0" xfId="281" applyFont="1"/>
    <xf numFmtId="0" fontId="7" fillId="0" borderId="0" xfId="221" applyFont="1" applyAlignment="1">
      <alignment horizontal="center"/>
    </xf>
    <xf numFmtId="0" fontId="133" fillId="0" borderId="0" xfId="281" applyFont="1"/>
    <xf numFmtId="0" fontId="72" fillId="0" borderId="0" xfId="225" applyFont="1"/>
    <xf numFmtId="0" fontId="75" fillId="0" borderId="0" xfId="225" applyFont="1" applyAlignment="1">
      <alignment horizontal="center"/>
    </xf>
    <xf numFmtId="43" fontId="74" fillId="0" borderId="0" xfId="281" applyNumberFormat="1" applyFont="1"/>
    <xf numFmtId="0" fontId="74" fillId="0" borderId="0" xfId="225" applyFont="1" applyAlignment="1">
      <alignment horizontal="center"/>
    </xf>
    <xf numFmtId="43" fontId="75" fillId="0" borderId="0" xfId="225" applyNumberFormat="1" applyFont="1" applyAlignment="1">
      <alignment horizontal="center"/>
    </xf>
    <xf numFmtId="0" fontId="130" fillId="0" borderId="0" xfId="281" applyFont="1" applyAlignment="1">
      <alignment horizontal="center"/>
    </xf>
    <xf numFmtId="0" fontId="76" fillId="0" borderId="0" xfId="225" applyFont="1" applyAlignment="1">
      <alignment horizontal="center"/>
    </xf>
    <xf numFmtId="43" fontId="76" fillId="0" borderId="0" xfId="225" applyNumberFormat="1" applyFont="1" applyAlignment="1">
      <alignment horizontal="center"/>
    </xf>
    <xf numFmtId="0" fontId="77" fillId="0" borderId="0" xfId="225" applyFont="1" applyAlignment="1">
      <alignment horizontal="center"/>
    </xf>
    <xf numFmtId="17" fontId="72" fillId="0" borderId="0" xfId="225" applyNumberFormat="1" applyFont="1" applyAlignment="1">
      <alignment horizontal="left"/>
    </xf>
    <xf numFmtId="43" fontId="72" fillId="0" borderId="0" xfId="78" applyFont="1" applyFill="1"/>
    <xf numFmtId="167" fontId="72" fillId="0" borderId="0" xfId="225" applyNumberFormat="1" applyFont="1"/>
    <xf numFmtId="167" fontId="130" fillId="0" borderId="0" xfId="225" applyNumberFormat="1" applyFont="1"/>
    <xf numFmtId="43" fontId="72" fillId="0" borderId="0" xfId="78" applyFont="1" applyFill="1" applyAlignment="1">
      <alignment horizontal="right"/>
    </xf>
    <xf numFmtId="0" fontId="72" fillId="0" borderId="0" xfId="225" applyFont="1" applyAlignment="1">
      <alignment horizontal="right"/>
    </xf>
    <xf numFmtId="43" fontId="72" fillId="0" borderId="0" xfId="78" applyFont="1" applyFill="1" applyBorder="1" applyAlignment="1">
      <alignment horizontal="right"/>
    </xf>
    <xf numFmtId="41" fontId="130" fillId="0" borderId="0" xfId="281" applyNumberFormat="1" applyFont="1"/>
    <xf numFmtId="43" fontId="73" fillId="0" borderId="40" xfId="78" applyFont="1" applyFill="1" applyBorder="1"/>
    <xf numFmtId="43" fontId="72" fillId="0" borderId="0" xfId="281" applyNumberFormat="1" applyFont="1"/>
    <xf numFmtId="0" fontId="130" fillId="0" borderId="0" xfId="281" applyFont="1"/>
    <xf numFmtId="43" fontId="73" fillId="0" borderId="0" xfId="78" applyFont="1" applyFill="1" applyBorder="1"/>
    <xf numFmtId="172" fontId="78" fillId="0" borderId="0" xfId="281" applyNumberFormat="1" applyFont="1"/>
    <xf numFmtId="0" fontId="79" fillId="0" borderId="0" xfId="281" applyFont="1"/>
    <xf numFmtId="166" fontId="6" fillId="0" borderId="0" xfId="306" quotePrefix="1" applyNumberFormat="1" applyFont="1" applyAlignment="1">
      <alignment horizontal="left"/>
    </xf>
    <xf numFmtId="44" fontId="6" fillId="0" borderId="0" xfId="306" applyNumberFormat="1" applyFont="1"/>
    <xf numFmtId="0" fontId="6" fillId="0" borderId="0" xfId="306" applyFont="1" applyAlignment="1">
      <alignment horizontal="center"/>
    </xf>
    <xf numFmtId="0" fontId="139" fillId="0" borderId="0" xfId="306" applyFont="1"/>
    <xf numFmtId="0" fontId="7" fillId="0" borderId="0" xfId="306" applyFont="1" applyAlignment="1">
      <alignment horizontal="left"/>
    </xf>
    <xf numFmtId="0" fontId="6" fillId="0" borderId="23" xfId="306" applyFont="1" applyBorder="1" applyAlignment="1">
      <alignment horizontal="center"/>
    </xf>
    <xf numFmtId="14" fontId="6" fillId="0" borderId="23" xfId="306" quotePrefix="1" applyNumberFormat="1" applyFont="1" applyBorder="1" applyAlignment="1">
      <alignment horizontal="center"/>
    </xf>
    <xf numFmtId="14" fontId="6" fillId="0" borderId="23" xfId="306" applyNumberFormat="1" applyFont="1" applyBorder="1" applyAlignment="1">
      <alignment horizontal="center"/>
    </xf>
    <xf numFmtId="0" fontId="6" fillId="0" borderId="0" xfId="306" applyFont="1" applyAlignment="1">
      <alignment horizontal="fill"/>
    </xf>
    <xf numFmtId="43" fontId="6" fillId="0" borderId="0" xfId="306" applyNumberFormat="1" applyFont="1"/>
    <xf numFmtId="9" fontId="6" fillId="0" borderId="0" xfId="306" applyNumberFormat="1" applyFont="1"/>
    <xf numFmtId="10" fontId="6" fillId="0" borderId="0" xfId="306" applyNumberFormat="1" applyFont="1"/>
    <xf numFmtId="49" fontId="0" fillId="0" borderId="0" xfId="0" applyNumberFormat="1" applyAlignment="1">
      <alignment horizontal="left"/>
    </xf>
    <xf numFmtId="43" fontId="6" fillId="0" borderId="23" xfId="306" applyNumberFormat="1" applyFont="1" applyBorder="1"/>
    <xf numFmtId="43" fontId="6" fillId="0" borderId="5" xfId="306" applyNumberFormat="1" applyFont="1" applyBorder="1"/>
    <xf numFmtId="0" fontId="6" fillId="0" borderId="0" xfId="306" applyFont="1" applyAlignment="1">
      <alignment horizontal="right"/>
    </xf>
    <xf numFmtId="0" fontId="141" fillId="0" borderId="0" xfId="306" applyFont="1" applyAlignment="1">
      <alignment horizontal="center"/>
    </xf>
    <xf numFmtId="44" fontId="6" fillId="0" borderId="24" xfId="306" applyNumberFormat="1" applyFont="1" applyBorder="1"/>
    <xf numFmtId="39" fontId="6" fillId="0" borderId="0" xfId="306" applyNumberFormat="1" applyFont="1"/>
    <xf numFmtId="0" fontId="78" fillId="0" borderId="0" xfId="306" applyFont="1"/>
    <xf numFmtId="43" fontId="6" fillId="0" borderId="26" xfId="306" applyNumberFormat="1" applyFont="1" applyBorder="1"/>
    <xf numFmtId="0" fontId="6" fillId="0" borderId="0" xfId="306" applyFont="1" applyAlignment="1">
      <alignment horizontal="left"/>
    </xf>
    <xf numFmtId="43" fontId="137" fillId="0" borderId="0" xfId="306" applyNumberFormat="1" applyFont="1"/>
    <xf numFmtId="4" fontId="6" fillId="0" borderId="0" xfId="306" applyNumberFormat="1" applyFont="1"/>
    <xf numFmtId="43" fontId="6" fillId="0" borderId="0" xfId="306" applyNumberFormat="1" applyFont="1" applyAlignment="1">
      <alignment horizontal="fill"/>
    </xf>
    <xf numFmtId="37" fontId="7" fillId="0" borderId="0" xfId="221" applyNumberFormat="1" applyFont="1" applyAlignment="1">
      <alignment horizontal="center"/>
    </xf>
    <xf numFmtId="0" fontId="19" fillId="0" borderId="0" xfId="318" applyFont="1" applyAlignment="1">
      <alignment horizontal="center" vertical="top"/>
    </xf>
    <xf numFmtId="0" fontId="79" fillId="0" borderId="0" xfId="318" applyFont="1"/>
    <xf numFmtId="0" fontId="9" fillId="0" borderId="0" xfId="318"/>
    <xf numFmtId="0" fontId="7" fillId="0" borderId="0" xfId="318" applyFont="1"/>
    <xf numFmtId="0" fontId="9" fillId="0" borderId="0" xfId="318" applyAlignment="1">
      <alignment wrapText="1"/>
    </xf>
    <xf numFmtId="0" fontId="6" fillId="0" borderId="0" xfId="318" applyFont="1" applyAlignment="1">
      <alignment vertical="top"/>
    </xf>
    <xf numFmtId="0" fontId="6" fillId="0" borderId="0" xfId="318" applyFont="1" applyAlignment="1">
      <alignment horizontal="justify" vertical="top"/>
    </xf>
    <xf numFmtId="0" fontId="78" fillId="0" borderId="0" xfId="318" applyFont="1" applyAlignment="1">
      <alignment wrapText="1"/>
    </xf>
    <xf numFmtId="0" fontId="9" fillId="0" borderId="0" xfId="318" applyAlignment="1">
      <alignment vertical="top"/>
    </xf>
    <xf numFmtId="0" fontId="6" fillId="0" borderId="0" xfId="318" applyFont="1"/>
    <xf numFmtId="43" fontId="9" fillId="0" borderId="0" xfId="318" applyNumberFormat="1"/>
    <xf numFmtId="43" fontId="9" fillId="0" borderId="0" xfId="78" applyFont="1" applyFill="1" applyBorder="1"/>
    <xf numFmtId="43" fontId="7" fillId="0" borderId="0" xfId="318" applyNumberFormat="1" applyFont="1"/>
    <xf numFmtId="0" fontId="7" fillId="0" borderId="0" xfId="318" applyFont="1" applyAlignment="1">
      <alignment vertical="top"/>
    </xf>
    <xf numFmtId="43" fontId="6" fillId="0" borderId="0" xfId="318" applyNumberFormat="1" applyFont="1"/>
    <xf numFmtId="171" fontId="81" fillId="0" borderId="0" xfId="318" applyNumberFormat="1" applyFont="1"/>
    <xf numFmtId="0" fontId="78" fillId="0" borderId="0" xfId="318" applyFont="1"/>
    <xf numFmtId="171" fontId="6" fillId="0" borderId="0" xfId="78" applyNumberFormat="1" applyFont="1" applyFill="1" applyBorder="1"/>
    <xf numFmtId="171" fontId="9" fillId="0" borderId="0" xfId="78" applyNumberFormat="1" applyFont="1" applyFill="1" applyBorder="1"/>
    <xf numFmtId="43" fontId="6" fillId="0" borderId="0" xfId="78" applyFont="1" applyFill="1" applyBorder="1"/>
    <xf numFmtId="171" fontId="133" fillId="0" borderId="0" xfId="78" applyNumberFormat="1" applyFont="1" applyFill="1" applyBorder="1"/>
    <xf numFmtId="0" fontId="6" fillId="0" borderId="0" xfId="318" applyFont="1" applyAlignment="1">
      <alignment vertical="top" wrapText="1"/>
    </xf>
    <xf numFmtId="171" fontId="6" fillId="0" borderId="0" xfId="78" applyNumberFormat="1" applyFont="1" applyFill="1" applyBorder="1" applyAlignment="1"/>
    <xf numFmtId="171" fontId="9" fillId="0" borderId="0" xfId="318" applyNumberFormat="1"/>
    <xf numFmtId="171" fontId="9" fillId="0" borderId="0" xfId="78" applyNumberFormat="1" applyFont="1" applyFill="1"/>
    <xf numFmtId="37" fontId="121" fillId="0" borderId="0" xfId="0" applyFont="1" applyAlignment="1">
      <alignment horizontal="center"/>
    </xf>
    <xf numFmtId="0" fontId="116" fillId="0" borderId="0" xfId="318" applyFont="1"/>
    <xf numFmtId="37" fontId="121" fillId="0" borderId="0" xfId="0" applyFont="1"/>
    <xf numFmtId="37" fontId="116" fillId="0" borderId="0" xfId="0" applyFont="1"/>
    <xf numFmtId="0" fontId="121" fillId="0" borderId="0" xfId="318" applyFont="1" applyAlignment="1">
      <alignment horizontal="right"/>
    </xf>
    <xf numFmtId="0" fontId="121" fillId="0" borderId="0" xfId="318" applyFont="1"/>
    <xf numFmtId="37" fontId="122" fillId="0" borderId="0" xfId="0" applyFont="1"/>
    <xf numFmtId="37" fontId="123" fillId="0" borderId="0" xfId="0" applyFont="1" applyAlignment="1">
      <alignment horizontal="center"/>
    </xf>
    <xf numFmtId="37" fontId="123" fillId="0" borderId="0" xfId="0" applyFont="1"/>
    <xf numFmtId="37" fontId="123" fillId="0" borderId="23" xfId="0" applyFont="1" applyBorder="1" applyAlignment="1">
      <alignment horizontal="center"/>
    </xf>
    <xf numFmtId="42" fontId="122" fillId="0" borderId="0" xfId="0" applyNumberFormat="1" applyFont="1"/>
    <xf numFmtId="41" fontId="122" fillId="0" borderId="0" xfId="0" applyNumberFormat="1" applyFont="1"/>
    <xf numFmtId="41" fontId="122" fillId="0" borderId="23" xfId="0" applyNumberFormat="1" applyFont="1" applyBorder="1"/>
    <xf numFmtId="41" fontId="122" fillId="0" borderId="5" xfId="0" applyNumberFormat="1" applyFont="1" applyBorder="1"/>
    <xf numFmtId="41" fontId="122" fillId="0" borderId="43" xfId="0" applyNumberFormat="1" applyFont="1" applyBorder="1"/>
    <xf numFmtId="41" fontId="129" fillId="0" borderId="0" xfId="0" applyNumberFormat="1" applyFont="1"/>
    <xf numFmtId="0" fontId="133" fillId="0" borderId="0" xfId="318" applyFont="1"/>
    <xf numFmtId="41" fontId="122" fillId="0" borderId="25" xfId="0" applyNumberFormat="1" applyFont="1" applyBorder="1"/>
    <xf numFmtId="42" fontId="122" fillId="0" borderId="24" xfId="0" applyNumberFormat="1" applyFont="1" applyBorder="1"/>
    <xf numFmtId="0" fontId="124" fillId="0" borderId="0" xfId="318" applyFont="1" applyAlignment="1">
      <alignment horizontal="center" vertical="top"/>
    </xf>
    <xf numFmtId="0" fontId="116" fillId="0" borderId="0" xfId="318" applyFont="1" applyAlignment="1">
      <alignment wrapText="1"/>
    </xf>
    <xf numFmtId="0" fontId="116" fillId="0" borderId="0" xfId="318" applyFont="1" applyAlignment="1">
      <alignment vertical="top" wrapText="1"/>
    </xf>
    <xf numFmtId="0" fontId="116" fillId="0" borderId="0" xfId="318" applyFont="1" applyAlignment="1">
      <alignment vertical="top"/>
    </xf>
    <xf numFmtId="0" fontId="116" fillId="0" borderId="0" xfId="318" applyFont="1" applyAlignment="1">
      <alignment horizontal="left" vertical="top"/>
    </xf>
    <xf numFmtId="0" fontId="116" fillId="0" borderId="0" xfId="318" applyFont="1" applyAlignment="1">
      <alignment horizontal="center" vertical="center"/>
    </xf>
    <xf numFmtId="43" fontId="116" fillId="0" borderId="0" xfId="318" applyNumberFormat="1" applyFont="1"/>
    <xf numFmtId="43" fontId="121" fillId="0" borderId="0" xfId="78" applyFont="1" applyFill="1" applyBorder="1"/>
    <xf numFmtId="0" fontId="121" fillId="0" borderId="0" xfId="318" applyFont="1" applyAlignment="1">
      <alignment vertical="top"/>
    </xf>
    <xf numFmtId="0" fontId="116" fillId="0" borderId="0" xfId="318" applyFont="1" applyAlignment="1">
      <alignment horizontal="center"/>
    </xf>
    <xf numFmtId="4" fontId="116" fillId="0" borderId="0" xfId="318" applyNumberFormat="1" applyFont="1"/>
    <xf numFmtId="43" fontId="121" fillId="0" borderId="0" xfId="318" applyNumberFormat="1" applyFont="1"/>
    <xf numFmtId="171" fontId="121" fillId="0" borderId="0" xfId="318" applyNumberFormat="1" applyFont="1"/>
    <xf numFmtId="4" fontId="121" fillId="0" borderId="0" xfId="318" applyNumberFormat="1" applyFont="1"/>
    <xf numFmtId="0" fontId="123" fillId="0" borderId="0" xfId="318" applyFont="1"/>
    <xf numFmtId="0" fontId="123" fillId="0" borderId="0" xfId="318" applyFont="1" applyAlignment="1">
      <alignment horizontal="center"/>
    </xf>
    <xf numFmtId="41" fontId="122" fillId="0" borderId="7" xfId="0" applyNumberFormat="1" applyFont="1" applyBorder="1"/>
    <xf numFmtId="3" fontId="116" fillId="0" borderId="0" xfId="318" applyNumberFormat="1" applyFont="1"/>
    <xf numFmtId="49" fontId="116" fillId="0" borderId="0" xfId="318" applyNumberFormat="1" applyFont="1" applyAlignment="1">
      <alignment horizontal="center"/>
    </xf>
    <xf numFmtId="49" fontId="123" fillId="0" borderId="0" xfId="318" applyNumberFormat="1" applyFont="1" applyAlignment="1">
      <alignment horizontal="center" wrapText="1"/>
    </xf>
    <xf numFmtId="49" fontId="116" fillId="0" borderId="0" xfId="0" applyNumberFormat="1" applyFont="1"/>
    <xf numFmtId="49" fontId="123" fillId="0" borderId="0" xfId="0" applyNumberFormat="1" applyFont="1" applyAlignment="1">
      <alignment horizontal="center"/>
    </xf>
    <xf numFmtId="49" fontId="123" fillId="0" borderId="0" xfId="318" applyNumberFormat="1" applyFont="1"/>
    <xf numFmtId="49" fontId="116" fillId="0" borderId="0" xfId="318" applyNumberFormat="1" applyFont="1"/>
    <xf numFmtId="49" fontId="123" fillId="0" borderId="23" xfId="0" applyNumberFormat="1" applyFont="1" applyBorder="1" applyAlignment="1">
      <alignment horizontal="center"/>
    </xf>
    <xf numFmtId="49" fontId="123" fillId="0" borderId="0" xfId="0" applyNumberFormat="1" applyFont="1"/>
    <xf numFmtId="41" fontId="116" fillId="0" borderId="0" xfId="318" applyNumberFormat="1" applyFont="1"/>
    <xf numFmtId="41" fontId="122" fillId="0" borderId="60" xfId="0" applyNumberFormat="1" applyFont="1" applyBorder="1"/>
    <xf numFmtId="0" fontId="116" fillId="0" borderId="0" xfId="194" applyFont="1"/>
    <xf numFmtId="0" fontId="116" fillId="0" borderId="0" xfId="194" applyFont="1" applyAlignment="1">
      <alignment horizontal="left" vertical="center" wrapText="1"/>
    </xf>
    <xf numFmtId="0" fontId="116" fillId="0" borderId="0" xfId="194" applyFont="1" applyAlignment="1">
      <alignment horizontal="center"/>
    </xf>
    <xf numFmtId="43" fontId="116" fillId="0" borderId="0" xfId="194" applyNumberFormat="1" applyFont="1"/>
    <xf numFmtId="43" fontId="116" fillId="0" borderId="0" xfId="194" applyNumberFormat="1" applyFont="1" applyAlignment="1">
      <alignment horizontal="left" vertical="center" wrapText="1"/>
    </xf>
    <xf numFmtId="37" fontId="28" fillId="0" borderId="0" xfId="0" applyFont="1"/>
    <xf numFmtId="37" fontId="0" fillId="0" borderId="0" xfId="0" applyAlignment="1">
      <alignment wrapText="1"/>
    </xf>
    <xf numFmtId="0" fontId="6" fillId="0" borderId="0" xfId="194" applyFont="1"/>
    <xf numFmtId="37" fontId="7" fillId="0" borderId="0" xfId="221" applyNumberFormat="1" applyFont="1"/>
    <xf numFmtId="170" fontId="120" fillId="0" borderId="0" xfId="323" applyNumberFormat="1" applyFont="1" applyFill="1" applyBorder="1" applyAlignment="1">
      <alignment wrapText="1"/>
    </xf>
    <xf numFmtId="0" fontId="115" fillId="0" borderId="0" xfId="281"/>
    <xf numFmtId="43" fontId="115" fillId="0" borderId="0" xfId="281" applyNumberFormat="1"/>
    <xf numFmtId="14" fontId="115" fillId="0" borderId="0" xfId="281" applyNumberFormat="1"/>
    <xf numFmtId="43" fontId="136" fillId="0" borderId="0" xfId="281" applyNumberFormat="1" applyFont="1"/>
    <xf numFmtId="43" fontId="115" fillId="0" borderId="2" xfId="281" applyNumberFormat="1" applyBorder="1"/>
    <xf numFmtId="43" fontId="115" fillId="0" borderId="5" xfId="281" applyNumberFormat="1" applyBorder="1"/>
    <xf numFmtId="43" fontId="115" fillId="0" borderId="40" xfId="281" applyNumberFormat="1" applyBorder="1"/>
    <xf numFmtId="0" fontId="136" fillId="0" borderId="0" xfId="281" applyFont="1"/>
    <xf numFmtId="9" fontId="139" fillId="0" borderId="0" xfId="306" applyNumberFormat="1" applyFont="1"/>
    <xf numFmtId="0" fontId="139" fillId="0" borderId="0" xfId="306" applyFont="1" applyAlignment="1">
      <alignment horizontal="center"/>
    </xf>
    <xf numFmtId="43" fontId="139" fillId="0" borderId="0" xfId="306" applyNumberFormat="1" applyFont="1"/>
    <xf numFmtId="10" fontId="139" fillId="0" borderId="0" xfId="306" applyNumberFormat="1" applyFont="1"/>
    <xf numFmtId="41" fontId="173" fillId="0" borderId="0" xfId="0" applyNumberFormat="1" applyFont="1"/>
    <xf numFmtId="37" fontId="22" fillId="0" borderId="0" xfId="0" applyFont="1" applyAlignment="1">
      <alignment horizontal="right"/>
    </xf>
    <xf numFmtId="4" fontId="116" fillId="0" borderId="0" xfId="194" applyNumberFormat="1" applyFont="1"/>
    <xf numFmtId="10" fontId="116" fillId="0" borderId="0" xfId="194" applyNumberFormat="1" applyFont="1"/>
    <xf numFmtId="0" fontId="116" fillId="0" borderId="0" xfId="194" applyFont="1" applyAlignment="1">
      <alignment horizontal="center" wrapText="1"/>
    </xf>
    <xf numFmtId="0" fontId="116" fillId="0" borderId="0" xfId="194" applyFont="1" applyAlignment="1">
      <alignment horizontal="center" vertical="center" wrapText="1"/>
    </xf>
    <xf numFmtId="0" fontId="116" fillId="0" borderId="0" xfId="194" quotePrefix="1" applyFont="1"/>
    <xf numFmtId="37" fontId="120" fillId="0" borderId="0" xfId="0" applyFont="1"/>
    <xf numFmtId="171" fontId="16" fillId="0" borderId="0" xfId="78" applyNumberFormat="1" applyFont="1"/>
    <xf numFmtId="171" fontId="15" fillId="0" borderId="0" xfId="78" applyNumberFormat="1" applyFont="1"/>
    <xf numFmtId="37" fontId="28" fillId="0" borderId="0" xfId="0" applyFont="1" applyAlignment="1">
      <alignment wrapText="1"/>
    </xf>
    <xf numFmtId="37" fontId="172" fillId="0" borderId="0" xfId="0" applyFont="1"/>
    <xf numFmtId="37" fontId="176" fillId="0" borderId="0" xfId="0" applyFont="1" applyAlignment="1">
      <alignment horizontal="center"/>
    </xf>
    <xf numFmtId="41" fontId="177" fillId="0" borderId="0" xfId="0" applyNumberFormat="1" applyFont="1"/>
    <xf numFmtId="171" fontId="176" fillId="0" borderId="0" xfId="78" applyNumberFormat="1" applyFont="1" applyFill="1" applyBorder="1"/>
    <xf numFmtId="37" fontId="127" fillId="0" borderId="0" xfId="0" applyFont="1" applyAlignment="1">
      <alignment horizontal="center"/>
    </xf>
    <xf numFmtId="37" fontId="127" fillId="0" borderId="0" xfId="0" applyFont="1"/>
    <xf numFmtId="37" fontId="121" fillId="0" borderId="0" xfId="239" applyNumberFormat="1" applyFont="1" applyAlignment="1">
      <alignment horizontal="left"/>
    </xf>
    <xf numFmtId="0" fontId="116" fillId="0" borderId="0" xfId="239" applyFont="1"/>
    <xf numFmtId="0" fontId="121" fillId="0" borderId="0" xfId="239" applyFont="1" applyAlignment="1">
      <alignment horizontal="center"/>
    </xf>
    <xf numFmtId="37" fontId="134" fillId="0" borderId="0" xfId="0" applyFont="1" applyAlignment="1">
      <alignment horizontal="center"/>
    </xf>
    <xf numFmtId="14" fontId="119" fillId="0" borderId="0" xfId="281" applyNumberFormat="1" applyFont="1"/>
    <xf numFmtId="37" fontId="128" fillId="0" borderId="0" xfId="0" applyFont="1"/>
    <xf numFmtId="0" fontId="119" fillId="0" borderId="0" xfId="281" applyFont="1"/>
    <xf numFmtId="0" fontId="115" fillId="0" borderId="0" xfId="281" applyAlignment="1">
      <alignment horizontal="center"/>
    </xf>
    <xf numFmtId="0" fontId="119" fillId="0" borderId="0" xfId="281" applyFont="1" applyAlignment="1">
      <alignment vertical="top"/>
    </xf>
    <xf numFmtId="43" fontId="119" fillId="0" borderId="0" xfId="281" applyNumberFormat="1" applyFont="1" applyAlignment="1">
      <alignment vertical="top"/>
    </xf>
    <xf numFmtId="43" fontId="119" fillId="0" borderId="0" xfId="281" applyNumberFormat="1" applyFont="1" applyAlignment="1">
      <alignment vertical="center"/>
    </xf>
    <xf numFmtId="49" fontId="119" fillId="0" borderId="0" xfId="281" applyNumberFormat="1" applyFont="1" applyAlignment="1">
      <alignment horizontal="justify" vertical="top" wrapText="1"/>
    </xf>
    <xf numFmtId="43" fontId="115" fillId="0" borderId="0" xfId="281" applyNumberFormat="1" applyAlignment="1">
      <alignment horizontal="center"/>
    </xf>
    <xf numFmtId="43" fontId="121" fillId="0" borderId="0" xfId="281" applyNumberFormat="1" applyFont="1"/>
    <xf numFmtId="44" fontId="119" fillId="0" borderId="0" xfId="281" applyNumberFormat="1" applyFont="1" applyAlignment="1">
      <alignment vertical="top"/>
    </xf>
    <xf numFmtId="44" fontId="119" fillId="0" borderId="0" xfId="281" applyNumberFormat="1" applyFont="1" applyAlignment="1">
      <alignment vertical="center"/>
    </xf>
    <xf numFmtId="43" fontId="115" fillId="0" borderId="0" xfId="281" applyNumberFormat="1" applyAlignment="1">
      <alignment horizontal="left" wrapText="1"/>
    </xf>
    <xf numFmtId="49" fontId="119" fillId="0" borderId="0" xfId="281" applyNumberFormat="1" applyFont="1" applyAlignment="1">
      <alignment vertical="top" wrapText="1"/>
    </xf>
    <xf numFmtId="0" fontId="119" fillId="0" borderId="0" xfId="281" applyFont="1" applyAlignment="1">
      <alignment vertical="center"/>
    </xf>
    <xf numFmtId="43" fontId="119" fillId="0" borderId="0" xfId="281" applyNumberFormat="1" applyFont="1" applyAlignment="1">
      <alignment horizontal="left" wrapText="1"/>
    </xf>
    <xf numFmtId="44" fontId="119" fillId="0" borderId="0" xfId="281" applyNumberFormat="1" applyFont="1"/>
    <xf numFmtId="43" fontId="119" fillId="0" borderId="0" xfId="281" applyNumberFormat="1" applyFont="1"/>
    <xf numFmtId="43" fontId="121" fillId="0" borderId="0" xfId="281" applyNumberFormat="1" applyFont="1" applyAlignment="1">
      <alignment horizontal="center" vertical="top"/>
    </xf>
    <xf numFmtId="37" fontId="121" fillId="0" borderId="0" xfId="239" applyNumberFormat="1" applyFont="1"/>
    <xf numFmtId="0" fontId="121" fillId="0" borderId="0" xfId="239" applyFont="1"/>
    <xf numFmtId="43" fontId="121" fillId="0" borderId="0" xfId="281" applyNumberFormat="1" applyFont="1" applyAlignment="1">
      <alignment horizontal="center"/>
    </xf>
    <xf numFmtId="43" fontId="119" fillId="0" borderId="0" xfId="281" applyNumberFormat="1" applyFont="1" applyAlignment="1">
      <alignment horizontal="center"/>
    </xf>
    <xf numFmtId="0" fontId="122" fillId="0" borderId="0" xfId="266" applyFont="1"/>
    <xf numFmtId="43" fontId="122" fillId="0" borderId="0" xfId="266" applyNumberFormat="1" applyFont="1"/>
    <xf numFmtId="44" fontId="122" fillId="0" borderId="0" xfId="266" applyNumberFormat="1" applyFont="1"/>
    <xf numFmtId="49" fontId="122" fillId="0" borderId="0" xfId="266" applyNumberFormat="1" applyFont="1" applyAlignment="1">
      <alignment vertical="center" wrapText="1"/>
    </xf>
    <xf numFmtId="0" fontId="122" fillId="0" borderId="0" xfId="266" applyFont="1" applyAlignment="1">
      <alignment horizontal="center"/>
    </xf>
    <xf numFmtId="49" fontId="122" fillId="0" borderId="0" xfId="266" applyNumberFormat="1" applyFont="1" applyAlignment="1">
      <alignment horizontal="left" vertical="center" wrapText="1"/>
    </xf>
    <xf numFmtId="49" fontId="128" fillId="0" borderId="0" xfId="193" applyNumberFormat="1" applyFont="1" applyAlignment="1">
      <alignment horizontal="center" vertical="top" wrapText="1"/>
    </xf>
    <xf numFmtId="49" fontId="128" fillId="0" borderId="0" xfId="193" applyNumberFormat="1" applyFont="1" applyAlignment="1">
      <alignment vertical="top" wrapText="1"/>
    </xf>
    <xf numFmtId="43" fontId="122" fillId="0" borderId="0" xfId="266" applyNumberFormat="1" applyFont="1" applyAlignment="1">
      <alignment wrapText="1"/>
    </xf>
    <xf numFmtId="37" fontId="128" fillId="0" borderId="0" xfId="0" applyFont="1" applyAlignment="1">
      <alignment wrapText="1"/>
    </xf>
    <xf numFmtId="49" fontId="128" fillId="0" borderId="0" xfId="0" applyNumberFormat="1" applyFont="1" applyAlignment="1">
      <alignment horizontal="justify" vertical="top" wrapText="1"/>
    </xf>
    <xf numFmtId="49" fontId="122" fillId="0" borderId="0" xfId="266" applyNumberFormat="1" applyFont="1"/>
    <xf numFmtId="49" fontId="128" fillId="0" borderId="0" xfId="0" applyNumberFormat="1" applyFont="1" applyAlignment="1">
      <alignment horizontal="center" vertical="top" wrapText="1"/>
    </xf>
    <xf numFmtId="37" fontId="116" fillId="0" borderId="0" xfId="0" applyFont="1" applyAlignment="1">
      <alignment vertical="top" wrapText="1"/>
    </xf>
    <xf numFmtId="49" fontId="122" fillId="0" borderId="0" xfId="266" applyNumberFormat="1" applyFont="1" applyAlignment="1">
      <alignment horizontal="center"/>
    </xf>
    <xf numFmtId="0" fontId="9" fillId="0" borderId="0" xfId="318" applyAlignment="1">
      <alignment horizontal="justify" vertical="top" wrapText="1"/>
    </xf>
    <xf numFmtId="44" fontId="137" fillId="0" borderId="0" xfId="306" applyNumberFormat="1" applyFont="1" applyAlignment="1">
      <alignment horizontal="right"/>
    </xf>
    <xf numFmtId="37" fontId="125" fillId="0" borderId="0" xfId="0" applyFont="1"/>
    <xf numFmtId="37" fontId="126" fillId="0" borderId="0" xfId="0" applyFont="1"/>
    <xf numFmtId="37" fontId="126" fillId="0" borderId="0" xfId="0" applyFont="1" applyAlignment="1">
      <alignment wrapText="1"/>
    </xf>
    <xf numFmtId="37" fontId="138" fillId="0" borderId="0" xfId="0" applyFont="1"/>
    <xf numFmtId="10" fontId="126" fillId="0" borderId="0" xfId="0" applyNumberFormat="1" applyFont="1"/>
    <xf numFmtId="37" fontId="126" fillId="0" borderId="0" xfId="0" applyFont="1" applyAlignment="1">
      <alignment horizontal="left" indent="2"/>
    </xf>
    <xf numFmtId="37" fontId="5" fillId="0" borderId="0" xfId="0" applyFont="1"/>
    <xf numFmtId="49" fontId="179" fillId="0" borderId="0" xfId="281" applyNumberFormat="1" applyFont="1" applyAlignment="1">
      <alignment vertical="top"/>
    </xf>
    <xf numFmtId="0" fontId="116" fillId="0" borderId="0" xfId="194" applyFont="1" applyAlignment="1">
      <alignment horizontal="left" vertical="center"/>
    </xf>
    <xf numFmtId="0" fontId="116" fillId="0" borderId="0" xfId="194" applyFont="1" applyAlignment="1">
      <alignment horizontal="right"/>
    </xf>
    <xf numFmtId="0" fontId="117" fillId="0" borderId="0" xfId="194" applyFont="1"/>
    <xf numFmtId="43" fontId="116" fillId="0" borderId="0" xfId="101" applyFont="1" applyFill="1"/>
    <xf numFmtId="0" fontId="133" fillId="0" borderId="0" xfId="194" applyFont="1"/>
    <xf numFmtId="43" fontId="117" fillId="0" borderId="0" xfId="194" applyNumberFormat="1" applyFont="1"/>
    <xf numFmtId="177" fontId="116" fillId="0" borderId="0" xfId="194" applyNumberFormat="1" applyFont="1" applyAlignment="1">
      <alignment horizontal="left"/>
    </xf>
    <xf numFmtId="43" fontId="116" fillId="0" borderId="0" xfId="101" applyFont="1" applyFill="1" applyBorder="1"/>
    <xf numFmtId="0" fontId="118" fillId="0" borderId="0" xfId="194" applyFont="1"/>
    <xf numFmtId="1" fontId="118" fillId="0" borderId="0" xfId="194" applyNumberFormat="1" applyFont="1"/>
    <xf numFmtId="43" fontId="6" fillId="0" borderId="0" xfId="194" applyNumberFormat="1" applyFont="1"/>
    <xf numFmtId="171" fontId="118" fillId="0" borderId="0" xfId="101" applyNumberFormat="1" applyFont="1" applyFill="1" applyBorder="1"/>
    <xf numFmtId="14" fontId="116" fillId="0" borderId="0" xfId="194" applyNumberFormat="1" applyFont="1"/>
    <xf numFmtId="2" fontId="6" fillId="0" borderId="0" xfId="194" applyNumberFormat="1" applyFont="1"/>
    <xf numFmtId="39" fontId="0" fillId="0" borderId="0" xfId="0" applyNumberFormat="1"/>
    <xf numFmtId="43" fontId="0" fillId="0" borderId="0" xfId="101" applyFont="1" applyFill="1" applyBorder="1"/>
    <xf numFmtId="43" fontId="6" fillId="0" borderId="2" xfId="78" applyFont="1" applyFill="1" applyBorder="1"/>
    <xf numFmtId="49" fontId="180" fillId="0" borderId="0" xfId="281" applyNumberFormat="1" applyFont="1" applyAlignment="1">
      <alignment vertical="top"/>
    </xf>
    <xf numFmtId="37" fontId="6" fillId="0" borderId="0" xfId="0" quotePrefix="1" applyFont="1" applyAlignment="1">
      <alignment horizontal="center"/>
    </xf>
    <xf numFmtId="37" fontId="7" fillId="0" borderId="0" xfId="0" applyFont="1" applyAlignment="1">
      <alignment horizontal="left" indent="1"/>
    </xf>
    <xf numFmtId="37" fontId="181" fillId="0" borderId="0" xfId="0" applyFont="1" applyAlignment="1">
      <alignment horizontal="left" indent="1"/>
    </xf>
    <xf numFmtId="37" fontId="7" fillId="0" borderId="0" xfId="0" applyFont="1" applyAlignment="1">
      <alignment wrapText="1"/>
    </xf>
    <xf numFmtId="37" fontId="17" fillId="0" borderId="0" xfId="0" applyFont="1" applyAlignment="1">
      <alignment horizontal="center"/>
    </xf>
    <xf numFmtId="41" fontId="6" fillId="0" borderId="25" xfId="0" applyNumberFormat="1" applyFont="1" applyBorder="1"/>
    <xf numFmtId="41" fontId="6" fillId="0" borderId="24" xfId="0" applyNumberFormat="1" applyFont="1" applyBorder="1"/>
    <xf numFmtId="14" fontId="6" fillId="0" borderId="0" xfId="0" applyNumberFormat="1" applyFont="1" applyAlignment="1">
      <alignment horizontal="center"/>
    </xf>
    <xf numFmtId="43" fontId="6" fillId="0" borderId="0" xfId="78" applyFont="1" applyFill="1" applyBorder="1" applyAlignment="1">
      <alignment horizontal="center"/>
    </xf>
    <xf numFmtId="41" fontId="142" fillId="0" borderId="0" xfId="0" applyNumberFormat="1" applyFont="1"/>
    <xf numFmtId="0" fontId="139" fillId="0" borderId="0" xfId="281" applyFont="1"/>
    <xf numFmtId="43" fontId="72" fillId="0" borderId="5" xfId="225" applyNumberFormat="1" applyFont="1" applyBorder="1"/>
    <xf numFmtId="43" fontId="139" fillId="0" borderId="0" xfId="281" applyNumberFormat="1" applyFont="1"/>
    <xf numFmtId="43" fontId="178" fillId="0" borderId="0" xfId="281" applyNumberFormat="1" applyFont="1"/>
    <xf numFmtId="0" fontId="178" fillId="0" borderId="0" xfId="281" applyFont="1"/>
    <xf numFmtId="43" fontId="139" fillId="0" borderId="0" xfId="78" applyFont="1"/>
    <xf numFmtId="37" fontId="7" fillId="0" borderId="0" xfId="0" quotePrefix="1" applyFont="1" applyAlignment="1">
      <alignment horizontal="center"/>
    </xf>
    <xf numFmtId="14" fontId="7" fillId="0" borderId="0" xfId="0" applyNumberFormat="1" applyFont="1" applyAlignment="1">
      <alignment horizontal="center"/>
    </xf>
    <xf numFmtId="37" fontId="139" fillId="0" borderId="0" xfId="0" applyFont="1"/>
    <xf numFmtId="49" fontId="0" fillId="0" borderId="0" xfId="0" applyNumberFormat="1"/>
    <xf numFmtId="37" fontId="6" fillId="0" borderId="0" xfId="0" applyFont="1" applyAlignment="1">
      <alignment horizontal="right"/>
    </xf>
    <xf numFmtId="43" fontId="6" fillId="0" borderId="0" xfId="0" applyNumberFormat="1" applyFont="1" applyAlignment="1">
      <alignment horizontal="center"/>
    </xf>
    <xf numFmtId="10" fontId="6" fillId="0" borderId="0" xfId="0" applyNumberFormat="1" applyFont="1"/>
    <xf numFmtId="37" fontId="139" fillId="0" borderId="0" xfId="0" applyFont="1" applyAlignment="1">
      <alignment horizontal="left" indent="1"/>
    </xf>
    <xf numFmtId="37" fontId="17" fillId="0" borderId="0" xfId="0" applyFont="1"/>
    <xf numFmtId="37" fontId="6" fillId="0" borderId="5" xfId="0" applyFont="1" applyBorder="1"/>
    <xf numFmtId="183" fontId="6" fillId="0" borderId="24" xfId="0" applyNumberFormat="1" applyFont="1" applyBorder="1"/>
    <xf numFmtId="37" fontId="7" fillId="0" borderId="5" xfId="0" applyFont="1" applyBorder="1" applyAlignment="1">
      <alignment horizontal="center"/>
    </xf>
    <xf numFmtId="37" fontId="6" fillId="0" borderId="0" xfId="0" applyFont="1" applyAlignment="1">
      <alignment horizontal="left" indent="2"/>
    </xf>
    <xf numFmtId="37" fontId="6" fillId="0" borderId="0" xfId="316" applyFont="1"/>
    <xf numFmtId="37" fontId="6" fillId="0" borderId="0" xfId="0" applyFont="1" applyAlignment="1">
      <alignment horizontal="left"/>
    </xf>
    <xf numFmtId="37" fontId="139" fillId="0" borderId="0" xfId="0" applyFont="1" applyAlignment="1">
      <alignment horizontal="right"/>
    </xf>
    <xf numFmtId="39" fontId="139" fillId="0" borderId="0" xfId="0" applyNumberFormat="1" applyFont="1"/>
    <xf numFmtId="0" fontId="139" fillId="0" borderId="0" xfId="0" applyNumberFormat="1" applyFont="1"/>
    <xf numFmtId="37" fontId="182" fillId="0" borderId="0" xfId="0" applyFont="1" applyAlignment="1">
      <alignment vertical="top"/>
    </xf>
    <xf numFmtId="184" fontId="139" fillId="0" borderId="0" xfId="0" applyNumberFormat="1" applyFont="1"/>
    <xf numFmtId="37" fontId="182" fillId="0" borderId="0" xfId="0" applyFont="1" applyAlignment="1">
      <alignment vertical="top" wrapText="1"/>
    </xf>
    <xf numFmtId="2" fontId="6" fillId="0" borderId="0" xfId="0" applyNumberFormat="1" applyFont="1" applyAlignment="1">
      <alignment horizontal="center"/>
    </xf>
    <xf numFmtId="2" fontId="7" fillId="0" borderId="0" xfId="0" applyNumberFormat="1" applyFont="1" applyAlignment="1">
      <alignment horizontal="center"/>
    </xf>
    <xf numFmtId="0" fontId="72" fillId="0" borderId="39" xfId="281" applyFont="1" applyBorder="1"/>
    <xf numFmtId="0" fontId="72" fillId="0" borderId="37" xfId="281" applyFont="1" applyBorder="1"/>
    <xf numFmtId="0" fontId="72" fillId="0" borderId="38" xfId="281" applyFont="1" applyBorder="1"/>
    <xf numFmtId="0" fontId="72" fillId="0" borderId="22" xfId="281" applyFont="1" applyBorder="1"/>
    <xf numFmtId="0" fontId="72" fillId="0" borderId="32" xfId="281" applyFont="1" applyBorder="1"/>
    <xf numFmtId="0" fontId="133" fillId="0" borderId="0" xfId="225" applyFont="1"/>
    <xf numFmtId="0" fontId="72" fillId="0" borderId="22" xfId="225" applyFont="1" applyBorder="1"/>
    <xf numFmtId="0" fontId="79" fillId="0" borderId="17" xfId="281" applyFont="1" applyBorder="1"/>
    <xf numFmtId="0" fontId="72" fillId="0" borderId="34" xfId="281" applyFont="1" applyBorder="1"/>
    <xf numFmtId="43" fontId="72" fillId="0" borderId="0" xfId="78" applyFont="1" applyFill="1" applyBorder="1"/>
    <xf numFmtId="43" fontId="116" fillId="0" borderId="0" xfId="428" applyFont="1" applyFill="1" applyBorder="1"/>
    <xf numFmtId="43" fontId="116" fillId="0" borderId="0" xfId="430" applyFont="1" applyFill="1"/>
    <xf numFmtId="43" fontId="116" fillId="0" borderId="0" xfId="78" applyFont="1"/>
    <xf numFmtId="43" fontId="116" fillId="0" borderId="5" xfId="430" applyFont="1" applyFill="1" applyBorder="1"/>
    <xf numFmtId="43" fontId="72" fillId="0" borderId="5" xfId="281" applyNumberFormat="1" applyFont="1" applyBorder="1"/>
    <xf numFmtId="43" fontId="72" fillId="0" borderId="0" xfId="225" applyNumberFormat="1" applyFont="1"/>
    <xf numFmtId="172" fontId="6" fillId="0" borderId="0" xfId="281" applyNumberFormat="1" applyFont="1"/>
    <xf numFmtId="0" fontId="7" fillId="0" borderId="32" xfId="281" applyFont="1" applyBorder="1"/>
    <xf numFmtId="0" fontId="73" fillId="0" borderId="22" xfId="225" applyFont="1" applyBorder="1"/>
    <xf numFmtId="43" fontId="72" fillId="0" borderId="0" xfId="78" applyFont="1" applyBorder="1"/>
    <xf numFmtId="0" fontId="14" fillId="0" borderId="32" xfId="281" applyFont="1" applyBorder="1"/>
    <xf numFmtId="43" fontId="73" fillId="0" borderId="37" xfId="281" applyNumberFormat="1" applyFont="1" applyBorder="1" applyAlignment="1">
      <alignment horizontal="center"/>
    </xf>
    <xf numFmtId="43" fontId="73" fillId="0" borderId="37" xfId="78" applyFont="1" applyFill="1" applyBorder="1" applyAlignment="1">
      <alignment horizontal="center"/>
    </xf>
    <xf numFmtId="43" fontId="73" fillId="0" borderId="40" xfId="281" applyNumberFormat="1" applyFont="1" applyBorder="1"/>
    <xf numFmtId="43" fontId="73" fillId="0" borderId="67" xfId="281" applyNumberFormat="1" applyFont="1" applyBorder="1"/>
    <xf numFmtId="43" fontId="73" fillId="0" borderId="67" xfId="78" applyFont="1" applyFill="1" applyBorder="1"/>
    <xf numFmtId="0" fontId="121" fillId="0" borderId="0" xfId="194" applyFont="1"/>
    <xf numFmtId="0" fontId="116" fillId="0" borderId="39" xfId="194" applyFont="1" applyBorder="1"/>
    <xf numFmtId="0" fontId="116" fillId="0" borderId="37" xfId="194" applyFont="1" applyBorder="1" applyAlignment="1">
      <alignment horizontal="right"/>
    </xf>
    <xf numFmtId="0" fontId="116" fillId="0" borderId="37" xfId="194" applyFont="1" applyBorder="1"/>
    <xf numFmtId="0" fontId="116" fillId="0" borderId="38" xfId="194" applyFont="1" applyBorder="1"/>
    <xf numFmtId="0" fontId="116" fillId="0" borderId="22" xfId="194" applyFont="1" applyBorder="1"/>
    <xf numFmtId="0" fontId="116" fillId="0" borderId="32" xfId="194" applyFont="1" applyBorder="1"/>
    <xf numFmtId="0" fontId="116" fillId="0" borderId="33" xfId="194" applyFont="1" applyBorder="1"/>
    <xf numFmtId="0" fontId="116" fillId="0" borderId="17" xfId="194" applyFont="1" applyBorder="1"/>
    <xf numFmtId="0" fontId="116" fillId="0" borderId="34" xfId="194" applyFont="1" applyBorder="1"/>
    <xf numFmtId="170" fontId="116" fillId="0" borderId="0" xfId="326" applyNumberFormat="1" applyFont="1" applyFill="1"/>
    <xf numFmtId="0" fontId="139" fillId="0" borderId="0" xfId="194" applyFont="1"/>
    <xf numFmtId="0" fontId="116" fillId="0" borderId="37" xfId="194" applyFont="1" applyBorder="1" applyAlignment="1">
      <alignment horizontal="center"/>
    </xf>
    <xf numFmtId="170" fontId="116" fillId="0" borderId="0" xfId="194" applyNumberFormat="1" applyFont="1"/>
    <xf numFmtId="171" fontId="116" fillId="0" borderId="0" xfId="101" applyNumberFormat="1" applyFont="1" applyFill="1" applyBorder="1"/>
    <xf numFmtId="10" fontId="116" fillId="0" borderId="0" xfId="323" applyNumberFormat="1" applyFont="1" applyFill="1" applyBorder="1"/>
    <xf numFmtId="171" fontId="116" fillId="0" borderId="5" xfId="101" applyNumberFormat="1" applyFont="1" applyFill="1" applyBorder="1"/>
    <xf numFmtId="171" fontId="116" fillId="0" borderId="0" xfId="194" applyNumberFormat="1" applyFont="1"/>
    <xf numFmtId="43" fontId="116" fillId="0" borderId="0" xfId="78" applyFont="1" applyFill="1" applyBorder="1"/>
    <xf numFmtId="0" fontId="121" fillId="0" borderId="0" xfId="194" applyFont="1" applyAlignment="1">
      <alignment horizontal="right"/>
    </xf>
    <xf numFmtId="171" fontId="121" fillId="0" borderId="0" xfId="101" applyNumberFormat="1" applyFont="1" applyFill="1" applyBorder="1"/>
    <xf numFmtId="41" fontId="6" fillId="0" borderId="45" xfId="0" applyNumberFormat="1" applyFont="1" applyBorder="1"/>
    <xf numFmtId="41" fontId="6" fillId="0" borderId="7" xfId="0" applyNumberFormat="1" applyFont="1" applyBorder="1"/>
    <xf numFmtId="2" fontId="6" fillId="0" borderId="0" xfId="92" applyNumberFormat="1" applyFont="1" applyAlignment="1">
      <alignment horizontal="center"/>
    </xf>
    <xf numFmtId="0" fontId="186" fillId="0" borderId="0" xfId="306" applyFont="1"/>
    <xf numFmtId="37" fontId="187" fillId="0" borderId="0" xfId="0" applyFont="1"/>
    <xf numFmtId="37" fontId="188" fillId="0" borderId="0" xfId="0" applyFont="1"/>
    <xf numFmtId="43" fontId="186" fillId="0" borderId="0" xfId="306" applyNumberFormat="1" applyFont="1"/>
    <xf numFmtId="10" fontId="186" fillId="0" borderId="0" xfId="306" applyNumberFormat="1" applyFont="1"/>
    <xf numFmtId="4" fontId="0" fillId="0" borderId="0" xfId="0" applyNumberFormat="1" applyAlignment="1">
      <alignment horizontal="right"/>
    </xf>
    <xf numFmtId="43" fontId="6" fillId="0" borderId="26" xfId="306" applyNumberFormat="1" applyFont="1" applyBorder="1" applyAlignment="1">
      <alignment horizontal="fill"/>
    </xf>
    <xf numFmtId="49" fontId="185" fillId="0" borderId="0" xfId="0" applyNumberFormat="1" applyFont="1" applyAlignment="1">
      <alignment horizontal="left"/>
    </xf>
    <xf numFmtId="4" fontId="185" fillId="0" borderId="0" xfId="0" applyNumberFormat="1" applyFont="1" applyAlignment="1">
      <alignment horizontal="right"/>
    </xf>
    <xf numFmtId="43" fontId="6" fillId="0" borderId="0" xfId="78" applyFont="1" applyFill="1"/>
    <xf numFmtId="43" fontId="6" fillId="0" borderId="5" xfId="78" applyFont="1" applyFill="1" applyBorder="1"/>
    <xf numFmtId="43" fontId="16" fillId="0" borderId="0" xfId="78" applyFont="1"/>
    <xf numFmtId="0" fontId="189" fillId="0" borderId="0" xfId="306" applyFont="1"/>
    <xf numFmtId="10" fontId="0" fillId="0" borderId="0" xfId="323" applyNumberFormat="1" applyFont="1"/>
    <xf numFmtId="37" fontId="190" fillId="0" borderId="0" xfId="0" applyFont="1" applyAlignment="1">
      <alignment horizontal="left" indent="1"/>
    </xf>
    <xf numFmtId="37" fontId="191" fillId="0" borderId="0" xfId="0" applyFont="1" applyAlignment="1">
      <alignment horizontal="left" indent="1"/>
    </xf>
    <xf numFmtId="37" fontId="192" fillId="0" borderId="0" xfId="0" applyFont="1"/>
    <xf numFmtId="43" fontId="6" fillId="0" borderId="40" xfId="194" applyNumberFormat="1" applyFont="1" applyBorder="1"/>
    <xf numFmtId="0" fontId="6" fillId="0" borderId="40" xfId="194" applyFont="1" applyBorder="1"/>
    <xf numFmtId="37" fontId="122" fillId="0" borderId="0" xfId="0" applyFont="1" applyAlignment="1">
      <alignment horizontal="left" indent="1"/>
    </xf>
    <xf numFmtId="43" fontId="116" fillId="0" borderId="0" xfId="78" applyFont="1" applyFill="1"/>
    <xf numFmtId="0" fontId="116" fillId="0" borderId="5" xfId="194" applyFont="1" applyBorder="1"/>
    <xf numFmtId="0" fontId="116" fillId="0" borderId="5" xfId="194" applyFont="1" applyBorder="1" applyAlignment="1">
      <alignment horizontal="center"/>
    </xf>
    <xf numFmtId="43" fontId="139" fillId="0" borderId="0" xfId="78" applyFont="1" applyFill="1"/>
    <xf numFmtId="43" fontId="116" fillId="0" borderId="0" xfId="194" applyNumberFormat="1" applyFont="1" applyAlignment="1">
      <alignment horizontal="center"/>
    </xf>
    <xf numFmtId="43" fontId="6" fillId="0" borderId="0" xfId="78" applyFont="1"/>
    <xf numFmtId="0" fontId="116" fillId="0" borderId="0" xfId="194" applyFont="1" applyAlignment="1">
      <alignment horizontal="left"/>
    </xf>
    <xf numFmtId="43" fontId="116" fillId="0" borderId="5" xfId="78" applyFont="1" applyFill="1" applyBorder="1"/>
    <xf numFmtId="43" fontId="122" fillId="39" borderId="37" xfId="78" applyFont="1" applyFill="1" applyBorder="1"/>
    <xf numFmtId="43" fontId="122" fillId="39" borderId="5" xfId="78" applyFont="1" applyFill="1" applyBorder="1"/>
    <xf numFmtId="43" fontId="122" fillId="39" borderId="0" xfId="78" applyFont="1" applyFill="1"/>
    <xf numFmtId="43" fontId="0" fillId="0" borderId="0" xfId="78" applyFont="1"/>
    <xf numFmtId="171" fontId="0" fillId="0" borderId="0" xfId="78" applyNumberFormat="1" applyFont="1" applyBorder="1"/>
    <xf numFmtId="185" fontId="116" fillId="0" borderId="0" xfId="194" applyNumberFormat="1" applyFont="1"/>
    <xf numFmtId="37" fontId="193" fillId="0" borderId="0" xfId="0" applyFont="1" applyAlignment="1">
      <alignment horizontal="left" indent="1"/>
    </xf>
    <xf numFmtId="37" fontId="116" fillId="0" borderId="0" xfId="194" applyNumberFormat="1" applyFont="1"/>
    <xf numFmtId="4" fontId="139" fillId="0" borderId="0" xfId="306" applyNumberFormat="1" applyFont="1"/>
    <xf numFmtId="43" fontId="16" fillId="0" borderId="5" xfId="306" applyNumberFormat="1" applyFont="1" applyBorder="1"/>
    <xf numFmtId="0" fontId="12" fillId="0" borderId="0" xfId="0" applyNumberFormat="1" applyFont="1"/>
    <xf numFmtId="37" fontId="12" fillId="0" borderId="0" xfId="0" applyFont="1" applyAlignment="1">
      <alignment horizontal="left"/>
    </xf>
    <xf numFmtId="41" fontId="6" fillId="0" borderId="0" xfId="0" applyNumberFormat="1" applyFont="1" applyAlignment="1">
      <alignment horizontal="center"/>
    </xf>
    <xf numFmtId="43" fontId="0" fillId="0" borderId="0" xfId="0" applyNumberFormat="1"/>
    <xf numFmtId="186" fontId="12" fillId="0" borderId="0" xfId="215" applyNumberFormat="1" applyFont="1"/>
    <xf numFmtId="49" fontId="6" fillId="0" borderId="0" xfId="0" applyNumberFormat="1" applyFont="1" applyAlignment="1">
      <alignment vertical="top"/>
    </xf>
    <xf numFmtId="0" fontId="12" fillId="0" borderId="0" xfId="306" quotePrefix="1" applyFont="1" applyAlignment="1">
      <alignment horizontal="right"/>
    </xf>
    <xf numFmtId="0" fontId="160" fillId="0" borderId="0" xfId="281" applyFont="1"/>
    <xf numFmtId="43" fontId="72" fillId="0" borderId="27" xfId="78" applyFont="1" applyBorder="1"/>
    <xf numFmtId="44" fontId="72" fillId="0" borderId="68" xfId="433" applyFont="1" applyBorder="1"/>
    <xf numFmtId="0" fontId="16" fillId="0" borderId="0" xfId="306" applyFont="1" applyAlignment="1">
      <alignment horizontal="left"/>
    </xf>
    <xf numFmtId="44" fontId="16" fillId="0" borderId="5" xfId="306" applyNumberFormat="1" applyFont="1" applyBorder="1"/>
    <xf numFmtId="43" fontId="6" fillId="0" borderId="5" xfId="78" applyFont="1" applyBorder="1"/>
    <xf numFmtId="10" fontId="7" fillId="0" borderId="0" xfId="0" applyNumberFormat="1" applyFont="1" applyAlignment="1">
      <alignment horizontal="center"/>
    </xf>
    <xf numFmtId="41" fontId="6" fillId="0" borderId="69" xfId="0" applyNumberFormat="1" applyFont="1" applyBorder="1"/>
    <xf numFmtId="2" fontId="123" fillId="0" borderId="0" xfId="318" applyNumberFormat="1" applyFont="1" applyAlignment="1">
      <alignment horizontal="center"/>
    </xf>
    <xf numFmtId="10" fontId="6" fillId="0" borderId="0" xfId="328" applyNumberFormat="1" applyFont="1" applyFill="1"/>
    <xf numFmtId="9" fontId="6" fillId="0" borderId="0" xfId="0" applyNumberFormat="1" applyFont="1"/>
    <xf numFmtId="171" fontId="6" fillId="0" borderId="0" xfId="92" applyNumberFormat="1" applyFont="1" applyFill="1" applyBorder="1" applyAlignment="1">
      <alignment horizontal="center"/>
    </xf>
    <xf numFmtId="41" fontId="139" fillId="0" borderId="0" xfId="0" applyNumberFormat="1" applyFont="1"/>
    <xf numFmtId="37" fontId="5" fillId="0" borderId="0" xfId="0" applyFont="1" applyAlignment="1">
      <alignment wrapText="1"/>
    </xf>
    <xf numFmtId="9" fontId="6" fillId="0" borderId="0" xfId="323" applyFont="1"/>
    <xf numFmtId="43" fontId="194" fillId="0" borderId="0" xfId="78" applyFont="1" applyFill="1"/>
    <xf numFmtId="43" fontId="121" fillId="0" borderId="0" xfId="78" applyFont="1" applyFill="1"/>
    <xf numFmtId="37" fontId="4" fillId="0" borderId="0" xfId="0" applyFont="1"/>
    <xf numFmtId="37" fontId="5" fillId="0" borderId="0" xfId="0" applyFont="1" applyAlignment="1">
      <alignment horizontal="right" indent="1"/>
    </xf>
    <xf numFmtId="37" fontId="5" fillId="0" borderId="0" xfId="0" applyFont="1" applyAlignment="1">
      <alignment horizontal="right"/>
    </xf>
    <xf numFmtId="43" fontId="0" fillId="0" borderId="5" xfId="78" applyFont="1" applyBorder="1"/>
    <xf numFmtId="9" fontId="0" fillId="0" borderId="5" xfId="323" applyFont="1" applyBorder="1"/>
    <xf numFmtId="37" fontId="183" fillId="0" borderId="0" xfId="0" applyFont="1"/>
    <xf numFmtId="49" fontId="183" fillId="0" borderId="0" xfId="0" applyNumberFormat="1" applyFont="1"/>
    <xf numFmtId="9" fontId="0" fillId="0" borderId="0" xfId="323" applyFont="1" applyFill="1"/>
    <xf numFmtId="10" fontId="0" fillId="0" borderId="0" xfId="323" applyNumberFormat="1" applyFont="1" applyFill="1"/>
    <xf numFmtId="9" fontId="0" fillId="0" borderId="5" xfId="323" applyFont="1" applyFill="1" applyBorder="1"/>
    <xf numFmtId="37" fontId="0" fillId="0" borderId="5" xfId="0" applyBorder="1"/>
    <xf numFmtId="2" fontId="116" fillId="0" borderId="0" xfId="194" applyNumberFormat="1" applyFont="1"/>
    <xf numFmtId="0" fontId="116" fillId="0" borderId="5" xfId="194" applyFont="1" applyBorder="1" applyAlignment="1">
      <alignment horizontal="right"/>
    </xf>
    <xf numFmtId="2" fontId="116" fillId="0" borderId="5" xfId="194" applyNumberFormat="1" applyFont="1" applyBorder="1"/>
    <xf numFmtId="37" fontId="6" fillId="0" borderId="60" xfId="0" applyFont="1" applyBorder="1"/>
    <xf numFmtId="41" fontId="80" fillId="0" borderId="5" xfId="0" applyNumberFormat="1" applyFont="1" applyBorder="1"/>
    <xf numFmtId="37" fontId="195" fillId="0" borderId="0" xfId="0" applyFont="1" applyAlignment="1">
      <alignment horizontal="right"/>
    </xf>
    <xf numFmtId="183" fontId="139" fillId="0" borderId="0" xfId="0" applyNumberFormat="1" applyFont="1"/>
    <xf numFmtId="37" fontId="196" fillId="0" borderId="0" xfId="0" applyFont="1"/>
    <xf numFmtId="37" fontId="197" fillId="0" borderId="0" xfId="0" applyFont="1"/>
    <xf numFmtId="39" fontId="7" fillId="0" borderId="0" xfId="0" applyNumberFormat="1" applyFont="1" applyAlignment="1">
      <alignment horizontal="center"/>
    </xf>
    <xf numFmtId="41" fontId="197" fillId="0" borderId="0" xfId="0" applyNumberFormat="1" applyFont="1"/>
    <xf numFmtId="14" fontId="7" fillId="0" borderId="46" xfId="0" applyNumberFormat="1" applyFont="1" applyBorder="1" applyAlignment="1">
      <alignment horizontal="center"/>
    </xf>
    <xf numFmtId="37" fontId="17" fillId="0" borderId="46" xfId="0" applyFont="1" applyBorder="1" applyAlignment="1">
      <alignment horizontal="center"/>
    </xf>
    <xf numFmtId="41" fontId="6" fillId="0" borderId="46" xfId="0" applyNumberFormat="1" applyFont="1" applyBorder="1"/>
    <xf numFmtId="41" fontId="130" fillId="0" borderId="0" xfId="0" applyNumberFormat="1" applyFont="1"/>
    <xf numFmtId="41" fontId="6" fillId="0" borderId="70" xfId="0" applyNumberFormat="1" applyFont="1" applyBorder="1"/>
    <xf numFmtId="41" fontId="6" fillId="0" borderId="71" xfId="0" applyNumberFormat="1" applyFont="1" applyBorder="1"/>
    <xf numFmtId="41" fontId="6" fillId="0" borderId="72" xfId="0" applyNumberFormat="1" applyFont="1" applyBorder="1"/>
    <xf numFmtId="183" fontId="6" fillId="0" borderId="5" xfId="0" applyNumberFormat="1" applyFont="1" applyBorder="1"/>
    <xf numFmtId="39" fontId="6" fillId="0" borderId="5" xfId="0" applyNumberFormat="1" applyFont="1" applyBorder="1"/>
    <xf numFmtId="178" fontId="6" fillId="0" borderId="0" xfId="0" applyNumberFormat="1" applyFont="1"/>
    <xf numFmtId="164" fontId="7" fillId="0" borderId="0" xfId="0" applyNumberFormat="1" applyFont="1"/>
    <xf numFmtId="14" fontId="7" fillId="0" borderId="0" xfId="0" applyNumberFormat="1" applyFont="1" applyAlignment="1">
      <alignment vertical="center"/>
    </xf>
    <xf numFmtId="14" fontId="7" fillId="0" borderId="66" xfId="0" applyNumberFormat="1" applyFont="1" applyBorder="1" applyAlignment="1">
      <alignment vertical="center"/>
    </xf>
    <xf numFmtId="39" fontId="7" fillId="0" borderId="0" xfId="0" applyNumberFormat="1" applyFont="1"/>
    <xf numFmtId="41" fontId="6" fillId="0" borderId="0" xfId="239" applyNumberFormat="1" applyFont="1" applyAlignment="1">
      <alignment horizontal="right"/>
    </xf>
    <xf numFmtId="41" fontId="6" fillId="0" borderId="49" xfId="239" applyNumberFormat="1" applyFont="1" applyBorder="1"/>
    <xf numFmtId="37" fontId="123" fillId="0" borderId="5" xfId="0" applyFont="1" applyBorder="1" applyAlignment="1">
      <alignment horizontal="center"/>
    </xf>
    <xf numFmtId="49" fontId="184" fillId="0" borderId="0" xfId="0" applyNumberFormat="1" applyFont="1" applyAlignment="1">
      <alignment horizontal="center"/>
    </xf>
    <xf numFmtId="49" fontId="184" fillId="0" borderId="23" xfId="0" applyNumberFormat="1" applyFont="1" applyBorder="1" applyAlignment="1">
      <alignment horizontal="center"/>
    </xf>
    <xf numFmtId="0" fontId="6" fillId="42" borderId="0" xfId="306" applyFont="1" applyFill="1"/>
    <xf numFmtId="9" fontId="6" fillId="42" borderId="0" xfId="306" applyNumberFormat="1" applyFont="1" applyFill="1"/>
    <xf numFmtId="0" fontId="6" fillId="42" borderId="0" xfId="306" applyFont="1" applyFill="1" applyAlignment="1">
      <alignment horizontal="center"/>
    </xf>
    <xf numFmtId="43" fontId="6" fillId="42" borderId="0" xfId="306" applyNumberFormat="1" applyFont="1" applyFill="1"/>
    <xf numFmtId="0" fontId="19" fillId="0" borderId="0" xfId="239" applyFont="1"/>
    <xf numFmtId="37" fontId="16" fillId="0" borderId="0" xfId="0" applyFont="1" applyAlignment="1">
      <alignment horizontal="right"/>
    </xf>
    <xf numFmtId="49" fontId="14" fillId="0" borderId="0" xfId="215" applyNumberFormat="1" applyFont="1" applyAlignment="1">
      <alignment horizontal="left"/>
    </xf>
    <xf numFmtId="0" fontId="14" fillId="0" borderId="0" xfId="215" applyFont="1" applyAlignment="1">
      <alignment horizontal="center"/>
    </xf>
    <xf numFmtId="43" fontId="12" fillId="0" borderId="0" xfId="78" applyFont="1" applyFill="1"/>
    <xf numFmtId="43" fontId="12" fillId="0" borderId="5" xfId="78" applyFont="1" applyFill="1" applyBorder="1"/>
    <xf numFmtId="0" fontId="6" fillId="0" borderId="59" xfId="306" applyFont="1" applyBorder="1"/>
    <xf numFmtId="0" fontId="6" fillId="0" borderId="58" xfId="306" applyFont="1" applyBorder="1"/>
    <xf numFmtId="0" fontId="6" fillId="0" borderId="57" xfId="306" applyFont="1" applyBorder="1"/>
    <xf numFmtId="0" fontId="6" fillId="0" borderId="31" xfId="306" applyFont="1" applyBorder="1"/>
    <xf numFmtId="0" fontId="6" fillId="0" borderId="30" xfId="306" applyFont="1" applyBorder="1"/>
    <xf numFmtId="0" fontId="6" fillId="0" borderId="29" xfId="306" applyFont="1" applyBorder="1"/>
    <xf numFmtId="0" fontId="6" fillId="0" borderId="5" xfId="306" applyFont="1" applyBorder="1"/>
    <xf numFmtId="0" fontId="6" fillId="0" borderId="28" xfId="306" applyFont="1" applyBorder="1"/>
    <xf numFmtId="43" fontId="6" fillId="0" borderId="24" xfId="306" applyNumberFormat="1" applyFont="1" applyBorder="1"/>
    <xf numFmtId="37" fontId="130" fillId="0" borderId="0" xfId="0" applyFont="1"/>
    <xf numFmtId="37" fontId="126" fillId="0" borderId="0" xfId="0" applyFont="1" applyAlignment="1">
      <alignment horizontal="center" wrapText="1"/>
    </xf>
    <xf numFmtId="37" fontId="178" fillId="0" borderId="0" xfId="0" applyFont="1" applyAlignment="1">
      <alignment horizontal="center"/>
    </xf>
    <xf numFmtId="37" fontId="198" fillId="0" borderId="0" xfId="0" applyFont="1" applyAlignment="1">
      <alignment horizontal="center"/>
    </xf>
    <xf numFmtId="37" fontId="199" fillId="0" borderId="0" xfId="0" applyFont="1"/>
    <xf numFmtId="41" fontId="200" fillId="0" borderId="0" xfId="0" applyNumberFormat="1" applyFont="1"/>
    <xf numFmtId="9" fontId="199" fillId="0" borderId="0" xfId="323" applyFont="1"/>
    <xf numFmtId="37" fontId="19" fillId="0" borderId="0" xfId="0" applyFont="1" applyAlignment="1">
      <alignment horizontal="center"/>
    </xf>
    <xf numFmtId="49" fontId="7" fillId="0" borderId="0" xfId="0" applyNumberFormat="1" applyFont="1" applyAlignment="1">
      <alignment horizontal="center"/>
    </xf>
    <xf numFmtId="0" fontId="26" fillId="22" borderId="42" xfId="422" applyBorder="1" applyAlignment="1">
      <alignment horizontal="center"/>
    </xf>
    <xf numFmtId="0" fontId="26" fillId="22" borderId="6" xfId="422" applyBorder="1" applyAlignment="1">
      <alignment horizontal="center"/>
    </xf>
    <xf numFmtId="0" fontId="26" fillId="22" borderId="41" xfId="422" applyBorder="1" applyAlignment="1">
      <alignment horizontal="center"/>
    </xf>
    <xf numFmtId="0" fontId="145" fillId="38" borderId="0" xfId="422" applyFont="1" applyFill="1" applyAlignment="1">
      <alignment horizontal="center"/>
    </xf>
    <xf numFmtId="0" fontId="6" fillId="38" borderId="51" xfId="422" applyFont="1" applyFill="1" applyBorder="1" applyAlignment="1">
      <alignment horizontal="center"/>
    </xf>
    <xf numFmtId="0" fontId="6" fillId="38" borderId="0" xfId="422" applyFont="1" applyFill="1" applyAlignment="1">
      <alignment horizontal="center"/>
    </xf>
    <xf numFmtId="0" fontId="6" fillId="38" borderId="53" xfId="422" applyFont="1" applyFill="1" applyBorder="1" applyAlignment="1">
      <alignment horizontal="center"/>
    </xf>
    <xf numFmtId="49" fontId="19" fillId="0" borderId="0" xfId="0" applyNumberFormat="1" applyFont="1" applyAlignment="1">
      <alignment horizontal="center"/>
    </xf>
    <xf numFmtId="37" fontId="7" fillId="0" borderId="0" xfId="0" applyFont="1" applyAlignment="1">
      <alignment horizontal="center"/>
    </xf>
    <xf numFmtId="37" fontId="6" fillId="0" borderId="0" xfId="0" applyFont="1" applyAlignment="1">
      <alignment horizontal="left" vertical="top" wrapText="1"/>
    </xf>
    <xf numFmtId="49" fontId="6" fillId="0" borderId="0" xfId="0" applyNumberFormat="1" applyFont="1" applyAlignment="1">
      <alignment horizontal="left" vertical="top" wrapText="1"/>
    </xf>
    <xf numFmtId="0" fontId="6" fillId="0" borderId="0" xfId="318" applyFont="1" applyAlignment="1">
      <alignment horizontal="justify" vertical="top"/>
    </xf>
    <xf numFmtId="37" fontId="0" fillId="0" borderId="0" xfId="0"/>
    <xf numFmtId="0" fontId="6" fillId="0" borderId="0" xfId="318" applyFont="1" applyAlignment="1">
      <alignment horizontal="justify" vertical="top" wrapText="1"/>
    </xf>
    <xf numFmtId="0" fontId="9" fillId="0" borderId="0" xfId="318" applyAlignment="1">
      <alignment horizontal="justify" vertical="top" wrapText="1"/>
    </xf>
    <xf numFmtId="37" fontId="19" fillId="0" borderId="0" xfId="318" applyNumberFormat="1" applyFont="1" applyAlignment="1">
      <alignment horizontal="center" vertical="top"/>
    </xf>
    <xf numFmtId="0" fontId="19" fillId="0" borderId="0" xfId="318" applyFont="1" applyAlignment="1">
      <alignment horizontal="center" vertical="top"/>
    </xf>
    <xf numFmtId="37" fontId="7" fillId="0" borderId="0" xfId="318" applyNumberFormat="1" applyFont="1" applyAlignment="1">
      <alignment horizontal="center" vertical="top"/>
    </xf>
    <xf numFmtId="0" fontId="7" fillId="0" borderId="0" xfId="318" applyFont="1" applyAlignment="1">
      <alignment horizontal="center" vertical="top"/>
    </xf>
    <xf numFmtId="0" fontId="6" fillId="0" borderId="0" xfId="318" applyFont="1" applyAlignment="1">
      <alignment horizontal="left" vertical="top"/>
    </xf>
    <xf numFmtId="37" fontId="121" fillId="0" borderId="0" xfId="0" applyFont="1" applyAlignment="1">
      <alignment horizontal="center"/>
    </xf>
    <xf numFmtId="0" fontId="116" fillId="0" borderId="0" xfId="318" applyFont="1" applyAlignment="1">
      <alignment horizontal="left" vertical="top" wrapText="1"/>
    </xf>
    <xf numFmtId="0" fontId="116" fillId="0" borderId="0" xfId="318" applyFont="1" applyAlignment="1">
      <alignment horizontal="left" vertical="top"/>
    </xf>
    <xf numFmtId="0" fontId="116" fillId="0" borderId="0" xfId="318" applyFont="1" applyAlignment="1">
      <alignment horizontal="justify" vertical="top" wrapText="1"/>
    </xf>
    <xf numFmtId="37" fontId="124" fillId="0" borderId="0" xfId="318" applyNumberFormat="1" applyFont="1" applyAlignment="1">
      <alignment horizontal="center" vertical="top"/>
    </xf>
    <xf numFmtId="0" fontId="124" fillId="0" borderId="0" xfId="318" applyFont="1" applyAlignment="1">
      <alignment horizontal="center" vertical="top"/>
    </xf>
    <xf numFmtId="37" fontId="121" fillId="0" borderId="0" xfId="318" applyNumberFormat="1" applyFont="1" applyAlignment="1">
      <alignment horizontal="center" vertical="top"/>
    </xf>
    <xf numFmtId="0" fontId="121" fillId="0" borderId="0" xfId="318" applyFont="1" applyAlignment="1">
      <alignment horizontal="center" vertical="top"/>
    </xf>
    <xf numFmtId="37" fontId="127" fillId="0" borderId="0" xfId="0" applyFont="1" applyAlignment="1">
      <alignment horizontal="justify" vertical="top" wrapText="1"/>
    </xf>
    <xf numFmtId="0" fontId="116" fillId="0" borderId="0" xfId="318" applyFont="1" applyAlignment="1">
      <alignment horizontal="left"/>
    </xf>
    <xf numFmtId="37" fontId="31" fillId="0" borderId="0" xfId="0" applyFont="1" applyAlignment="1">
      <alignment horizontal="center"/>
    </xf>
    <xf numFmtId="37" fontId="19" fillId="0" borderId="0" xfId="306" applyNumberFormat="1" applyFont="1" applyAlignment="1">
      <alignment horizontal="center"/>
    </xf>
    <xf numFmtId="37" fontId="7" fillId="0" borderId="0" xfId="306" applyNumberFormat="1" applyFont="1" applyAlignment="1">
      <alignment horizontal="center"/>
    </xf>
    <xf numFmtId="0" fontId="7" fillId="0" borderId="0" xfId="306" applyFont="1" applyAlignment="1">
      <alignment horizontal="center"/>
    </xf>
    <xf numFmtId="0" fontId="6" fillId="42" borderId="0" xfId="306" applyFont="1" applyFill="1" applyAlignment="1">
      <alignment horizontal="center" vertical="center" wrapText="1"/>
    </xf>
    <xf numFmtId="0" fontId="19" fillId="0" borderId="0" xfId="239" applyFont="1" applyAlignment="1">
      <alignment horizontal="center"/>
    </xf>
    <xf numFmtId="37" fontId="7" fillId="0" borderId="0" xfId="239" applyNumberFormat="1" applyFont="1" applyAlignment="1">
      <alignment horizontal="center"/>
    </xf>
    <xf numFmtId="0" fontId="7" fillId="0" borderId="0" xfId="0" applyNumberFormat="1" applyFont="1" applyAlignment="1">
      <alignment horizontal="center"/>
    </xf>
    <xf numFmtId="37" fontId="7" fillId="0" borderId="0" xfId="0" quotePrefix="1" applyFont="1" applyAlignment="1">
      <alignment horizontal="center" wrapText="1"/>
    </xf>
    <xf numFmtId="37" fontId="7" fillId="0" borderId="0" xfId="0" quotePrefix="1" applyFont="1" applyAlignment="1">
      <alignment horizontal="center"/>
    </xf>
    <xf numFmtId="37" fontId="82" fillId="0" borderId="0" xfId="0" applyFont="1" applyAlignment="1">
      <alignment horizontal="center"/>
    </xf>
    <xf numFmtId="37" fontId="7" fillId="0" borderId="0" xfId="0" quotePrefix="1" applyFont="1" applyAlignment="1">
      <alignment horizontal="center" vertical="center" wrapText="1"/>
    </xf>
    <xf numFmtId="0" fontId="7" fillId="0" borderId="0" xfId="239" applyFont="1" applyAlignment="1">
      <alignment horizontal="center"/>
    </xf>
    <xf numFmtId="37" fontId="6" fillId="0" borderId="0" xfId="0" applyFont="1" applyAlignment="1">
      <alignment horizontal="center"/>
    </xf>
    <xf numFmtId="0" fontId="6" fillId="0" borderId="0" xfId="239" applyFont="1" applyAlignment="1">
      <alignment horizontal="center"/>
    </xf>
    <xf numFmtId="37" fontId="4" fillId="0" borderId="65" xfId="0" applyFont="1" applyBorder="1" applyAlignment="1">
      <alignment horizontal="center" wrapText="1"/>
    </xf>
    <xf numFmtId="37" fontId="4" fillId="0" borderId="0" xfId="0" applyFont="1" applyAlignment="1">
      <alignment horizontal="center" wrapText="1"/>
    </xf>
    <xf numFmtId="14" fontId="7" fillId="0" borderId="46" xfId="0" applyNumberFormat="1" applyFont="1" applyBorder="1" applyAlignment="1">
      <alignment horizontal="center"/>
    </xf>
    <xf numFmtId="14" fontId="7" fillId="0" borderId="0" xfId="0" applyNumberFormat="1" applyFont="1" applyAlignment="1">
      <alignment horizontal="center"/>
    </xf>
    <xf numFmtId="37" fontId="4" fillId="0" borderId="0" xfId="0" applyFont="1" applyAlignment="1">
      <alignment horizontal="center"/>
    </xf>
    <xf numFmtId="37" fontId="4" fillId="0" borderId="66" xfId="0" applyFont="1" applyBorder="1" applyAlignment="1">
      <alignment horizontal="center"/>
    </xf>
    <xf numFmtId="0" fontId="6" fillId="0" borderId="0" xfId="239" applyFont="1" applyAlignment="1">
      <alignment horizontal="left" vertical="top" wrapText="1"/>
    </xf>
    <xf numFmtId="37" fontId="116" fillId="0" borderId="0" xfId="0" applyFont="1" applyAlignment="1">
      <alignment horizontal="justify" vertical="center" wrapText="1"/>
    </xf>
    <xf numFmtId="37" fontId="5" fillId="0" borderId="0" xfId="0" applyFont="1" applyAlignment="1">
      <alignment horizontal="justify" vertical="center" wrapText="1"/>
    </xf>
    <xf numFmtId="37" fontId="125" fillId="0" borderId="0" xfId="0" applyFont="1" applyAlignment="1">
      <alignment horizontal="center"/>
    </xf>
    <xf numFmtId="43" fontId="115" fillId="0" borderId="0" xfId="281" applyNumberFormat="1" applyAlignment="1">
      <alignment horizontal="left"/>
    </xf>
    <xf numFmtId="37" fontId="121" fillId="0" borderId="0" xfId="239" applyNumberFormat="1" applyFont="1" applyAlignment="1">
      <alignment horizontal="center"/>
    </xf>
    <xf numFmtId="0" fontId="121" fillId="0" borderId="0" xfId="239" applyFont="1" applyAlignment="1">
      <alignment horizontal="center"/>
    </xf>
    <xf numFmtId="49" fontId="119" fillId="0" borderId="0" xfId="281" applyNumberFormat="1" applyFont="1" applyAlignment="1">
      <alignment horizontal="left" vertical="top" wrapText="1"/>
    </xf>
    <xf numFmtId="37" fontId="7" fillId="0" borderId="0" xfId="221" applyNumberFormat="1" applyFont="1" applyAlignment="1">
      <alignment horizontal="center"/>
    </xf>
    <xf numFmtId="0" fontId="7" fillId="0" borderId="0" xfId="221" applyFont="1" applyAlignment="1">
      <alignment horizontal="center"/>
    </xf>
    <xf numFmtId="0" fontId="76" fillId="0" borderId="0" xfId="225" applyFont="1" applyAlignment="1">
      <alignment horizontal="center"/>
    </xf>
    <xf numFmtId="0" fontId="73" fillId="41" borderId="0" xfId="281" applyFont="1" applyFill="1" applyAlignment="1">
      <alignment horizontal="center"/>
    </xf>
    <xf numFmtId="0" fontId="75" fillId="0" borderId="0" xfId="225" applyFont="1" applyAlignment="1">
      <alignment horizontal="center"/>
    </xf>
    <xf numFmtId="43" fontId="6" fillId="0" borderId="40" xfId="194" applyNumberFormat="1" applyFont="1" applyBorder="1" applyAlignment="1">
      <alignment horizontal="center"/>
    </xf>
    <xf numFmtId="0" fontId="6" fillId="0" borderId="40" xfId="194" applyFont="1" applyBorder="1" applyAlignment="1">
      <alignment horizontal="center"/>
    </xf>
    <xf numFmtId="43" fontId="116" fillId="0" borderId="0" xfId="194" applyNumberFormat="1" applyFont="1" applyAlignment="1">
      <alignment horizontal="center"/>
    </xf>
    <xf numFmtId="43" fontId="116" fillId="0" borderId="5" xfId="194" applyNumberFormat="1" applyFont="1" applyBorder="1" applyAlignment="1">
      <alignment horizontal="center"/>
    </xf>
    <xf numFmtId="0" fontId="116" fillId="0" borderId="2" xfId="194" applyFont="1" applyBorder="1" applyAlignment="1">
      <alignment horizontal="center"/>
    </xf>
    <xf numFmtId="0" fontId="116" fillId="0" borderId="0" xfId="194" applyFont="1" applyAlignment="1">
      <alignment horizontal="center"/>
    </xf>
    <xf numFmtId="0" fontId="116" fillId="0" borderId="0" xfId="194" applyFont="1" applyAlignment="1">
      <alignment horizontal="center" wrapText="1"/>
    </xf>
    <xf numFmtId="0" fontId="121" fillId="0" borderId="0" xfId="194" applyFont="1" applyAlignment="1">
      <alignment horizontal="center"/>
    </xf>
    <xf numFmtId="170" fontId="121" fillId="0" borderId="0" xfId="326" applyNumberFormat="1" applyFont="1" applyFill="1" applyAlignment="1">
      <alignment horizontal="center"/>
    </xf>
  </cellXfs>
  <cellStyles count="435">
    <cellStyle name="20% - Accent1 2" xfId="1" xr:uid="{00000000-0005-0000-0000-000000000000}"/>
    <cellStyle name="20% - Accent1 3" xfId="2" xr:uid="{00000000-0005-0000-0000-000001000000}"/>
    <cellStyle name="20% - Accent2 2" xfId="3" xr:uid="{00000000-0005-0000-0000-000002000000}"/>
    <cellStyle name="20% - Accent3 2" xfId="4" xr:uid="{00000000-0005-0000-0000-000003000000}"/>
    <cellStyle name="20% - Accent4 2" xfId="5" xr:uid="{00000000-0005-0000-0000-000004000000}"/>
    <cellStyle name="20% - Accent4 3" xfId="6" xr:uid="{00000000-0005-0000-0000-000005000000}"/>
    <cellStyle name="20% - Accent5 2" xfId="7" xr:uid="{00000000-0005-0000-0000-000006000000}"/>
    <cellStyle name="20% - Accent6 2" xfId="8" xr:uid="{00000000-0005-0000-0000-000007000000}"/>
    <cellStyle name="40% - Accent1 2" xfId="9" xr:uid="{00000000-0005-0000-0000-000008000000}"/>
    <cellStyle name="40% - Accent1 3" xfId="10" xr:uid="{00000000-0005-0000-0000-000009000000}"/>
    <cellStyle name="40% - Accent2 2" xfId="11" xr:uid="{00000000-0005-0000-0000-00000A000000}"/>
    <cellStyle name="40% - Accent3 2" xfId="12" xr:uid="{00000000-0005-0000-0000-00000B000000}"/>
    <cellStyle name="40% - Accent4 2" xfId="13" xr:uid="{00000000-0005-0000-0000-00000C000000}"/>
    <cellStyle name="40% - Accent4 3" xfId="14" xr:uid="{00000000-0005-0000-0000-00000D000000}"/>
    <cellStyle name="40% - Accent5 2" xfId="15" xr:uid="{00000000-0005-0000-0000-00000E000000}"/>
    <cellStyle name="40% - Accent6 2" xfId="16" xr:uid="{00000000-0005-0000-0000-00000F000000}"/>
    <cellStyle name="40% - Accent6 3" xfId="17" xr:uid="{00000000-0005-0000-0000-000010000000}"/>
    <cellStyle name="60% - Accent1 2" xfId="18" xr:uid="{00000000-0005-0000-0000-000011000000}"/>
    <cellStyle name="60% - Accent1 3" xfId="19" xr:uid="{00000000-0005-0000-0000-000012000000}"/>
    <cellStyle name="60% - Accent2 2" xfId="20" xr:uid="{00000000-0005-0000-0000-000013000000}"/>
    <cellStyle name="60% - Accent3 2" xfId="21" xr:uid="{00000000-0005-0000-0000-000014000000}"/>
    <cellStyle name="60% - Accent3 3" xfId="22" xr:uid="{00000000-0005-0000-0000-000015000000}"/>
    <cellStyle name="60% - Accent4 2" xfId="23" xr:uid="{00000000-0005-0000-0000-000016000000}"/>
    <cellStyle name="60% - Accent4 3" xfId="24" xr:uid="{00000000-0005-0000-0000-000017000000}"/>
    <cellStyle name="60% - Accent5 2" xfId="25" xr:uid="{00000000-0005-0000-0000-000018000000}"/>
    <cellStyle name="60% - Accent6 2" xfId="26" xr:uid="{00000000-0005-0000-0000-000019000000}"/>
    <cellStyle name="Accent1 2" xfId="27" xr:uid="{00000000-0005-0000-0000-00001A000000}"/>
    <cellStyle name="Accent1 3" xfId="28" xr:uid="{00000000-0005-0000-0000-00001B000000}"/>
    <cellStyle name="Accent2 2" xfId="29" xr:uid="{00000000-0005-0000-0000-00001C000000}"/>
    <cellStyle name="Accent3 2" xfId="30" xr:uid="{00000000-0005-0000-0000-00001D000000}"/>
    <cellStyle name="Accent4 2" xfId="31" xr:uid="{00000000-0005-0000-0000-00001E000000}"/>
    <cellStyle name="Accent5" xfId="426" builtinId="45"/>
    <cellStyle name="Accent5 2" xfId="32" xr:uid="{00000000-0005-0000-0000-000020000000}"/>
    <cellStyle name="Accent6 2" xfId="33" xr:uid="{00000000-0005-0000-0000-000021000000}"/>
    <cellStyle name="Accounting" xfId="34" xr:uid="{00000000-0005-0000-0000-000022000000}"/>
    <cellStyle name="Accounting 2" xfId="35" xr:uid="{00000000-0005-0000-0000-000023000000}"/>
    <cellStyle name="Accounting 3" xfId="36" xr:uid="{00000000-0005-0000-0000-000024000000}"/>
    <cellStyle name="Accounting_2011-11" xfId="37" xr:uid="{00000000-0005-0000-0000-000025000000}"/>
    <cellStyle name="Bad 2" xfId="38" xr:uid="{00000000-0005-0000-0000-000026000000}"/>
    <cellStyle name="Budget" xfId="39" xr:uid="{00000000-0005-0000-0000-000027000000}"/>
    <cellStyle name="Budget 2" xfId="40" xr:uid="{00000000-0005-0000-0000-000028000000}"/>
    <cellStyle name="Budget 3" xfId="41" xr:uid="{00000000-0005-0000-0000-000029000000}"/>
    <cellStyle name="Budget_2011-11" xfId="42" xr:uid="{00000000-0005-0000-0000-00002A000000}"/>
    <cellStyle name="C00A" xfId="43" xr:uid="{00000000-0005-0000-0000-00002B000000}"/>
    <cellStyle name="C00B" xfId="44" xr:uid="{00000000-0005-0000-0000-00002C000000}"/>
    <cellStyle name="C00L" xfId="45" xr:uid="{00000000-0005-0000-0000-00002D000000}"/>
    <cellStyle name="C01A" xfId="46" xr:uid="{00000000-0005-0000-0000-00002E000000}"/>
    <cellStyle name="C01B" xfId="47" xr:uid="{00000000-0005-0000-0000-00002F000000}"/>
    <cellStyle name="C01H" xfId="48" xr:uid="{00000000-0005-0000-0000-000030000000}"/>
    <cellStyle name="C01L" xfId="49" xr:uid="{00000000-0005-0000-0000-000031000000}"/>
    <cellStyle name="C02A" xfId="50" xr:uid="{00000000-0005-0000-0000-000032000000}"/>
    <cellStyle name="C02B" xfId="51" xr:uid="{00000000-0005-0000-0000-000033000000}"/>
    <cellStyle name="C02H" xfId="52" xr:uid="{00000000-0005-0000-0000-000034000000}"/>
    <cellStyle name="C02L" xfId="53" xr:uid="{00000000-0005-0000-0000-000035000000}"/>
    <cellStyle name="C03A" xfId="54" xr:uid="{00000000-0005-0000-0000-000036000000}"/>
    <cellStyle name="C03B" xfId="55" xr:uid="{00000000-0005-0000-0000-000037000000}"/>
    <cellStyle name="C03H" xfId="56" xr:uid="{00000000-0005-0000-0000-000038000000}"/>
    <cellStyle name="C03L" xfId="57" xr:uid="{00000000-0005-0000-0000-000039000000}"/>
    <cellStyle name="C04A" xfId="58" xr:uid="{00000000-0005-0000-0000-00003A000000}"/>
    <cellStyle name="C04B" xfId="59" xr:uid="{00000000-0005-0000-0000-00003B000000}"/>
    <cellStyle name="C04H" xfId="60" xr:uid="{00000000-0005-0000-0000-00003C000000}"/>
    <cellStyle name="C04L" xfId="61" xr:uid="{00000000-0005-0000-0000-00003D000000}"/>
    <cellStyle name="C05A" xfId="62" xr:uid="{00000000-0005-0000-0000-00003E000000}"/>
    <cellStyle name="C05B" xfId="63" xr:uid="{00000000-0005-0000-0000-00003F000000}"/>
    <cellStyle name="C05H" xfId="64" xr:uid="{00000000-0005-0000-0000-000040000000}"/>
    <cellStyle name="C05L" xfId="65" xr:uid="{00000000-0005-0000-0000-000041000000}"/>
    <cellStyle name="C06A" xfId="66" xr:uid="{00000000-0005-0000-0000-000042000000}"/>
    <cellStyle name="C06B" xfId="67" xr:uid="{00000000-0005-0000-0000-000043000000}"/>
    <cellStyle name="C06H" xfId="68" xr:uid="{00000000-0005-0000-0000-000044000000}"/>
    <cellStyle name="C06L" xfId="69" xr:uid="{00000000-0005-0000-0000-000045000000}"/>
    <cellStyle name="C07A" xfId="70" xr:uid="{00000000-0005-0000-0000-000046000000}"/>
    <cellStyle name="C07B" xfId="71" xr:uid="{00000000-0005-0000-0000-000047000000}"/>
    <cellStyle name="C07H" xfId="72" xr:uid="{00000000-0005-0000-0000-000048000000}"/>
    <cellStyle name="C07L" xfId="73" xr:uid="{00000000-0005-0000-0000-000049000000}"/>
    <cellStyle name="Calculation 2" xfId="74" xr:uid="{00000000-0005-0000-0000-00004A000000}"/>
    <cellStyle name="Calculation 3" xfId="75" xr:uid="{00000000-0005-0000-0000-00004B000000}"/>
    <cellStyle name="Check Cell 2" xfId="76" xr:uid="{00000000-0005-0000-0000-00004C000000}"/>
    <cellStyle name="combo" xfId="77" xr:uid="{00000000-0005-0000-0000-00004D000000}"/>
    <cellStyle name="Comma" xfId="78" builtinId="3"/>
    <cellStyle name="Comma [0] 2" xfId="79" xr:uid="{00000000-0005-0000-0000-00004F000000}"/>
    <cellStyle name="Comma 10" xfId="80" xr:uid="{00000000-0005-0000-0000-000050000000}"/>
    <cellStyle name="Comma 11" xfId="81" xr:uid="{00000000-0005-0000-0000-000051000000}"/>
    <cellStyle name="Comma 12" xfId="82" xr:uid="{00000000-0005-0000-0000-000052000000}"/>
    <cellStyle name="Comma 13" xfId="83" xr:uid="{00000000-0005-0000-0000-000053000000}"/>
    <cellStyle name="Comma 14" xfId="84" xr:uid="{00000000-0005-0000-0000-000054000000}"/>
    <cellStyle name="Comma 15" xfId="85" xr:uid="{00000000-0005-0000-0000-000055000000}"/>
    <cellStyle name="Comma 16" xfId="86" xr:uid="{00000000-0005-0000-0000-000056000000}"/>
    <cellStyle name="Comma 17" xfId="87" xr:uid="{00000000-0005-0000-0000-000057000000}"/>
    <cellStyle name="Comma 18" xfId="88" xr:uid="{00000000-0005-0000-0000-000058000000}"/>
    <cellStyle name="Comma 19" xfId="89" xr:uid="{00000000-0005-0000-0000-000059000000}"/>
    <cellStyle name="Comma 2" xfId="90" xr:uid="{00000000-0005-0000-0000-00005A000000}"/>
    <cellStyle name="Comma 2 2" xfId="91" xr:uid="{00000000-0005-0000-0000-00005B000000}"/>
    <cellStyle name="Comma 2 2 2" xfId="92" xr:uid="{00000000-0005-0000-0000-00005C000000}"/>
    <cellStyle name="Comma 2 2 2 2" xfId="93" xr:uid="{00000000-0005-0000-0000-00005D000000}"/>
    <cellStyle name="Comma 2 2 3" xfId="94" xr:uid="{00000000-0005-0000-0000-00005E000000}"/>
    <cellStyle name="Comma 2 2 4" xfId="425" xr:uid="{00000000-0005-0000-0000-00005F000000}"/>
    <cellStyle name="Comma 2 3" xfId="95" xr:uid="{00000000-0005-0000-0000-000060000000}"/>
    <cellStyle name="Comma 2 3 2" xfId="96" xr:uid="{00000000-0005-0000-0000-000061000000}"/>
    <cellStyle name="Comma 2 4" xfId="97" xr:uid="{00000000-0005-0000-0000-000062000000}"/>
    <cellStyle name="Comma 2 4 2" xfId="98" xr:uid="{00000000-0005-0000-0000-000063000000}"/>
    <cellStyle name="Comma 20" xfId="99" xr:uid="{00000000-0005-0000-0000-000064000000}"/>
    <cellStyle name="Comma 21" xfId="100" xr:uid="{00000000-0005-0000-0000-000065000000}"/>
    <cellStyle name="Comma 22" xfId="101" xr:uid="{00000000-0005-0000-0000-000066000000}"/>
    <cellStyle name="Comma 23" xfId="428" xr:uid="{1AFCE30D-B5C9-4186-874B-7374F8D4F753}"/>
    <cellStyle name="Comma 24" xfId="430" xr:uid="{427A05D6-6E64-4D5B-9D2A-7496478291BA}"/>
    <cellStyle name="Comma 25" xfId="432" xr:uid="{8648DEDF-C440-4E39-B230-F39455C51559}"/>
    <cellStyle name="Comma 3" xfId="102" xr:uid="{00000000-0005-0000-0000-000067000000}"/>
    <cellStyle name="Comma 3 2" xfId="103" xr:uid="{00000000-0005-0000-0000-000068000000}"/>
    <cellStyle name="Comma 3 2 2" xfId="104" xr:uid="{00000000-0005-0000-0000-000069000000}"/>
    <cellStyle name="Comma 3 3" xfId="105" xr:uid="{00000000-0005-0000-0000-00006A000000}"/>
    <cellStyle name="Comma 3 4" xfId="106" xr:uid="{00000000-0005-0000-0000-00006B000000}"/>
    <cellStyle name="Comma 3 5" xfId="423" xr:uid="{00000000-0005-0000-0000-00006C000000}"/>
    <cellStyle name="Comma 4" xfId="107" xr:uid="{00000000-0005-0000-0000-00006D000000}"/>
    <cellStyle name="Comma 4 2" xfId="108" xr:uid="{00000000-0005-0000-0000-00006E000000}"/>
    <cellStyle name="Comma 4 3" xfId="109" xr:uid="{00000000-0005-0000-0000-00006F000000}"/>
    <cellStyle name="Comma 4 4" xfId="110" xr:uid="{00000000-0005-0000-0000-000070000000}"/>
    <cellStyle name="Comma 4 5" xfId="111" xr:uid="{00000000-0005-0000-0000-000071000000}"/>
    <cellStyle name="Comma 4 6" xfId="112" xr:uid="{00000000-0005-0000-0000-000072000000}"/>
    <cellStyle name="Comma 5" xfId="113" xr:uid="{00000000-0005-0000-0000-000073000000}"/>
    <cellStyle name="Comma 5 2" xfId="114" xr:uid="{00000000-0005-0000-0000-000074000000}"/>
    <cellStyle name="Comma 6" xfId="115" xr:uid="{00000000-0005-0000-0000-000075000000}"/>
    <cellStyle name="Comma 6 2" xfId="116" xr:uid="{00000000-0005-0000-0000-000076000000}"/>
    <cellStyle name="Comma 6 3" xfId="117" xr:uid="{00000000-0005-0000-0000-000077000000}"/>
    <cellStyle name="Comma 7" xfId="118" xr:uid="{00000000-0005-0000-0000-000078000000}"/>
    <cellStyle name="Comma 7 2" xfId="119" xr:uid="{00000000-0005-0000-0000-000079000000}"/>
    <cellStyle name="Comma 7 3" xfId="120" xr:uid="{00000000-0005-0000-0000-00007A000000}"/>
    <cellStyle name="Comma 8" xfId="121" xr:uid="{00000000-0005-0000-0000-00007B000000}"/>
    <cellStyle name="Comma 8 2" xfId="122" xr:uid="{00000000-0005-0000-0000-00007C000000}"/>
    <cellStyle name="Comma 9" xfId="123" xr:uid="{00000000-0005-0000-0000-00007D000000}"/>
    <cellStyle name="Comma(2)" xfId="124" xr:uid="{00000000-0005-0000-0000-00007E000000}"/>
    <cellStyle name="Comma0" xfId="125" xr:uid="{00000000-0005-0000-0000-00007F000000}"/>
    <cellStyle name="Comma0 - Style2" xfId="126" xr:uid="{00000000-0005-0000-0000-000080000000}"/>
    <cellStyle name="Comma1 - Style1" xfId="127" xr:uid="{00000000-0005-0000-0000-000081000000}"/>
    <cellStyle name="Comments" xfId="128" xr:uid="{00000000-0005-0000-0000-000082000000}"/>
    <cellStyle name="Currency" xfId="433" builtinId="4"/>
    <cellStyle name="Currency 10" xfId="129" xr:uid="{00000000-0005-0000-0000-000083000000}"/>
    <cellStyle name="Currency 2" xfId="130" xr:uid="{00000000-0005-0000-0000-000084000000}"/>
    <cellStyle name="Currency 2 2" xfId="131" xr:uid="{00000000-0005-0000-0000-000085000000}"/>
    <cellStyle name="Currency 2 2 2" xfId="132" xr:uid="{00000000-0005-0000-0000-000086000000}"/>
    <cellStyle name="Currency 2 3" xfId="133" xr:uid="{00000000-0005-0000-0000-000087000000}"/>
    <cellStyle name="Currency 2 3 2" xfId="134" xr:uid="{00000000-0005-0000-0000-000088000000}"/>
    <cellStyle name="Currency 2 3 3" xfId="135" xr:uid="{00000000-0005-0000-0000-000089000000}"/>
    <cellStyle name="Currency 2 4" xfId="136" xr:uid="{00000000-0005-0000-0000-00008A000000}"/>
    <cellStyle name="Currency 2 4 2" xfId="137" xr:uid="{00000000-0005-0000-0000-00008B000000}"/>
    <cellStyle name="Currency 2 5" xfId="138" xr:uid="{00000000-0005-0000-0000-00008C000000}"/>
    <cellStyle name="Currency 3" xfId="139" xr:uid="{00000000-0005-0000-0000-00008D000000}"/>
    <cellStyle name="Currency 3 2" xfId="140" xr:uid="{00000000-0005-0000-0000-00008E000000}"/>
    <cellStyle name="Currency 3 3" xfId="141" xr:uid="{00000000-0005-0000-0000-00008F000000}"/>
    <cellStyle name="Currency 4" xfId="142" xr:uid="{00000000-0005-0000-0000-000090000000}"/>
    <cellStyle name="Currency 4 2" xfId="143" xr:uid="{00000000-0005-0000-0000-000091000000}"/>
    <cellStyle name="Currency 5" xfId="144" xr:uid="{00000000-0005-0000-0000-000092000000}"/>
    <cellStyle name="Currency 5 2" xfId="145" xr:uid="{00000000-0005-0000-0000-000093000000}"/>
    <cellStyle name="Currency 5 3" xfId="146" xr:uid="{00000000-0005-0000-0000-000094000000}"/>
    <cellStyle name="Currency 6" xfId="147" xr:uid="{00000000-0005-0000-0000-000095000000}"/>
    <cellStyle name="Currency 6 2" xfId="148" xr:uid="{00000000-0005-0000-0000-000096000000}"/>
    <cellStyle name="Currency 7" xfId="149" xr:uid="{00000000-0005-0000-0000-000097000000}"/>
    <cellStyle name="Currency 7 2" xfId="150" xr:uid="{00000000-0005-0000-0000-000098000000}"/>
    <cellStyle name="Currency 8" xfId="151" xr:uid="{00000000-0005-0000-0000-000099000000}"/>
    <cellStyle name="Currency 8 2" xfId="152" xr:uid="{00000000-0005-0000-0000-00009A000000}"/>
    <cellStyle name="Currency 9" xfId="153" xr:uid="{00000000-0005-0000-0000-00009B000000}"/>
    <cellStyle name="Currency 9 2" xfId="154" xr:uid="{00000000-0005-0000-0000-00009C000000}"/>
    <cellStyle name="Currency0" xfId="155" xr:uid="{00000000-0005-0000-0000-00009D000000}"/>
    <cellStyle name="Data Enter" xfId="156" xr:uid="{00000000-0005-0000-0000-00009E000000}"/>
    <cellStyle name="Date" xfId="157" xr:uid="{00000000-0005-0000-0000-00009F000000}"/>
    <cellStyle name="date 2" xfId="158" xr:uid="{00000000-0005-0000-0000-0000A0000000}"/>
    <cellStyle name="Explanatory Text 2" xfId="159" xr:uid="{00000000-0005-0000-0000-0000A1000000}"/>
    <cellStyle name="FactSheet" xfId="160" xr:uid="{00000000-0005-0000-0000-0000A2000000}"/>
    <cellStyle name="fish" xfId="161" xr:uid="{00000000-0005-0000-0000-0000A3000000}"/>
    <cellStyle name="Fixed" xfId="162" xr:uid="{00000000-0005-0000-0000-0000A4000000}"/>
    <cellStyle name="Good 2" xfId="163" xr:uid="{00000000-0005-0000-0000-0000A5000000}"/>
    <cellStyle name="Grey" xfId="164" xr:uid="{00000000-0005-0000-0000-0000A6000000}"/>
    <cellStyle name="Header1" xfId="165" xr:uid="{00000000-0005-0000-0000-0000A7000000}"/>
    <cellStyle name="Header2" xfId="166" xr:uid="{00000000-0005-0000-0000-0000A8000000}"/>
    <cellStyle name="Heading 1 2" xfId="167" xr:uid="{00000000-0005-0000-0000-0000A9000000}"/>
    <cellStyle name="Heading 1 3" xfId="168" xr:uid="{00000000-0005-0000-0000-0000AA000000}"/>
    <cellStyle name="Heading 2 2" xfId="169" xr:uid="{00000000-0005-0000-0000-0000AB000000}"/>
    <cellStyle name="Heading 2 3" xfId="170" xr:uid="{00000000-0005-0000-0000-0000AC000000}"/>
    <cellStyle name="Heading 3 2" xfId="171" xr:uid="{00000000-0005-0000-0000-0000AD000000}"/>
    <cellStyle name="Heading 3 3" xfId="172" xr:uid="{00000000-0005-0000-0000-0000AE000000}"/>
    <cellStyle name="Heading 4 2" xfId="173" xr:uid="{00000000-0005-0000-0000-0000AF000000}"/>
    <cellStyle name="Hyperlink 2" xfId="174" xr:uid="{00000000-0005-0000-0000-0000B0000000}"/>
    <cellStyle name="Hyperlink 3" xfId="175" xr:uid="{00000000-0005-0000-0000-0000B1000000}"/>
    <cellStyle name="Hyperlink 4" xfId="176" xr:uid="{00000000-0005-0000-0000-0000B2000000}"/>
    <cellStyle name="Input [yellow]" xfId="177" xr:uid="{00000000-0005-0000-0000-0000B3000000}"/>
    <cellStyle name="Input 2" xfId="178" xr:uid="{00000000-0005-0000-0000-0000B4000000}"/>
    <cellStyle name="input(0)" xfId="179" xr:uid="{00000000-0005-0000-0000-0000B5000000}"/>
    <cellStyle name="Input(2)" xfId="180" xr:uid="{00000000-0005-0000-0000-0000B6000000}"/>
    <cellStyle name="Linked Cell 2" xfId="181" xr:uid="{00000000-0005-0000-0000-0000B7000000}"/>
    <cellStyle name="MW_STANDARD" xfId="182" xr:uid="{00000000-0005-0000-0000-0000B8000000}"/>
    <cellStyle name="Neutral 2" xfId="183" xr:uid="{00000000-0005-0000-0000-0000B9000000}"/>
    <cellStyle name="New_normal" xfId="184" xr:uid="{00000000-0005-0000-0000-0000BA000000}"/>
    <cellStyle name="Normal" xfId="0" builtinId="0"/>
    <cellStyle name="Normal - Style1" xfId="185" xr:uid="{00000000-0005-0000-0000-0000BC000000}"/>
    <cellStyle name="Normal - Style2" xfId="186" xr:uid="{00000000-0005-0000-0000-0000BD000000}"/>
    <cellStyle name="Normal - Style3" xfId="187" xr:uid="{00000000-0005-0000-0000-0000BE000000}"/>
    <cellStyle name="Normal - Style4" xfId="188" xr:uid="{00000000-0005-0000-0000-0000BF000000}"/>
    <cellStyle name="Normal - Style5" xfId="189" xr:uid="{00000000-0005-0000-0000-0000C0000000}"/>
    <cellStyle name="Normal - Style6" xfId="190" xr:uid="{00000000-0005-0000-0000-0000C1000000}"/>
    <cellStyle name="Normal - Style7" xfId="191" xr:uid="{00000000-0005-0000-0000-0000C2000000}"/>
    <cellStyle name="Normal - Style8" xfId="192" xr:uid="{00000000-0005-0000-0000-0000C3000000}"/>
    <cellStyle name="Normal 10" xfId="193" xr:uid="{00000000-0005-0000-0000-0000C4000000}"/>
    <cellStyle name="Normal 10 2" xfId="194" xr:uid="{00000000-0005-0000-0000-0000C5000000}"/>
    <cellStyle name="Normal 10 2 2" xfId="195" xr:uid="{00000000-0005-0000-0000-0000C6000000}"/>
    <cellStyle name="Normal 10 2 3" xfId="196" xr:uid="{00000000-0005-0000-0000-0000C7000000}"/>
    <cellStyle name="Normal 10 3" xfId="197" xr:uid="{00000000-0005-0000-0000-0000C8000000}"/>
    <cellStyle name="Normal 10_2112 DF Schedule" xfId="198" xr:uid="{00000000-0005-0000-0000-0000C9000000}"/>
    <cellStyle name="Normal 11" xfId="199" xr:uid="{00000000-0005-0000-0000-0000CA000000}"/>
    <cellStyle name="Normal 11 2" xfId="200" xr:uid="{00000000-0005-0000-0000-0000CB000000}"/>
    <cellStyle name="Normal 11 3" xfId="201" xr:uid="{00000000-0005-0000-0000-0000CC000000}"/>
    <cellStyle name="Normal 12" xfId="202" xr:uid="{00000000-0005-0000-0000-0000CD000000}"/>
    <cellStyle name="Normal 12 2" xfId="203" xr:uid="{00000000-0005-0000-0000-0000CE000000}"/>
    <cellStyle name="Normal 13" xfId="204" xr:uid="{00000000-0005-0000-0000-0000CF000000}"/>
    <cellStyle name="Normal 13 2" xfId="205" xr:uid="{00000000-0005-0000-0000-0000D0000000}"/>
    <cellStyle name="Normal 14" xfId="206" xr:uid="{00000000-0005-0000-0000-0000D1000000}"/>
    <cellStyle name="Normal 14 2" xfId="207" xr:uid="{00000000-0005-0000-0000-0000D2000000}"/>
    <cellStyle name="Normal 15" xfId="208" xr:uid="{00000000-0005-0000-0000-0000D3000000}"/>
    <cellStyle name="Normal 15 2" xfId="209" xr:uid="{00000000-0005-0000-0000-0000D4000000}"/>
    <cellStyle name="Normal 16" xfId="210" xr:uid="{00000000-0005-0000-0000-0000D5000000}"/>
    <cellStyle name="Normal 16 2" xfId="211" xr:uid="{00000000-0005-0000-0000-0000D6000000}"/>
    <cellStyle name="Normal 17" xfId="212" xr:uid="{00000000-0005-0000-0000-0000D7000000}"/>
    <cellStyle name="Normal 18" xfId="213" xr:uid="{00000000-0005-0000-0000-0000D8000000}"/>
    <cellStyle name="Normal 19" xfId="214" xr:uid="{00000000-0005-0000-0000-0000D9000000}"/>
    <cellStyle name="Normal 2" xfId="215" xr:uid="{00000000-0005-0000-0000-0000DA000000}"/>
    <cellStyle name="Normal 2 2" xfId="216" xr:uid="{00000000-0005-0000-0000-0000DB000000}"/>
    <cellStyle name="Normal 2 2 2" xfId="217" xr:uid="{00000000-0005-0000-0000-0000DC000000}"/>
    <cellStyle name="Normal 2 2 3" xfId="218" xr:uid="{00000000-0005-0000-0000-0000DD000000}"/>
    <cellStyle name="Normal 2 2 4" xfId="219" xr:uid="{00000000-0005-0000-0000-0000DE000000}"/>
    <cellStyle name="Normal 2 2_Actual_Fuel" xfId="220" xr:uid="{00000000-0005-0000-0000-0000DF000000}"/>
    <cellStyle name="Normal 2 3" xfId="221" xr:uid="{00000000-0005-0000-0000-0000E0000000}"/>
    <cellStyle name="Normal 2 3 2" xfId="222" xr:uid="{00000000-0005-0000-0000-0000E1000000}"/>
    <cellStyle name="Normal 2 3 3" xfId="223" xr:uid="{00000000-0005-0000-0000-0000E2000000}"/>
    <cellStyle name="Normal 2 3 4" xfId="224" xr:uid="{00000000-0005-0000-0000-0000E3000000}"/>
    <cellStyle name="Normal 2 4" xfId="225" xr:uid="{00000000-0005-0000-0000-0000E4000000}"/>
    <cellStyle name="Normal 2 4 2" xfId="226" xr:uid="{00000000-0005-0000-0000-0000E5000000}"/>
    <cellStyle name="Normal 2 5" xfId="227" xr:uid="{00000000-0005-0000-0000-0000E6000000}"/>
    <cellStyle name="Normal 2 6" xfId="422" xr:uid="{00000000-0005-0000-0000-0000E7000000}"/>
    <cellStyle name="Normal 2_2012-10" xfId="228" xr:uid="{00000000-0005-0000-0000-0000E8000000}"/>
    <cellStyle name="Normal 20" xfId="229" xr:uid="{00000000-0005-0000-0000-0000E9000000}"/>
    <cellStyle name="Normal 21" xfId="230" xr:uid="{00000000-0005-0000-0000-0000EA000000}"/>
    <cellStyle name="Normal 22" xfId="231" xr:uid="{00000000-0005-0000-0000-0000EB000000}"/>
    <cellStyle name="Normal 23" xfId="232" xr:uid="{00000000-0005-0000-0000-0000EC000000}"/>
    <cellStyle name="Normal 24" xfId="233" xr:uid="{00000000-0005-0000-0000-0000ED000000}"/>
    <cellStyle name="Normal 25" xfId="234" xr:uid="{00000000-0005-0000-0000-0000EE000000}"/>
    <cellStyle name="Normal 26" xfId="235" xr:uid="{00000000-0005-0000-0000-0000EF000000}"/>
    <cellStyle name="Normal 27" xfId="236" xr:uid="{00000000-0005-0000-0000-0000F0000000}"/>
    <cellStyle name="Normal 28" xfId="237" xr:uid="{00000000-0005-0000-0000-0000F1000000}"/>
    <cellStyle name="Normal 29" xfId="238" xr:uid="{00000000-0005-0000-0000-0000F2000000}"/>
    <cellStyle name="Normal 3" xfId="239" xr:uid="{00000000-0005-0000-0000-0000F3000000}"/>
    <cellStyle name="Normal 3 2" xfId="240" xr:uid="{00000000-0005-0000-0000-0000F4000000}"/>
    <cellStyle name="Normal 3 3" xfId="241" xr:uid="{00000000-0005-0000-0000-0000F5000000}"/>
    <cellStyle name="Normal 3 4" xfId="242" xr:uid="{00000000-0005-0000-0000-0000F6000000}"/>
    <cellStyle name="Normal 3_2012 PR" xfId="243" xr:uid="{00000000-0005-0000-0000-0000F7000000}"/>
    <cellStyle name="Normal 30" xfId="244" xr:uid="{00000000-0005-0000-0000-0000F8000000}"/>
    <cellStyle name="Normal 31" xfId="245" xr:uid="{00000000-0005-0000-0000-0000F9000000}"/>
    <cellStyle name="Normal 32" xfId="246" xr:uid="{00000000-0005-0000-0000-0000FA000000}"/>
    <cellStyle name="Normal 33" xfId="247" xr:uid="{00000000-0005-0000-0000-0000FB000000}"/>
    <cellStyle name="Normal 34" xfId="248" xr:uid="{00000000-0005-0000-0000-0000FC000000}"/>
    <cellStyle name="Normal 35" xfId="249" xr:uid="{00000000-0005-0000-0000-0000FD000000}"/>
    <cellStyle name="Normal 36" xfId="250" xr:uid="{00000000-0005-0000-0000-0000FE000000}"/>
    <cellStyle name="Normal 37" xfId="251" xr:uid="{00000000-0005-0000-0000-0000FF000000}"/>
    <cellStyle name="Normal 38" xfId="252" xr:uid="{00000000-0005-0000-0000-000000010000}"/>
    <cellStyle name="Normal 39" xfId="253" xr:uid="{00000000-0005-0000-0000-000001010000}"/>
    <cellStyle name="Normal 4" xfId="254" xr:uid="{00000000-0005-0000-0000-000002010000}"/>
    <cellStyle name="Normal 4 2" xfId="255" xr:uid="{00000000-0005-0000-0000-000003010000}"/>
    <cellStyle name="Normal 40" xfId="256" xr:uid="{00000000-0005-0000-0000-000004010000}"/>
    <cellStyle name="Normal 41" xfId="257" xr:uid="{00000000-0005-0000-0000-000005010000}"/>
    <cellStyle name="Normal 42" xfId="258" xr:uid="{00000000-0005-0000-0000-000006010000}"/>
    <cellStyle name="Normal 43" xfId="259" xr:uid="{00000000-0005-0000-0000-000007010000}"/>
    <cellStyle name="Normal 44" xfId="260" xr:uid="{00000000-0005-0000-0000-000008010000}"/>
    <cellStyle name="Normal 45" xfId="261" xr:uid="{00000000-0005-0000-0000-000009010000}"/>
    <cellStyle name="Normal 46" xfId="262" xr:uid="{00000000-0005-0000-0000-00000A010000}"/>
    <cellStyle name="Normal 47" xfId="263" xr:uid="{00000000-0005-0000-0000-00000B010000}"/>
    <cellStyle name="Normal 48" xfId="264" xr:uid="{00000000-0005-0000-0000-00000C010000}"/>
    <cellStyle name="Normal 49" xfId="265" xr:uid="{00000000-0005-0000-0000-00000D010000}"/>
    <cellStyle name="Normal 5" xfId="266" xr:uid="{00000000-0005-0000-0000-00000E010000}"/>
    <cellStyle name="Normal 5 2" xfId="267" xr:uid="{00000000-0005-0000-0000-00000F010000}"/>
    <cellStyle name="Normal 5 2 2" xfId="268" xr:uid="{00000000-0005-0000-0000-000010010000}"/>
    <cellStyle name="Normal 5 3" xfId="269" xr:uid="{00000000-0005-0000-0000-000011010000}"/>
    <cellStyle name="Normal 5_2112 DF Schedule" xfId="270" xr:uid="{00000000-0005-0000-0000-000012010000}"/>
    <cellStyle name="Normal 50" xfId="271" xr:uid="{00000000-0005-0000-0000-000013010000}"/>
    <cellStyle name="Normal 51" xfId="272" xr:uid="{00000000-0005-0000-0000-000014010000}"/>
    <cellStyle name="Normal 52" xfId="273" xr:uid="{00000000-0005-0000-0000-000015010000}"/>
    <cellStyle name="Normal 53" xfId="274" xr:uid="{00000000-0005-0000-0000-000016010000}"/>
    <cellStyle name="Normal 54" xfId="275" xr:uid="{00000000-0005-0000-0000-000017010000}"/>
    <cellStyle name="Normal 55" xfId="276" xr:uid="{00000000-0005-0000-0000-000018010000}"/>
    <cellStyle name="Normal 56" xfId="277" xr:uid="{00000000-0005-0000-0000-000019010000}"/>
    <cellStyle name="Normal 57" xfId="278" xr:uid="{00000000-0005-0000-0000-00001A010000}"/>
    <cellStyle name="Normal 58" xfId="279" xr:uid="{00000000-0005-0000-0000-00001B010000}"/>
    <cellStyle name="Normal 59" xfId="280" xr:uid="{00000000-0005-0000-0000-00001C010000}"/>
    <cellStyle name="Normal 6" xfId="281" xr:uid="{00000000-0005-0000-0000-00001D010000}"/>
    <cellStyle name="Normal 6 2" xfId="282" xr:uid="{00000000-0005-0000-0000-00001E010000}"/>
    <cellStyle name="Normal 6 3" xfId="283" xr:uid="{00000000-0005-0000-0000-00001F010000}"/>
    <cellStyle name="Normal 60" xfId="284" xr:uid="{00000000-0005-0000-0000-000020010000}"/>
    <cellStyle name="Normal 61" xfId="285" xr:uid="{00000000-0005-0000-0000-000021010000}"/>
    <cellStyle name="Normal 62" xfId="286" xr:uid="{00000000-0005-0000-0000-000022010000}"/>
    <cellStyle name="Normal 63" xfId="287" xr:uid="{00000000-0005-0000-0000-000023010000}"/>
    <cellStyle name="Normal 64" xfId="288" xr:uid="{00000000-0005-0000-0000-000024010000}"/>
    <cellStyle name="Normal 65" xfId="289" xr:uid="{00000000-0005-0000-0000-000025010000}"/>
    <cellStyle name="Normal 66" xfId="290" xr:uid="{00000000-0005-0000-0000-000026010000}"/>
    <cellStyle name="Normal 67" xfId="291" xr:uid="{00000000-0005-0000-0000-000027010000}"/>
    <cellStyle name="Normal 68" xfId="292" xr:uid="{00000000-0005-0000-0000-000028010000}"/>
    <cellStyle name="Normal 69" xfId="293" xr:uid="{00000000-0005-0000-0000-000029010000}"/>
    <cellStyle name="Normal 7" xfId="294" xr:uid="{00000000-0005-0000-0000-00002A010000}"/>
    <cellStyle name="Normal 7 2" xfId="295" xr:uid="{00000000-0005-0000-0000-00002B010000}"/>
    <cellStyle name="Normal 70" xfId="296" xr:uid="{00000000-0005-0000-0000-00002C010000}"/>
    <cellStyle name="Normal 71" xfId="297" xr:uid="{00000000-0005-0000-0000-00002D010000}"/>
    <cellStyle name="Normal 72" xfId="298" xr:uid="{00000000-0005-0000-0000-00002E010000}"/>
    <cellStyle name="Normal 73" xfId="299" xr:uid="{00000000-0005-0000-0000-00002F010000}"/>
    <cellStyle name="Normal 74" xfId="300" xr:uid="{00000000-0005-0000-0000-000030010000}"/>
    <cellStyle name="Normal 75" xfId="301" xr:uid="{00000000-0005-0000-0000-000031010000}"/>
    <cellStyle name="Normal 76" xfId="302" xr:uid="{00000000-0005-0000-0000-000032010000}"/>
    <cellStyle name="Normal 77" xfId="303" xr:uid="{00000000-0005-0000-0000-000033010000}"/>
    <cellStyle name="Normal 78" xfId="304" xr:uid="{00000000-0005-0000-0000-000034010000}"/>
    <cellStyle name="Normal 79" xfId="305" xr:uid="{00000000-0005-0000-0000-000035010000}"/>
    <cellStyle name="Normal 8" xfId="306" xr:uid="{00000000-0005-0000-0000-000036010000}"/>
    <cellStyle name="Normal 8 2" xfId="307" xr:uid="{00000000-0005-0000-0000-000037010000}"/>
    <cellStyle name="Normal 80" xfId="308" xr:uid="{00000000-0005-0000-0000-000038010000}"/>
    <cellStyle name="Normal 81" xfId="309" xr:uid="{00000000-0005-0000-0000-000039010000}"/>
    <cellStyle name="Normal 82" xfId="310" xr:uid="{00000000-0005-0000-0000-00003A010000}"/>
    <cellStyle name="Normal 83" xfId="311" xr:uid="{00000000-0005-0000-0000-00003B010000}"/>
    <cellStyle name="Normal 84" xfId="312" xr:uid="{00000000-0005-0000-0000-00003C010000}"/>
    <cellStyle name="Normal 85" xfId="313" xr:uid="{00000000-0005-0000-0000-00003D010000}"/>
    <cellStyle name="Normal 86" xfId="314" xr:uid="{00000000-0005-0000-0000-00003E010000}"/>
    <cellStyle name="Normal 87" xfId="427" xr:uid="{B4E7FC6B-0462-49D6-8C59-795488ED26E9}"/>
    <cellStyle name="Normal 88" xfId="429" xr:uid="{34A033C8-C779-49C7-8337-49DC23272B04}"/>
    <cellStyle name="Normal 89" xfId="431" xr:uid="{A01B85D5-EF2E-424F-91D4-44F676BC4F1D}"/>
    <cellStyle name="Normal 9" xfId="315" xr:uid="{00000000-0005-0000-0000-00003F010000}"/>
    <cellStyle name="Normal 9 2" xfId="316" xr:uid="{00000000-0005-0000-0000-000040010000}"/>
    <cellStyle name="Normal 9 3" xfId="317" xr:uid="{00000000-0005-0000-0000-000041010000}"/>
    <cellStyle name="Normal 90" xfId="434" xr:uid="{CAE67487-A5EC-4A0B-B3F4-9FD8BDE8F045}"/>
    <cellStyle name="Normal_Book1" xfId="318" xr:uid="{00000000-0005-0000-0000-000042010000}"/>
    <cellStyle name="Note 2" xfId="319" xr:uid="{00000000-0005-0000-0000-000043010000}"/>
    <cellStyle name="Note 3" xfId="320" xr:uid="{00000000-0005-0000-0000-000044010000}"/>
    <cellStyle name="Notes" xfId="321" xr:uid="{00000000-0005-0000-0000-000045010000}"/>
    <cellStyle name="Output 2" xfId="322" xr:uid="{00000000-0005-0000-0000-000046010000}"/>
    <cellStyle name="Percent" xfId="323" builtinId="5"/>
    <cellStyle name="Percent [2]" xfId="324" xr:uid="{00000000-0005-0000-0000-000048010000}"/>
    <cellStyle name="Percent 10" xfId="325" xr:uid="{00000000-0005-0000-0000-000049010000}"/>
    <cellStyle name="Percent 11" xfId="326" xr:uid="{00000000-0005-0000-0000-00004A010000}"/>
    <cellStyle name="Percent 12" xfId="327" xr:uid="{00000000-0005-0000-0000-00004B010000}"/>
    <cellStyle name="Percent 13" xfId="328" xr:uid="{00000000-0005-0000-0000-00004C010000}"/>
    <cellStyle name="Percent 2" xfId="329" xr:uid="{00000000-0005-0000-0000-00004D010000}"/>
    <cellStyle name="Percent 2 2" xfId="330" xr:uid="{00000000-0005-0000-0000-00004E010000}"/>
    <cellStyle name="Percent 2 2 2" xfId="331" xr:uid="{00000000-0005-0000-0000-00004F010000}"/>
    <cellStyle name="Percent 2 2 2 2" xfId="332" xr:uid="{00000000-0005-0000-0000-000050010000}"/>
    <cellStyle name="Percent 2 2 3" xfId="333" xr:uid="{00000000-0005-0000-0000-000051010000}"/>
    <cellStyle name="Percent 2 2 4" xfId="334" xr:uid="{00000000-0005-0000-0000-000052010000}"/>
    <cellStyle name="Percent 2 3" xfId="335" xr:uid="{00000000-0005-0000-0000-000053010000}"/>
    <cellStyle name="Percent 2 3 2" xfId="336" xr:uid="{00000000-0005-0000-0000-000054010000}"/>
    <cellStyle name="Percent 2 4" xfId="337" xr:uid="{00000000-0005-0000-0000-000055010000}"/>
    <cellStyle name="Percent 2 4 2" xfId="338" xr:uid="{00000000-0005-0000-0000-000056010000}"/>
    <cellStyle name="Percent 2 5" xfId="339" xr:uid="{00000000-0005-0000-0000-000057010000}"/>
    <cellStyle name="Percent 2 6" xfId="340" xr:uid="{00000000-0005-0000-0000-000058010000}"/>
    <cellStyle name="Percent 3" xfId="341" xr:uid="{00000000-0005-0000-0000-000059010000}"/>
    <cellStyle name="Percent 3 2" xfId="342" xr:uid="{00000000-0005-0000-0000-00005A010000}"/>
    <cellStyle name="Percent 3 2 2" xfId="343" xr:uid="{00000000-0005-0000-0000-00005B010000}"/>
    <cellStyle name="Percent 3 3" xfId="344" xr:uid="{00000000-0005-0000-0000-00005C010000}"/>
    <cellStyle name="Percent 3 3 2" xfId="345" xr:uid="{00000000-0005-0000-0000-00005D010000}"/>
    <cellStyle name="Percent 3 4" xfId="346" xr:uid="{00000000-0005-0000-0000-00005E010000}"/>
    <cellStyle name="Percent 3 5" xfId="347" xr:uid="{00000000-0005-0000-0000-00005F010000}"/>
    <cellStyle name="Percent 3 6" xfId="424" xr:uid="{00000000-0005-0000-0000-000060010000}"/>
    <cellStyle name="Percent 4" xfId="348" xr:uid="{00000000-0005-0000-0000-000061010000}"/>
    <cellStyle name="Percent 4 2" xfId="349" xr:uid="{00000000-0005-0000-0000-000062010000}"/>
    <cellStyle name="Percent 4 3" xfId="350" xr:uid="{00000000-0005-0000-0000-000063010000}"/>
    <cellStyle name="Percent 5" xfId="351" xr:uid="{00000000-0005-0000-0000-000064010000}"/>
    <cellStyle name="Percent 6" xfId="352" xr:uid="{00000000-0005-0000-0000-000065010000}"/>
    <cellStyle name="Percent 7" xfId="353" xr:uid="{00000000-0005-0000-0000-000066010000}"/>
    <cellStyle name="Percent 7 2" xfId="354" xr:uid="{00000000-0005-0000-0000-000067010000}"/>
    <cellStyle name="Percent 8" xfId="355" xr:uid="{00000000-0005-0000-0000-000068010000}"/>
    <cellStyle name="Percent 9" xfId="356" xr:uid="{00000000-0005-0000-0000-000069010000}"/>
    <cellStyle name="Percent(1)" xfId="357" xr:uid="{00000000-0005-0000-0000-00006A010000}"/>
    <cellStyle name="Percent(2)" xfId="358" xr:uid="{00000000-0005-0000-0000-00006B010000}"/>
    <cellStyle name="PRM" xfId="359" xr:uid="{00000000-0005-0000-0000-00006C010000}"/>
    <cellStyle name="PRM 2" xfId="360" xr:uid="{00000000-0005-0000-0000-00006D010000}"/>
    <cellStyle name="PRM 3" xfId="361" xr:uid="{00000000-0005-0000-0000-00006E010000}"/>
    <cellStyle name="PRM_2011-11" xfId="362" xr:uid="{00000000-0005-0000-0000-00006F010000}"/>
    <cellStyle name="PS_Comma" xfId="363" xr:uid="{00000000-0005-0000-0000-000070010000}"/>
    <cellStyle name="PSChar" xfId="364" xr:uid="{00000000-0005-0000-0000-000071010000}"/>
    <cellStyle name="PSDate" xfId="365" xr:uid="{00000000-0005-0000-0000-000072010000}"/>
    <cellStyle name="PSDec" xfId="366" xr:uid="{00000000-0005-0000-0000-000073010000}"/>
    <cellStyle name="PSHeading" xfId="367" xr:uid="{00000000-0005-0000-0000-000074010000}"/>
    <cellStyle name="PSHeading 2" xfId="368" xr:uid="{00000000-0005-0000-0000-000075010000}"/>
    <cellStyle name="PSInt" xfId="369" xr:uid="{00000000-0005-0000-0000-000076010000}"/>
    <cellStyle name="PSSpacer" xfId="370" xr:uid="{00000000-0005-0000-0000-000077010000}"/>
    <cellStyle name="R00A" xfId="371" xr:uid="{00000000-0005-0000-0000-000078010000}"/>
    <cellStyle name="R00B" xfId="372" xr:uid="{00000000-0005-0000-0000-000079010000}"/>
    <cellStyle name="R00L" xfId="373" xr:uid="{00000000-0005-0000-0000-00007A010000}"/>
    <cellStyle name="R01A" xfId="374" xr:uid="{00000000-0005-0000-0000-00007B010000}"/>
    <cellStyle name="R01B" xfId="375" xr:uid="{00000000-0005-0000-0000-00007C010000}"/>
    <cellStyle name="R01H" xfId="376" xr:uid="{00000000-0005-0000-0000-00007D010000}"/>
    <cellStyle name="R01L" xfId="377" xr:uid="{00000000-0005-0000-0000-00007E010000}"/>
    <cellStyle name="R02A" xfId="378" xr:uid="{00000000-0005-0000-0000-00007F010000}"/>
    <cellStyle name="R02B" xfId="379" xr:uid="{00000000-0005-0000-0000-000080010000}"/>
    <cellStyle name="R02H" xfId="380" xr:uid="{00000000-0005-0000-0000-000081010000}"/>
    <cellStyle name="R02L" xfId="381" xr:uid="{00000000-0005-0000-0000-000082010000}"/>
    <cellStyle name="R03A" xfId="382" xr:uid="{00000000-0005-0000-0000-000083010000}"/>
    <cellStyle name="R03B" xfId="383" xr:uid="{00000000-0005-0000-0000-000084010000}"/>
    <cellStyle name="R03H" xfId="384" xr:uid="{00000000-0005-0000-0000-000085010000}"/>
    <cellStyle name="R03L" xfId="385" xr:uid="{00000000-0005-0000-0000-000086010000}"/>
    <cellStyle name="R04A" xfId="386" xr:uid="{00000000-0005-0000-0000-000087010000}"/>
    <cellStyle name="R04B" xfId="387" xr:uid="{00000000-0005-0000-0000-000088010000}"/>
    <cellStyle name="R04H" xfId="388" xr:uid="{00000000-0005-0000-0000-000089010000}"/>
    <cellStyle name="R04L" xfId="389" xr:uid="{00000000-0005-0000-0000-00008A010000}"/>
    <cellStyle name="R05A" xfId="390" xr:uid="{00000000-0005-0000-0000-00008B010000}"/>
    <cellStyle name="R05B" xfId="391" xr:uid="{00000000-0005-0000-0000-00008C010000}"/>
    <cellStyle name="R05H" xfId="392" xr:uid="{00000000-0005-0000-0000-00008D010000}"/>
    <cellStyle name="R05L" xfId="393" xr:uid="{00000000-0005-0000-0000-00008E010000}"/>
    <cellStyle name="R06A" xfId="394" xr:uid="{00000000-0005-0000-0000-00008F010000}"/>
    <cellStyle name="R06B" xfId="395" xr:uid="{00000000-0005-0000-0000-000090010000}"/>
    <cellStyle name="R06H" xfId="396" xr:uid="{00000000-0005-0000-0000-000091010000}"/>
    <cellStyle name="R06L" xfId="397" xr:uid="{00000000-0005-0000-0000-000092010000}"/>
    <cellStyle name="R07A" xfId="398" xr:uid="{00000000-0005-0000-0000-000093010000}"/>
    <cellStyle name="R07B" xfId="399" xr:uid="{00000000-0005-0000-0000-000094010000}"/>
    <cellStyle name="R07H" xfId="400" xr:uid="{00000000-0005-0000-0000-000095010000}"/>
    <cellStyle name="R07L" xfId="401" xr:uid="{00000000-0005-0000-0000-000096010000}"/>
    <cellStyle name="STYL0 - Style1" xfId="402" xr:uid="{00000000-0005-0000-0000-000097010000}"/>
    <cellStyle name="STYL1 - Style2" xfId="403" xr:uid="{00000000-0005-0000-0000-000098010000}"/>
    <cellStyle name="STYL2 - Style3" xfId="404" xr:uid="{00000000-0005-0000-0000-000099010000}"/>
    <cellStyle name="STYL3 - Style4" xfId="405" xr:uid="{00000000-0005-0000-0000-00009A010000}"/>
    <cellStyle name="STYL4 - Style5" xfId="406" xr:uid="{00000000-0005-0000-0000-00009B010000}"/>
    <cellStyle name="STYL5 - Style6" xfId="407" xr:uid="{00000000-0005-0000-0000-00009C010000}"/>
    <cellStyle name="STYL6 - Style7" xfId="408" xr:uid="{00000000-0005-0000-0000-00009D010000}"/>
    <cellStyle name="STYL7 - Style8" xfId="409" xr:uid="{00000000-0005-0000-0000-00009E010000}"/>
    <cellStyle name="Style 1" xfId="410" xr:uid="{00000000-0005-0000-0000-00009F010000}"/>
    <cellStyle name="Style 1 2" xfId="411" xr:uid="{00000000-0005-0000-0000-0000A0010000}"/>
    <cellStyle name="STYLE1" xfId="412" xr:uid="{00000000-0005-0000-0000-0000A1010000}"/>
    <cellStyle name="STYLE1 2" xfId="413" xr:uid="{00000000-0005-0000-0000-0000A2010000}"/>
    <cellStyle name="sub heading" xfId="414" xr:uid="{00000000-0005-0000-0000-0000A3010000}"/>
    <cellStyle name="test" xfId="415" xr:uid="{00000000-0005-0000-0000-0000A4010000}"/>
    <cellStyle name="Title 2" xfId="416" xr:uid="{00000000-0005-0000-0000-0000A5010000}"/>
    <cellStyle name="Total 2" xfId="417" xr:uid="{00000000-0005-0000-0000-0000A6010000}"/>
    <cellStyle name="Total 3" xfId="418" xr:uid="{00000000-0005-0000-0000-0000A7010000}"/>
    <cellStyle name="Warning Text 2" xfId="419" xr:uid="{00000000-0005-0000-0000-0000A8010000}"/>
    <cellStyle name="WM_STANDARD" xfId="420" xr:uid="{00000000-0005-0000-0000-0000A9010000}"/>
    <cellStyle name="WMI_Default" xfId="421" xr:uid="{00000000-0005-0000-0000-0000AA010000}"/>
  </cellStyles>
  <dxfs count="0"/>
  <tableStyles count="1" defaultTableStyle="TableStyleMedium9" defaultPivotStyle="PivotStyleLight16">
    <tableStyle name="Invisible" pivot="0" table="0" count="0" xr9:uid="{2B0343ED-5011-440F-ABC0-54CFBAFCBBB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1.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externalLink" Target="externalLinks/externalLink12.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49"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externalLink" Target="externalLinks/externalLink10.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14</xdr:row>
          <xdr:rowOff>180975</xdr:rowOff>
        </xdr:from>
        <xdr:to>
          <xdr:col>2</xdr:col>
          <xdr:colOff>361950</xdr:colOff>
          <xdr:row>16</xdr:row>
          <xdr:rowOff>19050</xdr:rowOff>
        </xdr:to>
        <xdr:sp macro="" textlink="">
          <xdr:nvSpPr>
            <xdr:cNvPr id="123905" name="CheckBox1" hidden="1">
              <a:extLst>
                <a:ext uri="{63B3BB69-23CF-44E3-9099-C40C66FF867C}">
                  <a14:compatExt spid="_x0000_s123905"/>
                </a:ext>
                <a:ext uri="{FF2B5EF4-FFF2-40B4-BE49-F238E27FC236}">
                  <a16:creationId xmlns:a16="http://schemas.microsoft.com/office/drawing/2014/main" id="{00000000-0008-0000-0100-000001E401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L_WASTE\SYS\ACCOUNT\CV2000\022000\2000_FEBRUARY_%20GL%20RECO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o111\share\frsx\D0536y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_TO_Z/WASTE%20COMPANY%20GROUP/WAC0252%20-%20Waste%20Control,%20Inc-1633/Rate%20Cases/2013%20Rate%20Case/Dave%20Wiley/Post%20Suspension/Files%20for%20conf%20call%20032114/sent%20to%20utc/staff%20WCI%20Pro%20forma%2010-11-2013%20cos%20from%20meliss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TIL\TRANS\Chris%20M\Solid%20Waste\San%20Juan%20Sanitation%20Co\Year%202010\Staff\W_COMP\Rosario\2007%20rate%20case\Worksheets\070944%20Loan%20Recalculatio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budget.wm.com/plan07/F2_24_Month_Condensed_Ops_PnL_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odisnap\accounting\MODEST~1\20320.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cons-2674%20Ken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TIL\TRANS\Waste%20Management%20-%20Filings\Ellensburg\Year%202009\TG-091472%20(GRC)\Staff\TG-091472%20WM%20of%20Ellensburg%20(Workpaper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TIL\TRANS\Chris%20M\Solid%20Waste\Waste%20Management\Sno-King\Year%202009\TG-091933\Staff\TG-091933%20WM%20of%20SnoKing%20GRC%20(Workpaper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2004%20Planning%20Requirements\5-20%20Submission\6%20Report%20Requirements\Reports%20Master%20List%20and%20Mockups%20V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ssignments\Solid%20Waste\Waste%20Connections\Year%202008\American%20Disposal%20Company,%20Inc\Yr%202009\TG-090098%20(General%20Case)\Staff\TG-090097%20&amp;%20TG-090098%20Proforma%20(Staff%20-%20Route%20Hr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cmickels\Desktop\Example%20of%20WM%20of%20SnoKing.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TIL\TRANS\Chris%20M\Solid%20Waste\San%20Juan%20Sanitation%20Co\Year%202010\Staff\San%20Juan%20Sanitation\WUTC\SJS%20Income%20State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ttyCash-10110"/>
      <sheetName val="10200"/>
      <sheetName val="10210"/>
      <sheetName val="10250_RECON"/>
      <sheetName val="10250_MVPSS"/>
      <sheetName val="10250_Recy Chkg"/>
      <sheetName val="10250_Reimb Accts"/>
      <sheetName val="10250_Rollfwd"/>
      <sheetName val="10410_Rollfwd"/>
      <sheetName val="10410_Recon"/>
      <sheetName val="10410_Trade"/>
      <sheetName val="10410_Lodi"/>
      <sheetName val="10410_Sac Co"/>
      <sheetName val="10410_Brokered"/>
      <sheetName val="10420_Rollfwd"/>
      <sheetName val="10420 RECON"/>
      <sheetName val="Rollfwd_10550"/>
      <sheetName val="Recon_10550"/>
      <sheetName val="Recon_10555"/>
      <sheetName val="Recon_10610"/>
      <sheetName val="A170XX-October"/>
      <sheetName val="Recon_10760"/>
      <sheetName val="Rollfwd_10820"/>
      <sheetName val="PPXXC_10830"/>
      <sheetName val="Schedule_10830"/>
      <sheetName val="Recon_10830"/>
      <sheetName val="Rollfwd_10850"/>
      <sheetName val="Recon_10850"/>
      <sheetName val="ReconSumm_10890"/>
      <sheetName val="ASSETS 11XXX"/>
      <sheetName val="ACC DEP 12XXX"/>
      <sheetName val="GOODWILL_15120"/>
      <sheetName val="Rollfwd_15450"/>
      <sheetName val="15450_92 bond"/>
      <sheetName val="15450_94 Bond "/>
      <sheetName val="Recon_15450"/>
      <sheetName val="Rollfwd_15320_15500"/>
      <sheetName val="16100_Rollfwd"/>
      <sheetName val="A180543"/>
      <sheetName val="A20110"/>
      <sheetName val="Rollfwd_20120"/>
      <sheetName val="Recon_20120"/>
      <sheetName val="Recon_20130"/>
      <sheetName val="Recon_20133"/>
      <sheetName val="Recon_20135"/>
      <sheetName val="Recon_20137"/>
      <sheetName val="A20140"/>
      <sheetName val="SALES TAX RETURN_20140"/>
      <sheetName val="Rollfwd_20170"/>
      <sheetName val="Recon_20170"/>
      <sheetName val="Recon_20175"/>
      <sheetName val="Recon_20177"/>
      <sheetName val="Detail_20320"/>
      <sheetName val="Rollfwd_20325"/>
      <sheetName val="Recon_20325"/>
      <sheetName val="A20330"/>
      <sheetName val="RECON 20335"/>
      <sheetName val="RECON_20340"/>
      <sheetName val="DETAILED 20360"/>
      <sheetName val="recon 20365"/>
      <sheetName val="recon 20375"/>
      <sheetName val="A21100 &amp; A21250"/>
      <sheetName val="21250_92 Bond"/>
      <sheetName val="21250_94 Bond"/>
      <sheetName val="21250_R. Vaccarezza"/>
      <sheetName val="21250_BOND DIS AMORT"/>
      <sheetName val="A21390"/>
      <sheetName val="Recon 22104"/>
      <sheetName val="Recon 22105"/>
      <sheetName val="Recon 22109"/>
      <sheetName val="Recon 22205 "/>
      <sheetName val="Recon 22206"/>
      <sheetName val="Recon_30XXXX"/>
      <sheetName val="Recon 150543 Revised"/>
      <sheetName val="170001 DL 121999"/>
      <sheetName val="Rollfwd_170001"/>
      <sheetName val="A170001"/>
      <sheetName val="Rollfwd_170050"/>
      <sheetName val="A170050"/>
      <sheetName val="Rollfwd_171170"/>
      <sheetName val="A171170"/>
      <sheetName val="Rollfwd_171500"/>
      <sheetName val="A171500"/>
      <sheetName val="A171504"/>
      <sheetName val="A171531"/>
      <sheetName val="A172216"/>
      <sheetName val="A172220"/>
      <sheetName val="A172355"/>
      <sheetName val="Dec_99 DL_RAW"/>
      <sheetName val="Dec_99 DL_"/>
      <sheetName val="DEC_98 DL RAW"/>
      <sheetName val="DEC_98 DL "/>
      <sheetName val="Sheet4"/>
      <sheetName val="Sheet4 (2)"/>
      <sheetName val="XXXXXX"/>
      <sheetName val="BU NAMES"/>
      <sheetName val="PS BS ACCOU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row r="1">
          <cell r="A1" t="str">
            <v>Fixed Assets Reconciliations - Lodi - 0543</v>
          </cell>
        </row>
        <row r="2">
          <cell r="A2" t="str">
            <v>February</v>
          </cell>
        </row>
        <row r="3">
          <cell r="B3" t="str">
            <v>Trucks</v>
          </cell>
          <cell r="C3" t="str">
            <v>Landfill PE</v>
          </cell>
          <cell r="D3" t="str">
            <v>Support Trucks</v>
          </cell>
          <cell r="E3" t="str">
            <v xml:space="preserve">Containers </v>
          </cell>
          <cell r="F3" t="str">
            <v>M&amp;E</v>
          </cell>
          <cell r="G3" t="str">
            <v>OfficeEquip</v>
          </cell>
          <cell r="H3" t="str">
            <v>Building</v>
          </cell>
          <cell r="I3" t="str">
            <v>Leashold Improv</v>
          </cell>
          <cell r="J3" t="str">
            <v>Autos</v>
          </cell>
          <cell r="K3" t="str">
            <v>Land</v>
          </cell>
          <cell r="L3" t="str">
            <v>Total Assets</v>
          </cell>
        </row>
        <row r="4">
          <cell r="A4" t="str">
            <v>Description/A/C</v>
          </cell>
          <cell r="B4" t="str">
            <v>11110 &amp;120</v>
          </cell>
          <cell r="C4">
            <v>11210</v>
          </cell>
          <cell r="D4">
            <v>11310</v>
          </cell>
          <cell r="E4" t="str">
            <v>11410 &amp; 20</v>
          </cell>
          <cell r="F4" t="str">
            <v>11510 &amp; 20</v>
          </cell>
          <cell r="G4" t="str">
            <v>11610 &amp; 20</v>
          </cell>
          <cell r="H4" t="str">
            <v>11710 &amp; 20</v>
          </cell>
          <cell r="I4">
            <v>11810</v>
          </cell>
          <cell r="J4">
            <v>11910</v>
          </cell>
          <cell r="K4">
            <v>13110</v>
          </cell>
        </row>
        <row r="6">
          <cell r="A6" t="str">
            <v>GL Beginning Bal</v>
          </cell>
          <cell r="B6">
            <v>6370279.0000000009</v>
          </cell>
          <cell r="C6">
            <v>1152675.96</v>
          </cell>
          <cell r="D6">
            <v>230167.72999999998</v>
          </cell>
          <cell r="E6">
            <v>9808085.1799999997</v>
          </cell>
          <cell r="F6">
            <v>3002548.89</v>
          </cell>
          <cell r="G6">
            <v>1058753.53</v>
          </cell>
          <cell r="H6">
            <v>5945538.0099999998</v>
          </cell>
          <cell r="I6">
            <v>2233939.7999999998</v>
          </cell>
          <cell r="J6">
            <v>47342.04</v>
          </cell>
          <cell r="K6">
            <v>987725.13</v>
          </cell>
          <cell r="L6">
            <v>30837055.270000003</v>
          </cell>
        </row>
        <row r="8">
          <cell r="A8" t="str">
            <v>Additions:</v>
          </cell>
          <cell r="B8">
            <v>0</v>
          </cell>
          <cell r="E8">
            <v>0</v>
          </cell>
          <cell r="F8">
            <v>0</v>
          </cell>
          <cell r="G8">
            <v>0</v>
          </cell>
        </row>
        <row r="11">
          <cell r="A11" t="str">
            <v>Accruals:</v>
          </cell>
        </row>
        <row r="13">
          <cell r="A13" t="str">
            <v>Deletions:</v>
          </cell>
        </row>
        <row r="15">
          <cell r="A15" t="str">
            <v>Adjusted GL Bal:</v>
          </cell>
          <cell r="B15">
            <v>6370279.0000000009</v>
          </cell>
          <cell r="C15">
            <v>1152675.96</v>
          </cell>
          <cell r="D15">
            <v>230167.72999999998</v>
          </cell>
          <cell r="E15">
            <v>9808085.1799999997</v>
          </cell>
          <cell r="F15">
            <v>3002548.89</v>
          </cell>
          <cell r="G15">
            <v>1058753.53</v>
          </cell>
          <cell r="H15">
            <v>5945538.0099999998</v>
          </cell>
          <cell r="I15">
            <v>2233939.7999999998</v>
          </cell>
          <cell r="J15">
            <v>47342.04</v>
          </cell>
          <cell r="K15">
            <v>987725.13</v>
          </cell>
          <cell r="L15">
            <v>30837055.270000003</v>
          </cell>
        </row>
        <row r="17">
          <cell r="A17" t="str">
            <v>GBA Balances</v>
          </cell>
          <cell r="B17">
            <v>6486957.9000000004</v>
          </cell>
          <cell r="C17">
            <v>1191195.51</v>
          </cell>
          <cell r="D17">
            <v>230167.73</v>
          </cell>
          <cell r="E17">
            <v>9808085.1799999997</v>
          </cell>
          <cell r="F17">
            <v>2783580.08</v>
          </cell>
          <cell r="G17">
            <v>1058752.1299999999</v>
          </cell>
          <cell r="H17">
            <v>5945538.0099999998</v>
          </cell>
          <cell r="I17">
            <v>2233939.7999999998</v>
          </cell>
          <cell r="J17">
            <v>47342.04</v>
          </cell>
          <cell r="K17">
            <v>988191.66</v>
          </cell>
          <cell r="L17">
            <v>30773750.039999999</v>
          </cell>
        </row>
        <row r="19">
          <cell r="A19" t="str">
            <v>Variance</v>
          </cell>
          <cell r="B19">
            <v>-116678.89999999944</v>
          </cell>
          <cell r="C19">
            <v>-38519.550000000047</v>
          </cell>
          <cell r="D19">
            <v>0</v>
          </cell>
          <cell r="E19">
            <v>0</v>
          </cell>
          <cell r="F19">
            <v>218968.81000000006</v>
          </cell>
          <cell r="G19">
            <v>1.4000000001396984</v>
          </cell>
          <cell r="H19">
            <v>0</v>
          </cell>
          <cell r="I19">
            <v>0</v>
          </cell>
          <cell r="J19">
            <v>0</v>
          </cell>
          <cell r="K19">
            <v>-466.53000000002794</v>
          </cell>
          <cell r="L19">
            <v>63305.230000004172</v>
          </cell>
        </row>
      </sheetData>
      <sheetData sheetId="30" refreshError="1">
        <row r="4">
          <cell r="A4" t="str">
            <v>Accumulated Depreciation:</v>
          </cell>
          <cell r="D4">
            <v>65920</v>
          </cell>
          <cell r="F4">
            <v>60925</v>
          </cell>
          <cell r="G4">
            <v>70905</v>
          </cell>
          <cell r="H4">
            <v>90910</v>
          </cell>
        </row>
        <row r="5">
          <cell r="A5" t="str">
            <v>February</v>
          </cell>
          <cell r="B5">
            <v>52930</v>
          </cell>
          <cell r="C5">
            <v>52935</v>
          </cell>
          <cell r="D5">
            <v>60920</v>
          </cell>
          <cell r="E5">
            <v>54935</v>
          </cell>
          <cell r="F5">
            <v>54925</v>
          </cell>
          <cell r="G5">
            <v>60905</v>
          </cell>
          <cell r="H5">
            <v>65910</v>
          </cell>
          <cell r="I5">
            <v>90915</v>
          </cell>
          <cell r="J5">
            <v>90900</v>
          </cell>
        </row>
        <row r="6">
          <cell r="B6" t="str">
            <v>Trucks</v>
          </cell>
          <cell r="C6" t="str">
            <v>Landfill PE</v>
          </cell>
          <cell r="D6" t="str">
            <v>Support Trucks</v>
          </cell>
          <cell r="E6" t="str">
            <v xml:space="preserve">Containers </v>
          </cell>
          <cell r="F6" t="str">
            <v>M&amp;E</v>
          </cell>
          <cell r="G6" t="str">
            <v>OfficeEquip</v>
          </cell>
          <cell r="H6" t="str">
            <v>Building</v>
          </cell>
          <cell r="I6" t="str">
            <v>Leashold Improv</v>
          </cell>
          <cell r="J6" t="str">
            <v>Autos</v>
          </cell>
          <cell r="K6" t="str">
            <v>Land</v>
          </cell>
          <cell r="L6" t="str">
            <v>Total Accumulated</v>
          </cell>
        </row>
        <row r="7">
          <cell r="A7" t="str">
            <v>Description/A/C</v>
          </cell>
          <cell r="B7" t="str">
            <v>121XX</v>
          </cell>
          <cell r="C7" t="str">
            <v>122XX</v>
          </cell>
          <cell r="D7" t="str">
            <v>123XX</v>
          </cell>
          <cell r="E7" t="str">
            <v>124XX</v>
          </cell>
          <cell r="F7" t="str">
            <v>125XX</v>
          </cell>
          <cell r="G7" t="str">
            <v>126XX</v>
          </cell>
          <cell r="H7" t="str">
            <v>127XX</v>
          </cell>
          <cell r="I7" t="str">
            <v>128XX</v>
          </cell>
          <cell r="J7" t="str">
            <v>129XX</v>
          </cell>
          <cell r="K7">
            <v>13250</v>
          </cell>
          <cell r="L7" t="str">
            <v>Depreciation</v>
          </cell>
        </row>
        <row r="9">
          <cell r="A9" t="str">
            <v>GL Beginning Bal</v>
          </cell>
          <cell r="B9">
            <v>-4345139.9400000004</v>
          </cell>
          <cell r="C9">
            <v>-631095.49999999988</v>
          </cell>
          <cell r="D9">
            <v>-197525.75999999998</v>
          </cell>
          <cell r="E9">
            <v>-6570378.0800000001</v>
          </cell>
          <cell r="F9">
            <v>-2358947.5299999998</v>
          </cell>
          <cell r="G9">
            <v>-645903.84000000008</v>
          </cell>
          <cell r="H9">
            <v>-2171023.04</v>
          </cell>
          <cell r="I9">
            <v>-726384.56</v>
          </cell>
          <cell r="J9">
            <v>-36395.379999999997</v>
          </cell>
          <cell r="K9">
            <v>-466.76</v>
          </cell>
          <cell r="L9">
            <v>-17683260.390000001</v>
          </cell>
        </row>
        <row r="11">
          <cell r="A11" t="str">
            <v>Additions:</v>
          </cell>
          <cell r="B11">
            <v>-65915.709999999992</v>
          </cell>
          <cell r="C11">
            <v>-22490.11</v>
          </cell>
          <cell r="D11">
            <v>-2297.98</v>
          </cell>
          <cell r="E11">
            <v>-89579.91</v>
          </cell>
          <cell r="F11">
            <v>-55942.879999999997</v>
          </cell>
          <cell r="G11">
            <v>-29722.478000000003</v>
          </cell>
          <cell r="H11">
            <v>-41958.92</v>
          </cell>
          <cell r="I11">
            <v>-20345.439999999999</v>
          </cell>
          <cell r="J11">
            <v>-729.78</v>
          </cell>
          <cell r="L11">
            <v>-328983.20799999998</v>
          </cell>
        </row>
        <row r="13">
          <cell r="B13">
            <v>5502.79</v>
          </cell>
          <cell r="C13">
            <v>-5502.79</v>
          </cell>
        </row>
        <row r="14">
          <cell r="A14" t="str">
            <v>Accruals:</v>
          </cell>
        </row>
        <row r="16">
          <cell r="A16" t="str">
            <v>Deletions:</v>
          </cell>
        </row>
        <row r="18">
          <cell r="A18" t="str">
            <v>Adjusted GL Bal:</v>
          </cell>
          <cell r="B18">
            <v>-4405552.8600000003</v>
          </cell>
          <cell r="C18">
            <v>-659088.39999999991</v>
          </cell>
          <cell r="D18">
            <v>-199823.74</v>
          </cell>
          <cell r="E18">
            <v>-6659957.9900000002</v>
          </cell>
          <cell r="F18">
            <v>-2414890.4099999997</v>
          </cell>
          <cell r="G18">
            <v>-675626.31800000009</v>
          </cell>
          <cell r="H18">
            <v>-2212981.96</v>
          </cell>
          <cell r="I18">
            <v>-746730</v>
          </cell>
          <cell r="J18">
            <v>-37125.159999999996</v>
          </cell>
          <cell r="K18">
            <v>0</v>
          </cell>
          <cell r="L18">
            <v>-18011776.838</v>
          </cell>
        </row>
        <row r="20">
          <cell r="A20" t="str">
            <v>GBA Balances</v>
          </cell>
          <cell r="B20">
            <v>-4438805.79</v>
          </cell>
          <cell r="C20">
            <v>-659088.4</v>
          </cell>
          <cell r="D20">
            <v>-199823.74</v>
          </cell>
          <cell r="E20">
            <v>-6659957.9900000002</v>
          </cell>
          <cell r="F20">
            <v>-2243545.98</v>
          </cell>
          <cell r="G20">
            <v>-675626.34</v>
          </cell>
          <cell r="H20">
            <v>-2212981.96</v>
          </cell>
          <cell r="I20">
            <v>-746730</v>
          </cell>
          <cell r="J20">
            <v>-37125.160000000003</v>
          </cell>
          <cell r="K20">
            <v>-466.76</v>
          </cell>
          <cell r="L20">
            <v>-17874152.120000005</v>
          </cell>
        </row>
        <row r="22">
          <cell r="A22" t="str">
            <v>Variance</v>
          </cell>
          <cell r="B22">
            <v>33252.929999999702</v>
          </cell>
          <cell r="C22">
            <v>0</v>
          </cell>
          <cell r="D22">
            <v>0</v>
          </cell>
          <cell r="E22">
            <v>0</v>
          </cell>
          <cell r="F22">
            <v>-171344.4299999997</v>
          </cell>
          <cell r="G22">
            <v>2.199999988079071E-2</v>
          </cell>
          <cell r="H22">
            <v>0</v>
          </cell>
          <cell r="I22">
            <v>0</v>
          </cell>
          <cell r="J22">
            <v>0</v>
          </cell>
          <cell r="K22">
            <v>466.76</v>
          </cell>
          <cell r="L22">
            <v>-137624.71799999475</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row r="1">
          <cell r="A1" t="str">
            <v>CWRS</v>
          </cell>
        </row>
        <row r="2">
          <cell r="A2" t="str">
            <v>COPMPST AND OTHER SALES</v>
          </cell>
        </row>
        <row r="3">
          <cell r="A3" t="str">
            <v>SALES &amp; USE TAX</v>
          </cell>
        </row>
        <row r="5">
          <cell r="C5" t="str">
            <v>TAXABLE</v>
          </cell>
          <cell r="D5" t="str">
            <v>NONTAXABLE</v>
          </cell>
          <cell r="E5" t="str">
            <v>TOTAL</v>
          </cell>
        </row>
        <row r="7">
          <cell r="A7" t="str">
            <v>OCT 1999:</v>
          </cell>
        </row>
        <row r="8">
          <cell r="A8" t="str">
            <v>T/S SALES</v>
          </cell>
          <cell r="C8">
            <v>0</v>
          </cell>
          <cell r="D8">
            <v>0</v>
          </cell>
          <cell r="E8">
            <v>0</v>
          </cell>
        </row>
        <row r="9">
          <cell r="A9" t="str">
            <v>CASH SALES</v>
          </cell>
          <cell r="E9">
            <v>0</v>
          </cell>
        </row>
        <row r="10">
          <cell r="A10" t="str">
            <v>CHARGE SALES</v>
          </cell>
          <cell r="E10">
            <v>0</v>
          </cell>
        </row>
        <row r="11">
          <cell r="A11" t="str">
            <v>RECYCLING SALES</v>
          </cell>
          <cell r="E11">
            <v>0</v>
          </cell>
        </row>
        <row r="12">
          <cell r="A12" t="str">
            <v>OTHER SALES:</v>
          </cell>
        </row>
        <row r="13">
          <cell r="A13" t="str">
            <v xml:space="preserve"> WASTE CARTS</v>
          </cell>
          <cell r="C13">
            <v>645</v>
          </cell>
          <cell r="E13">
            <v>645</v>
          </cell>
        </row>
        <row r="14">
          <cell r="A14" t="str">
            <v xml:space="preserve"> MISC T/S</v>
          </cell>
          <cell r="C14">
            <v>0</v>
          </cell>
          <cell r="E14">
            <v>0</v>
          </cell>
        </row>
        <row r="16">
          <cell r="B16" t="str">
            <v>TOTAL</v>
          </cell>
          <cell r="C16">
            <v>645</v>
          </cell>
          <cell r="D16">
            <v>0</v>
          </cell>
          <cell r="E16">
            <v>645</v>
          </cell>
        </row>
        <row r="18">
          <cell r="A18" t="str">
            <v>NOV 1999:</v>
          </cell>
        </row>
        <row r="19">
          <cell r="A19" t="str">
            <v>T/S SALES</v>
          </cell>
          <cell r="E19">
            <v>0</v>
          </cell>
        </row>
        <row r="20">
          <cell r="A20" t="str">
            <v>CASH SALES</v>
          </cell>
          <cell r="E20">
            <v>0</v>
          </cell>
        </row>
        <row r="21">
          <cell r="A21" t="str">
            <v>CHARGE SALES</v>
          </cell>
          <cell r="E21">
            <v>0</v>
          </cell>
        </row>
        <row r="22">
          <cell r="A22" t="str">
            <v>RECYCLING SALES</v>
          </cell>
          <cell r="E22">
            <v>0</v>
          </cell>
        </row>
        <row r="23">
          <cell r="A23" t="str">
            <v>OTHER SALES:</v>
          </cell>
        </row>
        <row r="24">
          <cell r="A24" t="str">
            <v xml:space="preserve"> WASTE CARTS</v>
          </cell>
          <cell r="C24">
            <v>0</v>
          </cell>
          <cell r="E24">
            <v>0</v>
          </cell>
        </row>
        <row r="25">
          <cell r="A25" t="str">
            <v xml:space="preserve"> MISC T/S</v>
          </cell>
          <cell r="C25">
            <v>0</v>
          </cell>
          <cell r="E25">
            <v>0</v>
          </cell>
        </row>
        <row r="27">
          <cell r="B27" t="str">
            <v>TOTAL</v>
          </cell>
          <cell r="C27">
            <v>0</v>
          </cell>
          <cell r="D27">
            <v>0</v>
          </cell>
          <cell r="E27">
            <v>0</v>
          </cell>
        </row>
        <row r="29">
          <cell r="A29" t="str">
            <v>DEC 1999:</v>
          </cell>
        </row>
        <row r="30">
          <cell r="A30" t="str">
            <v>T/S SALES</v>
          </cell>
          <cell r="E30">
            <v>0</v>
          </cell>
        </row>
        <row r="31">
          <cell r="A31" t="str">
            <v>CASH SALES</v>
          </cell>
          <cell r="E31">
            <v>0</v>
          </cell>
        </row>
        <row r="32">
          <cell r="A32" t="str">
            <v>CHARGE SALES</v>
          </cell>
          <cell r="E32">
            <v>0</v>
          </cell>
        </row>
        <row r="33">
          <cell r="A33" t="str">
            <v>RECYCLING SALES</v>
          </cell>
          <cell r="E33">
            <v>0</v>
          </cell>
        </row>
        <row r="34">
          <cell r="A34" t="str">
            <v>OTHER SALES:</v>
          </cell>
        </row>
        <row r="35">
          <cell r="A35" t="str">
            <v xml:space="preserve"> WASTE CARTS</v>
          </cell>
          <cell r="C35">
            <v>0</v>
          </cell>
          <cell r="D35">
            <v>0</v>
          </cell>
          <cell r="E35">
            <v>0</v>
          </cell>
        </row>
        <row r="36">
          <cell r="A36" t="str">
            <v xml:space="preserve"> MISC T/S</v>
          </cell>
          <cell r="C36">
            <v>0</v>
          </cell>
          <cell r="D36">
            <v>0</v>
          </cell>
          <cell r="E36">
            <v>0</v>
          </cell>
        </row>
        <row r="38">
          <cell r="B38" t="str">
            <v>TOTAL</v>
          </cell>
          <cell r="C38">
            <v>0</v>
          </cell>
          <cell r="D38">
            <v>0</v>
          </cell>
          <cell r="E38">
            <v>0</v>
          </cell>
        </row>
        <row r="40">
          <cell r="A40" t="str">
            <v>QUARTER TOTAL - 12/31/99:</v>
          </cell>
        </row>
        <row r="41">
          <cell r="A41" t="str">
            <v>T/S SALES</v>
          </cell>
          <cell r="C41">
            <v>0</v>
          </cell>
          <cell r="D41">
            <v>0</v>
          </cell>
          <cell r="E41">
            <v>0</v>
          </cell>
        </row>
        <row r="42">
          <cell r="A42" t="str">
            <v>CASH SALES</v>
          </cell>
          <cell r="C42">
            <v>0</v>
          </cell>
          <cell r="D42">
            <v>0</v>
          </cell>
          <cell r="E42">
            <v>0</v>
          </cell>
        </row>
        <row r="43">
          <cell r="A43" t="str">
            <v>CHARGE SALES</v>
          </cell>
          <cell r="C43">
            <v>0</v>
          </cell>
          <cell r="D43">
            <v>0</v>
          </cell>
          <cell r="E43">
            <v>0</v>
          </cell>
        </row>
        <row r="44">
          <cell r="A44" t="str">
            <v>RECYCLING SALES</v>
          </cell>
          <cell r="C44">
            <v>0</v>
          </cell>
          <cell r="D44">
            <v>0</v>
          </cell>
          <cell r="E44">
            <v>0</v>
          </cell>
        </row>
        <row r="45">
          <cell r="A45" t="str">
            <v>OTHER SALES:</v>
          </cell>
          <cell r="C45">
            <v>0</v>
          </cell>
          <cell r="D45">
            <v>0</v>
          </cell>
        </row>
        <row r="46">
          <cell r="A46" t="str">
            <v xml:space="preserve"> WASTE CARTS</v>
          </cell>
          <cell r="C46">
            <v>645</v>
          </cell>
          <cell r="D46">
            <v>0</v>
          </cell>
          <cell r="E46">
            <v>645</v>
          </cell>
        </row>
        <row r="47">
          <cell r="A47" t="str">
            <v xml:space="preserve"> MISC T/S</v>
          </cell>
          <cell r="C47">
            <v>0</v>
          </cell>
          <cell r="D47">
            <v>0</v>
          </cell>
          <cell r="E47">
            <v>0</v>
          </cell>
        </row>
        <row r="49">
          <cell r="B49" t="str">
            <v>TOTAL</v>
          </cell>
          <cell r="C49">
            <v>645</v>
          </cell>
          <cell r="D49">
            <v>0</v>
          </cell>
          <cell r="E49">
            <v>645</v>
          </cell>
        </row>
      </sheetData>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RS"/>
      <sheetName val="Budget"/>
      <sheetName val="Forecast"/>
      <sheetName val="Internal Rev Growth"/>
      <sheetName val="Rev Roll"/>
      <sheetName val="Intern of Wste"/>
      <sheetName val="Tonnage"/>
      <sheetName val="AR Analysis"/>
      <sheetName val="Cap X"/>
      <sheetName val="Goodwill"/>
      <sheetName val="Other Intangibles"/>
      <sheetName val="Debt Roll"/>
      <sheetName val="Env Liability"/>
      <sheetName val="Census"/>
      <sheetName val="Census Budget"/>
      <sheetName val="Jan"/>
      <sheetName val="Feb"/>
      <sheetName val="Mar"/>
      <sheetName val="Apr"/>
      <sheetName val="May"/>
      <sheetName val="Jun"/>
      <sheetName val="Jul"/>
      <sheetName val="Aug"/>
      <sheetName val="Sep"/>
      <sheetName val="Oct"/>
      <sheetName val="Nov"/>
      <sheetName val="Dec"/>
    </sheetNames>
    <sheetDataSet>
      <sheetData sheetId="0">
        <row r="5">
          <cell r="B5">
            <v>536</v>
          </cell>
        </row>
        <row r="7">
          <cell r="B7" t="str">
            <v>WM Grass Valley/Nevada City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f Rate Sheet"/>
      <sheetName val="ROE"/>
      <sheetName val="CostStudy"/>
      <sheetName val="Pro Forma"/>
      <sheetName val="LURITXPF AVG"/>
      <sheetName val="Price Out"/>
      <sheetName val="Summary Price Out"/>
      <sheetName val="Fly Sheet"/>
      <sheetName val="Comp Report"/>
      <sheetName val="Operations"/>
      <sheetName val="Assumptions"/>
      <sheetName val="Sch 1 - Restate Exp"/>
      <sheetName val="Sch 1, pg 2 - Restated"/>
      <sheetName val="Sch 2 - Forecast Exp"/>
      <sheetName val="Sch 2, pg 2 - Forecast"/>
      <sheetName val="Sch 3 - Reclass Exp"/>
      <sheetName val="Sch 3, pg 2 - Reclass"/>
      <sheetName val="Sch 4 - 12months"/>
      <sheetName val="WorkPapers"/>
      <sheetName val="WP-1 Exp Summary"/>
      <sheetName val="WP-1, pg 2 -  Expense Mat"/>
      <sheetName val="COS"/>
      <sheetName val="Annual Test Year Revenue"/>
      <sheetName val="WP-2 - Summary Depn"/>
      <sheetName val="WP-2. pg 2 -  Depn"/>
      <sheetName val="WP-3 - Labor Analysis"/>
      <sheetName val="WP-3, pg 2 -  Labor Increase"/>
      <sheetName val="WP-3, pg 3 -  Benefits Analysis"/>
      <sheetName val="WP-4 - Vehicle License"/>
      <sheetName val="WP-5 - Dues &amp; Sub"/>
      <sheetName val="WP-6 - CapitalStructure"/>
      <sheetName val="WP-7 - Affiliated "/>
      <sheetName val="WP-8 - Cust Counts (x per wk)"/>
      <sheetName val="WP-9 - Fuel"/>
      <sheetName val="IS-PBC"/>
      <sheetName val="Stud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0">
          <cell r="C10" t="str">
            <v>July</v>
          </cell>
          <cell r="D10" t="str">
            <v>August</v>
          </cell>
          <cell r="E10" t="str">
            <v>September</v>
          </cell>
          <cell r="F10" t="str">
            <v>October</v>
          </cell>
          <cell r="G10" t="str">
            <v>November</v>
          </cell>
          <cell r="H10" t="str">
            <v>December</v>
          </cell>
          <cell r="I10" t="str">
            <v>January</v>
          </cell>
          <cell r="J10" t="str">
            <v>February</v>
          </cell>
          <cell r="K10" t="str">
            <v>March</v>
          </cell>
          <cell r="L10" t="str">
            <v>April</v>
          </cell>
          <cell r="M10" t="str">
            <v>May</v>
          </cell>
          <cell r="N10" t="str">
            <v>June</v>
          </cell>
          <cell r="O10" t="str">
            <v>BOOKS</v>
          </cell>
        </row>
        <row r="11">
          <cell r="B11" t="str">
            <v>REVENUES</v>
          </cell>
        </row>
        <row r="12">
          <cell r="B12" t="str">
            <v>Residential</v>
          </cell>
          <cell r="C12">
            <v>174180.93</v>
          </cell>
          <cell r="D12">
            <v>173280.81</v>
          </cell>
          <cell r="E12">
            <v>173720.66</v>
          </cell>
          <cell r="F12">
            <v>174251.51999999999</v>
          </cell>
          <cell r="G12">
            <v>172742.2</v>
          </cell>
          <cell r="H12">
            <v>178132.76</v>
          </cell>
          <cell r="I12">
            <v>171317.32</v>
          </cell>
          <cell r="J12">
            <v>170743.6</v>
          </cell>
          <cell r="K12">
            <v>175193.55</v>
          </cell>
          <cell r="L12">
            <v>169715.71000000002</v>
          </cell>
          <cell r="M12">
            <v>171741.57</v>
          </cell>
          <cell r="N12">
            <v>172744.06</v>
          </cell>
          <cell r="O12">
            <v>2077764.6900000004</v>
          </cell>
        </row>
        <row r="13">
          <cell r="B13" t="str">
            <v>Commercial</v>
          </cell>
          <cell r="C13">
            <v>47309.79</v>
          </cell>
          <cell r="D13">
            <v>49650.83</v>
          </cell>
          <cell r="E13">
            <v>49046.720000000001</v>
          </cell>
          <cell r="F13">
            <v>51952.58</v>
          </cell>
          <cell r="G13">
            <v>50878.630000000005</v>
          </cell>
          <cell r="H13">
            <v>51199.67</v>
          </cell>
          <cell r="I13">
            <v>50673.659999999996</v>
          </cell>
          <cell r="J13">
            <v>50446.21</v>
          </cell>
          <cell r="K13">
            <v>50125.05</v>
          </cell>
          <cell r="L13">
            <v>50311.41</v>
          </cell>
          <cell r="M13">
            <v>49825.22</v>
          </cell>
          <cell r="N13">
            <v>48109.53</v>
          </cell>
          <cell r="O13">
            <v>599529.29999999993</v>
          </cell>
        </row>
        <row r="14">
          <cell r="B14" t="str">
            <v>Drop Box</v>
          </cell>
          <cell r="C14">
            <v>94770.37</v>
          </cell>
          <cell r="D14">
            <v>83414.399999999994</v>
          </cell>
          <cell r="E14">
            <v>70757</v>
          </cell>
          <cell r="F14">
            <v>93470.47</v>
          </cell>
          <cell r="G14">
            <v>77609.36</v>
          </cell>
          <cell r="H14">
            <v>78412.759999999995</v>
          </cell>
          <cell r="I14">
            <v>84127.209999999992</v>
          </cell>
          <cell r="J14">
            <v>73158.41</v>
          </cell>
          <cell r="K14">
            <v>67670.3</v>
          </cell>
          <cell r="L14">
            <v>146420.00999999998</v>
          </cell>
          <cell r="M14">
            <v>110569.68000000001</v>
          </cell>
          <cell r="N14">
            <v>117378.07</v>
          </cell>
          <cell r="O14">
            <v>1097758.04</v>
          </cell>
        </row>
        <row r="15">
          <cell r="B15" t="str">
            <v>Fuel Surcharge</v>
          </cell>
          <cell r="C15">
            <v>7080.29</v>
          </cell>
          <cell r="D15">
            <v>5415.91</v>
          </cell>
          <cell r="E15">
            <v>3962.36</v>
          </cell>
          <cell r="F15">
            <v>3711.91</v>
          </cell>
          <cell r="G15">
            <v>5004.82</v>
          </cell>
          <cell r="H15">
            <v>6228</v>
          </cell>
          <cell r="I15">
            <v>6504.57</v>
          </cell>
          <cell r="J15">
            <v>5362.94</v>
          </cell>
          <cell r="K15">
            <v>2299.0500000000002</v>
          </cell>
          <cell r="L15">
            <v>0</v>
          </cell>
          <cell r="M15">
            <v>0</v>
          </cell>
          <cell r="N15">
            <v>0</v>
          </cell>
          <cell r="O15">
            <v>45569.850000000006</v>
          </cell>
        </row>
        <row r="16">
          <cell r="B16" t="str">
            <v>Contract Hauling</v>
          </cell>
          <cell r="C16">
            <v>0</v>
          </cell>
          <cell r="D16">
            <v>0</v>
          </cell>
          <cell r="E16">
            <v>0</v>
          </cell>
          <cell r="F16">
            <v>0</v>
          </cell>
          <cell r="G16">
            <v>0</v>
          </cell>
          <cell r="H16">
            <v>0</v>
          </cell>
          <cell r="I16">
            <v>0</v>
          </cell>
          <cell r="J16">
            <v>0</v>
          </cell>
          <cell r="K16">
            <v>0</v>
          </cell>
          <cell r="L16">
            <v>0</v>
          </cell>
          <cell r="M16">
            <v>0</v>
          </cell>
          <cell r="N16">
            <v>0</v>
          </cell>
          <cell r="O16">
            <v>0</v>
          </cell>
        </row>
        <row r="17">
          <cell r="B17" t="str">
            <v>Pass Thru</v>
          </cell>
          <cell r="C17">
            <v>0</v>
          </cell>
          <cell r="D17">
            <v>0</v>
          </cell>
          <cell r="E17">
            <v>0</v>
          </cell>
          <cell r="F17">
            <v>0</v>
          </cell>
          <cell r="G17">
            <v>0</v>
          </cell>
          <cell r="H17">
            <v>0</v>
          </cell>
          <cell r="I17">
            <v>0</v>
          </cell>
          <cell r="J17">
            <v>0</v>
          </cell>
          <cell r="K17">
            <v>0</v>
          </cell>
          <cell r="L17">
            <v>0</v>
          </cell>
          <cell r="M17">
            <v>0</v>
          </cell>
          <cell r="N17">
            <v>0</v>
          </cell>
          <cell r="O17">
            <v>0</v>
          </cell>
        </row>
        <row r="18">
          <cell r="B18" t="str">
            <v>Kalama</v>
          </cell>
          <cell r="C18">
            <v>11685.96</v>
          </cell>
          <cell r="D18">
            <v>27113.64</v>
          </cell>
          <cell r="E18">
            <v>10043.36</v>
          </cell>
          <cell r="F18">
            <v>26012.52</v>
          </cell>
          <cell r="G18">
            <v>10203.26</v>
          </cell>
          <cell r="H18">
            <v>26231.71</v>
          </cell>
          <cell r="I18">
            <v>11775.31</v>
          </cell>
          <cell r="J18">
            <v>25567.59</v>
          </cell>
          <cell r="K18">
            <v>11624</v>
          </cell>
          <cell r="L18">
            <v>24865.22</v>
          </cell>
          <cell r="M18">
            <v>10928.64</v>
          </cell>
          <cell r="N18">
            <v>26085.200000000001</v>
          </cell>
          <cell r="O18">
            <v>222136.40999999997</v>
          </cell>
        </row>
        <row r="19">
          <cell r="B19" t="str">
            <v>Refunds</v>
          </cell>
          <cell r="C19">
            <v>0</v>
          </cell>
          <cell r="D19">
            <v>-293.45</v>
          </cell>
          <cell r="E19">
            <v>-1045.5</v>
          </cell>
          <cell r="F19">
            <v>-1708.6799999999998</v>
          </cell>
          <cell r="G19">
            <v>-1493.08</v>
          </cell>
          <cell r="H19">
            <v>-666.96</v>
          </cell>
          <cell r="I19">
            <v>-645.04</v>
          </cell>
          <cell r="J19">
            <v>0</v>
          </cell>
          <cell r="K19">
            <v>-1047.19</v>
          </cell>
          <cell r="L19">
            <v>-1848.9</v>
          </cell>
          <cell r="M19">
            <v>-900.50000000000011</v>
          </cell>
          <cell r="N19">
            <v>-93.44</v>
          </cell>
          <cell r="O19">
            <v>-9742.74</v>
          </cell>
        </row>
        <row r="20">
          <cell r="C20">
            <v>335027.33999999997</v>
          </cell>
          <cell r="D20">
            <v>338582.14</v>
          </cell>
          <cell r="E20">
            <v>306484.59999999998</v>
          </cell>
          <cell r="F20">
            <v>347690.31999999995</v>
          </cell>
          <cell r="G20">
            <v>314945.19</v>
          </cell>
          <cell r="H20">
            <v>339537.94</v>
          </cell>
          <cell r="I20">
            <v>323753.03000000003</v>
          </cell>
          <cell r="J20">
            <v>325278.75</v>
          </cell>
          <cell r="K20">
            <v>305864.75999999995</v>
          </cell>
          <cell r="L20">
            <v>389463.44999999995</v>
          </cell>
          <cell r="M20">
            <v>342164.61000000004</v>
          </cell>
          <cell r="N20">
            <v>364223.42000000004</v>
          </cell>
          <cell r="O20">
            <v>4033015.5500000003</v>
          </cell>
        </row>
        <row r="22">
          <cell r="B22" t="str">
            <v>OPERATING EXPENSES</v>
          </cell>
        </row>
        <row r="23">
          <cell r="B23" t="str">
            <v>Wages Drivers</v>
          </cell>
          <cell r="C23">
            <v>25914.53</v>
          </cell>
          <cell r="D23">
            <v>25612.28</v>
          </cell>
          <cell r="E23">
            <v>26860.720000000001</v>
          </cell>
          <cell r="F23">
            <v>22905.47</v>
          </cell>
          <cell r="G23">
            <v>24624.27</v>
          </cell>
          <cell r="H23">
            <v>34114.94</v>
          </cell>
          <cell r="I23">
            <v>27945.73</v>
          </cell>
          <cell r="J23">
            <v>27919.93</v>
          </cell>
          <cell r="K23">
            <v>31246.15</v>
          </cell>
          <cell r="L23">
            <v>28708.51</v>
          </cell>
          <cell r="M23">
            <v>30610.31</v>
          </cell>
          <cell r="N23">
            <v>32955.53</v>
          </cell>
          <cell r="O23">
            <v>339418.37</v>
          </cell>
        </row>
        <row r="24">
          <cell r="B24" t="str">
            <v>Wages Drop Box Drivers</v>
          </cell>
          <cell r="C24">
            <v>0</v>
          </cell>
          <cell r="D24">
            <v>0</v>
          </cell>
          <cell r="E24">
            <v>0</v>
          </cell>
          <cell r="F24">
            <v>0</v>
          </cell>
          <cell r="G24">
            <v>0</v>
          </cell>
          <cell r="H24">
            <v>0</v>
          </cell>
          <cell r="I24">
            <v>0</v>
          </cell>
          <cell r="J24">
            <v>0</v>
          </cell>
          <cell r="K24">
            <v>0</v>
          </cell>
          <cell r="L24">
            <v>0</v>
          </cell>
          <cell r="M24">
            <v>0</v>
          </cell>
          <cell r="N24">
            <v>0</v>
          </cell>
          <cell r="O24">
            <v>0</v>
          </cell>
        </row>
        <row r="25">
          <cell r="B25" t="str">
            <v>Wages Mechanics</v>
          </cell>
          <cell r="C25">
            <v>12823.84</v>
          </cell>
          <cell r="D25">
            <v>16758.509999999998</v>
          </cell>
          <cell r="E25">
            <v>16738.03</v>
          </cell>
          <cell r="F25">
            <v>15679.32</v>
          </cell>
          <cell r="G25">
            <v>19706.93</v>
          </cell>
          <cell r="H25">
            <v>19005.95</v>
          </cell>
          <cell r="I25">
            <v>19410.27</v>
          </cell>
          <cell r="J25">
            <v>17054.080000000002</v>
          </cell>
          <cell r="K25">
            <v>20579.61</v>
          </cell>
          <cell r="L25">
            <v>21031.96</v>
          </cell>
          <cell r="M25">
            <v>23542.17</v>
          </cell>
          <cell r="N25">
            <v>21356.76</v>
          </cell>
          <cell r="O25">
            <v>223687.43</v>
          </cell>
        </row>
        <row r="26">
          <cell r="B26" t="str">
            <v>Wages Supervisor</v>
          </cell>
          <cell r="C26">
            <v>0</v>
          </cell>
          <cell r="D26">
            <v>0</v>
          </cell>
          <cell r="E26">
            <v>0</v>
          </cell>
          <cell r="F26">
            <v>0</v>
          </cell>
          <cell r="G26">
            <v>0</v>
          </cell>
          <cell r="H26">
            <v>0</v>
          </cell>
          <cell r="I26">
            <v>0</v>
          </cell>
          <cell r="J26">
            <v>0</v>
          </cell>
          <cell r="K26">
            <v>0</v>
          </cell>
          <cell r="L26">
            <v>0</v>
          </cell>
          <cell r="M26">
            <v>0</v>
          </cell>
          <cell r="N26">
            <v>0</v>
          </cell>
          <cell r="O26">
            <v>0</v>
          </cell>
        </row>
        <row r="27">
          <cell r="B27" t="str">
            <v>Wages Extra Labor</v>
          </cell>
          <cell r="C27">
            <v>6623.09</v>
          </cell>
          <cell r="D27">
            <v>6114.4</v>
          </cell>
          <cell r="E27">
            <v>4761.58</v>
          </cell>
          <cell r="F27">
            <v>1667.53</v>
          </cell>
          <cell r="G27">
            <v>2320.4</v>
          </cell>
          <cell r="H27">
            <v>2540.62</v>
          </cell>
          <cell r="I27">
            <v>218.14</v>
          </cell>
          <cell r="J27">
            <v>248.16</v>
          </cell>
          <cell r="K27">
            <v>326.97000000000003</v>
          </cell>
          <cell r="L27">
            <v>-326.97000000000003</v>
          </cell>
          <cell r="M27">
            <v>0</v>
          </cell>
          <cell r="N27">
            <v>3574.45</v>
          </cell>
          <cell r="O27">
            <v>28068.37</v>
          </cell>
        </row>
        <row r="28">
          <cell r="B28" t="str">
            <v>Fringe Benefits</v>
          </cell>
          <cell r="C28">
            <v>0</v>
          </cell>
          <cell r="D28">
            <v>0</v>
          </cell>
          <cell r="E28">
            <v>0</v>
          </cell>
          <cell r="F28">
            <v>0</v>
          </cell>
          <cell r="G28">
            <v>0</v>
          </cell>
          <cell r="H28">
            <v>0</v>
          </cell>
          <cell r="I28">
            <v>0</v>
          </cell>
          <cell r="J28">
            <v>0</v>
          </cell>
          <cell r="K28">
            <v>0</v>
          </cell>
          <cell r="L28">
            <v>0</v>
          </cell>
          <cell r="M28">
            <v>0</v>
          </cell>
          <cell r="N28">
            <v>0</v>
          </cell>
          <cell r="O28">
            <v>0</v>
          </cell>
        </row>
        <row r="29">
          <cell r="B29" t="str">
            <v>Contract Labor</v>
          </cell>
          <cell r="C29">
            <v>312.95999999999998</v>
          </cell>
          <cell r="D29">
            <v>309</v>
          </cell>
          <cell r="E29">
            <v>0</v>
          </cell>
          <cell r="F29">
            <v>550.20000000000005</v>
          </cell>
          <cell r="G29">
            <v>0</v>
          </cell>
          <cell r="H29">
            <v>0</v>
          </cell>
          <cell r="I29">
            <v>0</v>
          </cell>
          <cell r="J29">
            <v>0</v>
          </cell>
          <cell r="K29">
            <v>0</v>
          </cell>
          <cell r="L29">
            <v>0</v>
          </cell>
          <cell r="M29">
            <v>0</v>
          </cell>
          <cell r="N29">
            <v>0</v>
          </cell>
          <cell r="O29">
            <v>1172.1600000000001</v>
          </cell>
        </row>
        <row r="30">
          <cell r="B30" t="str">
            <v>Maintenance</v>
          </cell>
          <cell r="C30">
            <v>7239.82</v>
          </cell>
          <cell r="D30">
            <v>10680.2</v>
          </cell>
          <cell r="E30">
            <v>7082.9800000000005</v>
          </cell>
          <cell r="F30">
            <v>17263.809999999998</v>
          </cell>
          <cell r="G30">
            <v>6765.65</v>
          </cell>
          <cell r="H30">
            <v>12578.570000000002</v>
          </cell>
          <cell r="I30">
            <v>8705</v>
          </cell>
          <cell r="J30">
            <v>8629.4699999999993</v>
          </cell>
          <cell r="K30">
            <v>12846.37</v>
          </cell>
          <cell r="L30">
            <v>9522.98</v>
          </cell>
          <cell r="M30">
            <v>6152.06</v>
          </cell>
          <cell r="N30">
            <v>12420.72</v>
          </cell>
          <cell r="O30">
            <v>119887.62999999999</v>
          </cell>
        </row>
        <row r="31">
          <cell r="B31" t="str">
            <v>Maintenance/ Cont./Dr Bx</v>
          </cell>
          <cell r="C31">
            <v>0</v>
          </cell>
          <cell r="D31">
            <v>0</v>
          </cell>
          <cell r="E31">
            <v>0</v>
          </cell>
          <cell r="F31">
            <v>410.72</v>
          </cell>
          <cell r="G31">
            <v>1250</v>
          </cell>
          <cell r="H31">
            <v>491.77</v>
          </cell>
          <cell r="I31">
            <v>341.34</v>
          </cell>
          <cell r="J31">
            <v>118.86</v>
          </cell>
          <cell r="K31">
            <v>0</v>
          </cell>
          <cell r="L31">
            <v>1620</v>
          </cell>
          <cell r="M31">
            <v>4860</v>
          </cell>
          <cell r="N31">
            <v>0</v>
          </cell>
          <cell r="O31">
            <v>9092.69</v>
          </cell>
        </row>
        <row r="32">
          <cell r="B32" t="str">
            <v>Truck Rental</v>
          </cell>
          <cell r="C32">
            <v>3000</v>
          </cell>
          <cell r="D32">
            <v>3000</v>
          </cell>
          <cell r="E32">
            <v>3000</v>
          </cell>
          <cell r="F32">
            <v>3000</v>
          </cell>
          <cell r="G32">
            <v>3000</v>
          </cell>
          <cell r="H32">
            <v>3000</v>
          </cell>
          <cell r="I32">
            <v>3000</v>
          </cell>
          <cell r="J32">
            <v>3000</v>
          </cell>
          <cell r="K32">
            <v>3000</v>
          </cell>
          <cell r="L32">
            <v>3000</v>
          </cell>
          <cell r="M32">
            <v>3000</v>
          </cell>
          <cell r="N32">
            <v>3000</v>
          </cell>
          <cell r="O32">
            <v>36000</v>
          </cell>
        </row>
        <row r="33">
          <cell r="B33" t="str">
            <v>Equipment Rent</v>
          </cell>
          <cell r="C33">
            <v>0</v>
          </cell>
          <cell r="D33">
            <v>0</v>
          </cell>
          <cell r="E33">
            <v>0</v>
          </cell>
          <cell r="F33">
            <v>0</v>
          </cell>
          <cell r="G33">
            <v>0</v>
          </cell>
          <cell r="H33">
            <v>0</v>
          </cell>
          <cell r="I33">
            <v>0</v>
          </cell>
          <cell r="J33">
            <v>0</v>
          </cell>
          <cell r="K33">
            <v>0</v>
          </cell>
          <cell r="L33">
            <v>0</v>
          </cell>
          <cell r="M33">
            <v>0</v>
          </cell>
          <cell r="N33">
            <v>0</v>
          </cell>
          <cell r="O33">
            <v>0</v>
          </cell>
        </row>
        <row r="34">
          <cell r="B34" t="str">
            <v>Tires</v>
          </cell>
          <cell r="C34">
            <v>6067.27</v>
          </cell>
          <cell r="D34">
            <v>7800.67</v>
          </cell>
          <cell r="E34">
            <v>6023.77</v>
          </cell>
          <cell r="F34">
            <v>7511.52</v>
          </cell>
          <cell r="G34">
            <v>6007.28</v>
          </cell>
          <cell r="H34">
            <v>10259.75</v>
          </cell>
          <cell r="I34">
            <v>6118.4</v>
          </cell>
          <cell r="J34">
            <v>7359.39</v>
          </cell>
          <cell r="K34">
            <v>10000.81</v>
          </cell>
          <cell r="L34">
            <v>8372.99</v>
          </cell>
          <cell r="M34">
            <v>8042.56</v>
          </cell>
          <cell r="N34">
            <v>7165.97</v>
          </cell>
          <cell r="O34">
            <v>90730.38</v>
          </cell>
        </row>
        <row r="35">
          <cell r="B35" t="str">
            <v>Fuel</v>
          </cell>
          <cell r="C35">
            <v>26792.65</v>
          </cell>
          <cell r="D35">
            <v>28921.18</v>
          </cell>
          <cell r="E35">
            <v>24422.75</v>
          </cell>
          <cell r="F35">
            <v>28974.639999999999</v>
          </cell>
          <cell r="G35">
            <v>29501.34</v>
          </cell>
          <cell r="H35">
            <v>23414.98</v>
          </cell>
          <cell r="I35">
            <v>26385.67</v>
          </cell>
          <cell r="J35">
            <v>25155.59</v>
          </cell>
          <cell r="K35">
            <v>23578.45</v>
          </cell>
          <cell r="L35">
            <v>22344.26</v>
          </cell>
          <cell r="M35">
            <v>27773.759999999998</v>
          </cell>
          <cell r="N35">
            <v>24252.16</v>
          </cell>
          <cell r="O35">
            <v>311517.43</v>
          </cell>
        </row>
        <row r="36">
          <cell r="B36" t="str">
            <v>Contract Hauling</v>
          </cell>
          <cell r="C36">
            <v>0</v>
          </cell>
          <cell r="D36">
            <v>0</v>
          </cell>
          <cell r="E36">
            <v>0</v>
          </cell>
          <cell r="F36">
            <v>0</v>
          </cell>
          <cell r="G36">
            <v>0</v>
          </cell>
          <cell r="H36">
            <v>50197.35</v>
          </cell>
          <cell r="I36">
            <v>0</v>
          </cell>
          <cell r="J36">
            <v>0</v>
          </cell>
          <cell r="K36">
            <v>0</v>
          </cell>
          <cell r="L36">
            <v>59542.7</v>
          </cell>
          <cell r="M36">
            <v>0</v>
          </cell>
          <cell r="N36">
            <v>44344.66</v>
          </cell>
          <cell r="O36">
            <v>154084.71</v>
          </cell>
        </row>
        <row r="37">
          <cell r="B37" t="str">
            <v>Disposal Fees - Cowlitz County</v>
          </cell>
          <cell r="C37">
            <v>44780.83</v>
          </cell>
          <cell r="D37">
            <v>44188.160000000003</v>
          </cell>
          <cell r="E37">
            <v>39947.22</v>
          </cell>
          <cell r="F37">
            <v>46320.47</v>
          </cell>
          <cell r="G37">
            <v>45874.43</v>
          </cell>
          <cell r="H37">
            <v>41319.96</v>
          </cell>
          <cell r="I37">
            <v>42529.11</v>
          </cell>
          <cell r="J37">
            <v>36778.39</v>
          </cell>
          <cell r="K37">
            <v>39433.089999999997</v>
          </cell>
          <cell r="L37">
            <v>44657.21</v>
          </cell>
          <cell r="M37">
            <v>47362.61</v>
          </cell>
          <cell r="N37">
            <v>43503.02</v>
          </cell>
          <cell r="O37">
            <v>516694.50000000006</v>
          </cell>
        </row>
        <row r="38">
          <cell r="B38" t="str">
            <v>Disposal Fees - G-49 Packers</v>
          </cell>
          <cell r="C38">
            <v>5714.76</v>
          </cell>
          <cell r="D38">
            <v>6421.61</v>
          </cell>
          <cell r="E38">
            <v>4966.8900000000003</v>
          </cell>
          <cell r="F38">
            <v>4960.78</v>
          </cell>
          <cell r="G38">
            <v>5678.92</v>
          </cell>
          <cell r="H38">
            <v>4505.8500000000004</v>
          </cell>
          <cell r="I38">
            <v>4919.96</v>
          </cell>
          <cell r="J38">
            <v>1591.94</v>
          </cell>
          <cell r="K38">
            <v>4801.6400000000003</v>
          </cell>
          <cell r="L38">
            <v>4888.91</v>
          </cell>
          <cell r="M38">
            <v>5858.33</v>
          </cell>
          <cell r="N38">
            <v>5663.28</v>
          </cell>
          <cell r="O38">
            <v>59972.869999999995</v>
          </cell>
        </row>
        <row r="39">
          <cell r="B39" t="str">
            <v xml:space="preserve">Disposal Fees - G-49 </v>
          </cell>
          <cell r="C39">
            <v>2077.61</v>
          </cell>
          <cell r="D39">
            <v>1437.55</v>
          </cell>
          <cell r="E39">
            <v>1615.08</v>
          </cell>
          <cell r="F39">
            <v>2195.63</v>
          </cell>
          <cell r="G39">
            <v>2273.08</v>
          </cell>
          <cell r="H39">
            <v>665.8</v>
          </cell>
          <cell r="I39">
            <v>1985.48</v>
          </cell>
          <cell r="J39">
            <v>4490.55</v>
          </cell>
          <cell r="K39">
            <v>1440.9</v>
          </cell>
          <cell r="L39">
            <v>1575.56</v>
          </cell>
          <cell r="M39">
            <v>2304.38</v>
          </cell>
          <cell r="N39">
            <v>2752.72</v>
          </cell>
          <cell r="O39">
            <v>24814.340000000004</v>
          </cell>
        </row>
        <row r="40">
          <cell r="B40" t="str">
            <v>Disposal Fees Pass Thru</v>
          </cell>
          <cell r="C40">
            <v>42374.07</v>
          </cell>
          <cell r="D40">
            <v>34971.360000000001</v>
          </cell>
          <cell r="E40">
            <v>27081.54</v>
          </cell>
          <cell r="F40">
            <v>38805.300000000003</v>
          </cell>
          <cell r="G40">
            <v>31798.17</v>
          </cell>
          <cell r="H40">
            <v>34705.86</v>
          </cell>
          <cell r="I40">
            <v>35911.43</v>
          </cell>
          <cell r="J40">
            <v>31325.59</v>
          </cell>
          <cell r="K40">
            <v>32623.84</v>
          </cell>
          <cell r="L40">
            <v>35705.51</v>
          </cell>
          <cell r="M40">
            <v>35867.86</v>
          </cell>
          <cell r="N40">
            <v>35870.61</v>
          </cell>
          <cell r="O40">
            <v>417041.14</v>
          </cell>
        </row>
        <row r="41">
          <cell r="B41" t="str">
            <v>Stormwater management</v>
          </cell>
          <cell r="C41">
            <v>1000</v>
          </cell>
          <cell r="D41">
            <v>1000</v>
          </cell>
          <cell r="E41">
            <v>1000</v>
          </cell>
          <cell r="F41">
            <v>1000</v>
          </cell>
          <cell r="G41">
            <v>1000</v>
          </cell>
          <cell r="H41">
            <v>1000</v>
          </cell>
          <cell r="I41">
            <v>1000</v>
          </cell>
          <cell r="J41">
            <v>1000</v>
          </cell>
          <cell r="K41">
            <v>1000</v>
          </cell>
          <cell r="L41">
            <v>1000</v>
          </cell>
          <cell r="M41">
            <v>1000</v>
          </cell>
          <cell r="N41">
            <v>1000</v>
          </cell>
          <cell r="O41">
            <v>12000</v>
          </cell>
        </row>
        <row r="42">
          <cell r="B42" t="str">
            <v>Liability Insurance</v>
          </cell>
          <cell r="C42">
            <v>2451.96</v>
          </cell>
          <cell r="D42">
            <v>2451.96</v>
          </cell>
          <cell r="E42">
            <v>2451.96</v>
          </cell>
          <cell r="F42">
            <v>2337.96</v>
          </cell>
          <cell r="G42">
            <v>2451.96</v>
          </cell>
          <cell r="H42">
            <v>2451.96</v>
          </cell>
          <cell r="I42">
            <v>2261.9499999999998</v>
          </cell>
          <cell r="J42">
            <v>2261.9499999999998</v>
          </cell>
          <cell r="K42">
            <v>2261.9499999999998</v>
          </cell>
          <cell r="L42">
            <v>2261.9499999999998</v>
          </cell>
          <cell r="M42">
            <v>2261.9499999999998</v>
          </cell>
          <cell r="N42">
            <v>2261.96</v>
          </cell>
          <cell r="O42">
            <v>28169.47</v>
          </cell>
        </row>
        <row r="43">
          <cell r="B43" t="str">
            <v>Officer Salaries</v>
          </cell>
          <cell r="C43">
            <v>0</v>
          </cell>
          <cell r="D43">
            <v>0</v>
          </cell>
          <cell r="E43">
            <v>0</v>
          </cell>
          <cell r="F43">
            <v>0</v>
          </cell>
          <cell r="G43">
            <v>0</v>
          </cell>
          <cell r="H43">
            <v>0</v>
          </cell>
          <cell r="I43">
            <v>0</v>
          </cell>
          <cell r="J43">
            <v>0</v>
          </cell>
          <cell r="K43">
            <v>0</v>
          </cell>
          <cell r="L43">
            <v>0</v>
          </cell>
          <cell r="M43">
            <v>0</v>
          </cell>
          <cell r="N43">
            <v>0</v>
          </cell>
          <cell r="O43">
            <v>0</v>
          </cell>
        </row>
        <row r="44">
          <cell r="B44" t="str">
            <v>Office Salaries</v>
          </cell>
          <cell r="C44">
            <v>14703.57</v>
          </cell>
          <cell r="D44">
            <v>16008.8</v>
          </cell>
          <cell r="E44">
            <v>18022.36</v>
          </cell>
          <cell r="F44">
            <v>16033.94</v>
          </cell>
          <cell r="G44">
            <v>16714.990000000002</v>
          </cell>
          <cell r="H44">
            <v>18842.7</v>
          </cell>
          <cell r="I44">
            <v>16418.29</v>
          </cell>
          <cell r="J44">
            <v>15327.01</v>
          </cell>
          <cell r="K44">
            <v>17203.59</v>
          </cell>
          <cell r="L44">
            <v>15963.53</v>
          </cell>
          <cell r="M44">
            <v>17123.25</v>
          </cell>
          <cell r="N44">
            <v>18468.03</v>
          </cell>
          <cell r="O44">
            <v>200830.06</v>
          </cell>
        </row>
        <row r="45">
          <cell r="B45" t="str">
            <v>Management Fees</v>
          </cell>
          <cell r="C45">
            <v>15000</v>
          </cell>
          <cell r="D45">
            <v>15000</v>
          </cell>
          <cell r="E45">
            <v>15000</v>
          </cell>
          <cell r="F45">
            <v>15000</v>
          </cell>
          <cell r="G45">
            <v>15000</v>
          </cell>
          <cell r="H45">
            <v>15000</v>
          </cell>
          <cell r="I45">
            <v>15000</v>
          </cell>
          <cell r="J45">
            <v>15000</v>
          </cell>
          <cell r="K45">
            <v>15000</v>
          </cell>
          <cell r="L45">
            <v>15000</v>
          </cell>
          <cell r="M45">
            <v>15000</v>
          </cell>
          <cell r="N45">
            <v>15000</v>
          </cell>
          <cell r="O45">
            <v>180000</v>
          </cell>
        </row>
        <row r="46">
          <cell r="B46" t="str">
            <v>Bad Debt Expense</v>
          </cell>
          <cell r="C46">
            <v>1492.98</v>
          </cell>
          <cell r="D46">
            <v>3927.6699999999992</v>
          </cell>
          <cell r="E46">
            <v>2901.04</v>
          </cell>
          <cell r="F46">
            <v>1615.34</v>
          </cell>
          <cell r="G46">
            <v>3780.5699999999997</v>
          </cell>
          <cell r="H46">
            <v>15379.85</v>
          </cell>
          <cell r="I46">
            <v>8831.99</v>
          </cell>
          <cell r="J46">
            <v>4601.5</v>
          </cell>
          <cell r="K46">
            <v>3034.8</v>
          </cell>
          <cell r="L46">
            <v>-939.91</v>
          </cell>
          <cell r="M46">
            <v>1362.4299999999998</v>
          </cell>
          <cell r="N46">
            <v>4179.01</v>
          </cell>
          <cell r="O46">
            <v>50167.27</v>
          </cell>
        </row>
        <row r="47">
          <cell r="B47" t="str">
            <v>Office Supply</v>
          </cell>
          <cell r="C47">
            <v>4318.51</v>
          </cell>
          <cell r="D47">
            <v>4748.49</v>
          </cell>
          <cell r="E47">
            <v>5046.9399999999996</v>
          </cell>
          <cell r="F47">
            <v>4715.07</v>
          </cell>
          <cell r="G47">
            <v>5303.17</v>
          </cell>
          <cell r="H47">
            <v>6065.01</v>
          </cell>
          <cell r="I47">
            <v>3913.67</v>
          </cell>
          <cell r="J47">
            <v>3599.26</v>
          </cell>
          <cell r="K47">
            <v>3683.92</v>
          </cell>
          <cell r="L47">
            <v>4149.17</v>
          </cell>
          <cell r="M47">
            <v>3015.0299999999997</v>
          </cell>
          <cell r="N47">
            <v>4175.4799999999996</v>
          </cell>
          <cell r="O47">
            <v>52733.72</v>
          </cell>
        </row>
        <row r="48">
          <cell r="B48" t="str">
            <v>Postage</v>
          </cell>
          <cell r="C48">
            <v>350</v>
          </cell>
          <cell r="D48">
            <v>0</v>
          </cell>
          <cell r="E48">
            <v>0</v>
          </cell>
          <cell r="F48">
            <v>350</v>
          </cell>
          <cell r="G48">
            <v>0</v>
          </cell>
          <cell r="H48">
            <v>200</v>
          </cell>
          <cell r="I48">
            <v>0</v>
          </cell>
          <cell r="J48">
            <v>90.47</v>
          </cell>
          <cell r="K48">
            <v>0</v>
          </cell>
          <cell r="L48">
            <v>300</v>
          </cell>
          <cell r="M48">
            <v>94.19</v>
          </cell>
          <cell r="N48">
            <v>300</v>
          </cell>
          <cell r="O48">
            <v>1684.66</v>
          </cell>
        </row>
        <row r="49">
          <cell r="B49" t="str">
            <v>Bank Charges</v>
          </cell>
          <cell r="C49">
            <v>447.54</v>
          </cell>
          <cell r="D49">
            <v>262.07</v>
          </cell>
          <cell r="E49">
            <v>362.1</v>
          </cell>
          <cell r="F49">
            <v>376.24</v>
          </cell>
          <cell r="G49">
            <v>460.67</v>
          </cell>
          <cell r="H49">
            <v>317.61</v>
          </cell>
          <cell r="I49">
            <v>395.2</v>
          </cell>
          <cell r="J49">
            <v>347.85</v>
          </cell>
          <cell r="K49">
            <v>523.35</v>
          </cell>
          <cell r="L49">
            <v>385.77</v>
          </cell>
          <cell r="M49">
            <v>436.54</v>
          </cell>
          <cell r="N49">
            <v>314.5</v>
          </cell>
          <cell r="O49">
            <v>4629.4399999999996</v>
          </cell>
        </row>
        <row r="50">
          <cell r="B50" t="str">
            <v>Maintenance</v>
          </cell>
          <cell r="C50">
            <v>141.12</v>
          </cell>
          <cell r="D50">
            <v>825.32999999999993</v>
          </cell>
          <cell r="E50">
            <v>634.54</v>
          </cell>
          <cell r="F50">
            <v>1633.31</v>
          </cell>
          <cell r="G50">
            <v>499.07</v>
          </cell>
          <cell r="H50">
            <v>221.97</v>
          </cell>
          <cell r="I50">
            <v>857.36</v>
          </cell>
          <cell r="J50">
            <v>0</v>
          </cell>
          <cell r="K50">
            <v>15.95</v>
          </cell>
          <cell r="L50">
            <v>361.08</v>
          </cell>
          <cell r="M50">
            <v>1058.49</v>
          </cell>
          <cell r="N50">
            <v>2850.03</v>
          </cell>
          <cell r="O50">
            <v>9098.25</v>
          </cell>
        </row>
        <row r="51">
          <cell r="B51" t="str">
            <v>Rate Case Expense</v>
          </cell>
          <cell r="C51">
            <v>0</v>
          </cell>
          <cell r="D51">
            <v>0</v>
          </cell>
          <cell r="E51">
            <v>0</v>
          </cell>
          <cell r="F51">
            <v>0</v>
          </cell>
          <cell r="G51">
            <v>0</v>
          </cell>
          <cell r="H51">
            <v>0</v>
          </cell>
          <cell r="I51">
            <v>0</v>
          </cell>
          <cell r="J51">
            <v>0</v>
          </cell>
          <cell r="K51">
            <v>0</v>
          </cell>
          <cell r="L51">
            <v>0</v>
          </cell>
          <cell r="M51">
            <v>0</v>
          </cell>
          <cell r="N51">
            <v>0</v>
          </cell>
          <cell r="O51">
            <v>0</v>
          </cell>
        </row>
        <row r="52">
          <cell r="B52" t="str">
            <v>Accounting</v>
          </cell>
          <cell r="C52">
            <v>377.3</v>
          </cell>
          <cell r="D52">
            <v>2382.6</v>
          </cell>
          <cell r="E52">
            <v>0</v>
          </cell>
          <cell r="F52">
            <v>1852.4</v>
          </cell>
          <cell r="G52">
            <v>271.60000000000002</v>
          </cell>
          <cell r="H52">
            <v>889.4</v>
          </cell>
          <cell r="I52">
            <v>264</v>
          </cell>
          <cell r="J52">
            <v>253</v>
          </cell>
          <cell r="K52">
            <v>0</v>
          </cell>
          <cell r="L52">
            <v>3905.8</v>
          </cell>
          <cell r="M52">
            <v>6436.05</v>
          </cell>
          <cell r="N52">
            <v>1026</v>
          </cell>
          <cell r="O52">
            <v>17658.150000000001</v>
          </cell>
        </row>
        <row r="53">
          <cell r="B53" t="str">
            <v>Legal</v>
          </cell>
          <cell r="C53">
            <v>0</v>
          </cell>
          <cell r="D53">
            <v>277.39999999999998</v>
          </cell>
          <cell r="E53">
            <v>79.2</v>
          </cell>
          <cell r="F53">
            <v>0</v>
          </cell>
          <cell r="G53">
            <v>2725</v>
          </cell>
          <cell r="H53">
            <v>0</v>
          </cell>
          <cell r="I53">
            <v>1100</v>
          </cell>
          <cell r="J53">
            <v>0</v>
          </cell>
          <cell r="K53">
            <v>1125</v>
          </cell>
          <cell r="L53">
            <v>0</v>
          </cell>
          <cell r="M53">
            <v>0</v>
          </cell>
          <cell r="N53">
            <v>1458.33</v>
          </cell>
          <cell r="O53">
            <v>6764.93</v>
          </cell>
        </row>
        <row r="54">
          <cell r="B54" t="str">
            <v>WUTC Fee</v>
          </cell>
          <cell r="C54">
            <v>0</v>
          </cell>
          <cell r="D54">
            <v>0</v>
          </cell>
          <cell r="E54">
            <v>0</v>
          </cell>
          <cell r="F54">
            <v>0</v>
          </cell>
          <cell r="G54">
            <v>0</v>
          </cell>
          <cell r="H54">
            <v>0</v>
          </cell>
          <cell r="I54">
            <v>0</v>
          </cell>
          <cell r="J54">
            <v>0</v>
          </cell>
          <cell r="K54">
            <v>0</v>
          </cell>
          <cell r="L54">
            <v>16778.560000000001</v>
          </cell>
          <cell r="M54">
            <v>30.65</v>
          </cell>
          <cell r="N54">
            <v>0</v>
          </cell>
          <cell r="O54">
            <v>16809.210000000003</v>
          </cell>
        </row>
        <row r="55">
          <cell r="B55" t="str">
            <v>Franchise</v>
          </cell>
          <cell r="C55">
            <v>761.15</v>
          </cell>
          <cell r="D55">
            <v>588.66</v>
          </cell>
          <cell r="E55">
            <v>485.63</v>
          </cell>
          <cell r="F55">
            <v>716.57</v>
          </cell>
          <cell r="G55">
            <v>665.06</v>
          </cell>
          <cell r="H55">
            <v>624.52</v>
          </cell>
          <cell r="I55">
            <v>668.46</v>
          </cell>
          <cell r="J55">
            <v>736.87</v>
          </cell>
          <cell r="K55">
            <v>640.67999999999995</v>
          </cell>
          <cell r="L55">
            <v>572.41</v>
          </cell>
          <cell r="M55">
            <v>686.89</v>
          </cell>
          <cell r="N55">
            <v>564</v>
          </cell>
          <cell r="O55">
            <v>7710.9000000000005</v>
          </cell>
        </row>
        <row r="56">
          <cell r="B56" t="str">
            <v>Communications</v>
          </cell>
          <cell r="C56">
            <v>1485.08</v>
          </cell>
          <cell r="D56">
            <v>1681.71</v>
          </cell>
          <cell r="E56">
            <v>1611.77</v>
          </cell>
          <cell r="F56">
            <v>1923.83</v>
          </cell>
          <cell r="G56">
            <v>1462.07</v>
          </cell>
          <cell r="H56">
            <v>3733.84</v>
          </cell>
          <cell r="I56">
            <v>1723.96</v>
          </cell>
          <cell r="J56">
            <v>442.29</v>
          </cell>
          <cell r="K56">
            <v>1595.51</v>
          </cell>
          <cell r="L56">
            <v>1087.24</v>
          </cell>
          <cell r="M56">
            <v>1114.52</v>
          </cell>
          <cell r="N56">
            <v>1295.8</v>
          </cell>
          <cell r="O56">
            <v>19157.62</v>
          </cell>
        </row>
        <row r="57">
          <cell r="B57" t="str">
            <v>Utilities</v>
          </cell>
          <cell r="C57">
            <v>3540.79</v>
          </cell>
          <cell r="D57">
            <v>4687.87</v>
          </cell>
          <cell r="E57">
            <v>5805.68</v>
          </cell>
          <cell r="F57">
            <v>6407.79</v>
          </cell>
          <cell r="G57">
            <v>6200.55</v>
          </cell>
          <cell r="H57">
            <v>3914.38</v>
          </cell>
          <cell r="I57">
            <v>5517.2</v>
          </cell>
          <cell r="J57">
            <v>5876.54</v>
          </cell>
          <cell r="K57">
            <v>2912.57</v>
          </cell>
          <cell r="L57">
            <v>4981.25</v>
          </cell>
          <cell r="M57">
            <v>5160.37</v>
          </cell>
          <cell r="N57">
            <v>4818.08</v>
          </cell>
          <cell r="O57">
            <v>59823.070000000007</v>
          </cell>
        </row>
        <row r="58">
          <cell r="B58" t="str">
            <v>Laundry/Uniforms</v>
          </cell>
          <cell r="C58">
            <v>1759.71</v>
          </cell>
          <cell r="D58">
            <v>2344.33</v>
          </cell>
          <cell r="E58">
            <v>2202.5700000000002</v>
          </cell>
          <cell r="F58">
            <v>2348.59</v>
          </cell>
          <cell r="G58">
            <v>2092.77</v>
          </cell>
          <cell r="H58">
            <v>2451.9899999999998</v>
          </cell>
          <cell r="I58">
            <v>2760.65</v>
          </cell>
          <cell r="J58">
            <v>1809.44</v>
          </cell>
          <cell r="K58">
            <v>0</v>
          </cell>
          <cell r="L58">
            <v>872.81</v>
          </cell>
          <cell r="M58">
            <v>540.57000000000005</v>
          </cell>
          <cell r="N58">
            <v>0</v>
          </cell>
          <cell r="O58">
            <v>19183.43</v>
          </cell>
        </row>
        <row r="59">
          <cell r="B59" t="str">
            <v>Miscellaneous</v>
          </cell>
          <cell r="C59">
            <v>0</v>
          </cell>
          <cell r="D59">
            <v>0</v>
          </cell>
          <cell r="E59">
            <v>0</v>
          </cell>
          <cell r="F59">
            <v>0</v>
          </cell>
          <cell r="G59">
            <v>0</v>
          </cell>
          <cell r="H59">
            <v>0</v>
          </cell>
          <cell r="I59">
            <v>0</v>
          </cell>
          <cell r="J59">
            <v>0</v>
          </cell>
          <cell r="K59">
            <v>0</v>
          </cell>
          <cell r="L59">
            <v>0</v>
          </cell>
          <cell r="M59">
            <v>0</v>
          </cell>
          <cell r="N59">
            <v>0</v>
          </cell>
          <cell r="O59">
            <v>0</v>
          </cell>
        </row>
        <row r="60">
          <cell r="B60" t="str">
            <v>Dues and Subscriptions</v>
          </cell>
          <cell r="C60">
            <v>1300</v>
          </cell>
          <cell r="D60">
            <v>1300</v>
          </cell>
          <cell r="E60">
            <v>1300</v>
          </cell>
          <cell r="F60">
            <v>1727.23</v>
          </cell>
          <cell r="G60">
            <v>1726.48</v>
          </cell>
          <cell r="H60">
            <v>1446.29</v>
          </cell>
          <cell r="I60">
            <v>1300</v>
          </cell>
          <cell r="J60">
            <v>1300</v>
          </cell>
          <cell r="K60">
            <v>1300</v>
          </cell>
          <cell r="L60">
            <v>1300</v>
          </cell>
          <cell r="M60">
            <v>1300</v>
          </cell>
          <cell r="N60">
            <v>1300</v>
          </cell>
          <cell r="O60">
            <v>16600</v>
          </cell>
        </row>
        <row r="61">
          <cell r="B61" t="str">
            <v>Dues Non-deductible</v>
          </cell>
          <cell r="C61">
            <v>0</v>
          </cell>
          <cell r="D61">
            <v>0</v>
          </cell>
          <cell r="E61">
            <v>1100</v>
          </cell>
          <cell r="F61">
            <v>0</v>
          </cell>
          <cell r="G61">
            <v>600</v>
          </cell>
          <cell r="H61">
            <v>172.16</v>
          </cell>
          <cell r="I61">
            <v>441.62</v>
          </cell>
          <cell r="J61">
            <v>0</v>
          </cell>
          <cell r="K61">
            <v>0</v>
          </cell>
          <cell r="L61">
            <v>428.63</v>
          </cell>
          <cell r="M61">
            <v>441.38</v>
          </cell>
          <cell r="N61">
            <v>498.28</v>
          </cell>
          <cell r="O61">
            <v>3682.0700000000006</v>
          </cell>
        </row>
        <row r="62">
          <cell r="B62" t="str">
            <v>Travel</v>
          </cell>
          <cell r="C62">
            <v>0</v>
          </cell>
          <cell r="D62">
            <v>0</v>
          </cell>
          <cell r="E62">
            <v>0</v>
          </cell>
          <cell r="F62">
            <v>0</v>
          </cell>
          <cell r="G62">
            <v>0</v>
          </cell>
          <cell r="H62">
            <v>0</v>
          </cell>
          <cell r="I62">
            <v>717.44</v>
          </cell>
          <cell r="J62">
            <v>0</v>
          </cell>
          <cell r="K62">
            <v>0</v>
          </cell>
          <cell r="L62">
            <v>0</v>
          </cell>
          <cell r="M62">
            <v>0</v>
          </cell>
          <cell r="N62">
            <v>0</v>
          </cell>
          <cell r="O62">
            <v>717.44</v>
          </cell>
        </row>
        <row r="63">
          <cell r="B63" t="str">
            <v>Seminars</v>
          </cell>
          <cell r="C63">
            <v>0</v>
          </cell>
          <cell r="D63">
            <v>0</v>
          </cell>
          <cell r="E63">
            <v>0</v>
          </cell>
          <cell r="F63">
            <v>1315</v>
          </cell>
          <cell r="G63">
            <v>1325</v>
          </cell>
          <cell r="H63">
            <v>0</v>
          </cell>
          <cell r="I63">
            <v>0</v>
          </cell>
          <cell r="J63">
            <v>0</v>
          </cell>
          <cell r="K63">
            <v>0</v>
          </cell>
          <cell r="L63">
            <v>0</v>
          </cell>
          <cell r="M63">
            <v>750</v>
          </cell>
          <cell r="N63">
            <v>2580</v>
          </cell>
          <cell r="O63">
            <v>5970</v>
          </cell>
        </row>
        <row r="64">
          <cell r="B64" t="str">
            <v>Meals and Entertainment</v>
          </cell>
          <cell r="C64">
            <v>0</v>
          </cell>
          <cell r="D64">
            <v>0</v>
          </cell>
          <cell r="E64">
            <v>28.48</v>
          </cell>
          <cell r="F64">
            <v>0</v>
          </cell>
          <cell r="G64">
            <v>0</v>
          </cell>
          <cell r="H64">
            <v>0</v>
          </cell>
          <cell r="I64">
            <v>120</v>
          </cell>
          <cell r="J64">
            <v>0</v>
          </cell>
          <cell r="K64">
            <v>0</v>
          </cell>
          <cell r="L64">
            <v>0</v>
          </cell>
          <cell r="M64">
            <v>0</v>
          </cell>
          <cell r="N64">
            <v>0</v>
          </cell>
          <cell r="O64">
            <v>148.47999999999999</v>
          </cell>
        </row>
        <row r="65">
          <cell r="B65" t="str">
            <v>Advertising</v>
          </cell>
          <cell r="C65">
            <v>118.55</v>
          </cell>
          <cell r="D65">
            <v>212.95</v>
          </cell>
          <cell r="E65">
            <v>118.55</v>
          </cell>
          <cell r="F65">
            <v>118.55</v>
          </cell>
          <cell r="G65">
            <v>118.55</v>
          </cell>
          <cell r="H65">
            <v>158.43</v>
          </cell>
          <cell r="I65">
            <v>245.39</v>
          </cell>
          <cell r="J65">
            <v>118.55</v>
          </cell>
          <cell r="K65">
            <v>118.55</v>
          </cell>
          <cell r="L65">
            <v>118.55</v>
          </cell>
          <cell r="M65">
            <v>410.83</v>
          </cell>
          <cell r="N65">
            <v>124.7</v>
          </cell>
          <cell r="O65">
            <v>1982.1499999999996</v>
          </cell>
        </row>
        <row r="66">
          <cell r="B66" t="str">
            <v>Truck License</v>
          </cell>
          <cell r="C66">
            <v>92.75</v>
          </cell>
          <cell r="D66">
            <v>0</v>
          </cell>
          <cell r="E66">
            <v>1548</v>
          </cell>
          <cell r="F66">
            <v>735</v>
          </cell>
          <cell r="G66">
            <v>1599</v>
          </cell>
          <cell r="H66">
            <v>0</v>
          </cell>
          <cell r="I66">
            <v>798</v>
          </cell>
          <cell r="J66">
            <v>126</v>
          </cell>
          <cell r="K66">
            <v>1416</v>
          </cell>
          <cell r="L66">
            <v>718</v>
          </cell>
          <cell r="M66">
            <v>0</v>
          </cell>
          <cell r="N66">
            <v>80.75</v>
          </cell>
          <cell r="O66">
            <v>7113.5</v>
          </cell>
        </row>
        <row r="67">
          <cell r="B67" t="str">
            <v>Taxes and licensing</v>
          </cell>
          <cell r="C67">
            <v>0</v>
          </cell>
          <cell r="D67">
            <v>0</v>
          </cell>
          <cell r="E67">
            <v>0</v>
          </cell>
          <cell r="F67">
            <v>0</v>
          </cell>
          <cell r="G67">
            <v>0</v>
          </cell>
          <cell r="H67">
            <v>0</v>
          </cell>
          <cell r="I67">
            <v>0</v>
          </cell>
          <cell r="J67">
            <v>0</v>
          </cell>
          <cell r="K67">
            <v>0</v>
          </cell>
          <cell r="L67">
            <v>0</v>
          </cell>
          <cell r="M67">
            <v>0</v>
          </cell>
          <cell r="N67">
            <v>0</v>
          </cell>
          <cell r="O67">
            <v>0</v>
          </cell>
        </row>
        <row r="68">
          <cell r="B68" t="str">
            <v>Permits</v>
          </cell>
          <cell r="C68">
            <v>45</v>
          </cell>
          <cell r="D68">
            <v>69</v>
          </cell>
          <cell r="E68">
            <v>0</v>
          </cell>
          <cell r="F68">
            <v>0</v>
          </cell>
          <cell r="G68">
            <v>0</v>
          </cell>
          <cell r="H68">
            <v>113.92</v>
          </cell>
          <cell r="I68">
            <v>0</v>
          </cell>
          <cell r="J68">
            <v>0</v>
          </cell>
          <cell r="K68">
            <v>0</v>
          </cell>
          <cell r="L68">
            <v>0</v>
          </cell>
          <cell r="M68">
            <v>48</v>
          </cell>
          <cell r="N68">
            <v>0</v>
          </cell>
          <cell r="O68">
            <v>275.92</v>
          </cell>
        </row>
        <row r="69">
          <cell r="B69" t="str">
            <v>Contributions</v>
          </cell>
          <cell r="C69">
            <v>0</v>
          </cell>
          <cell r="D69">
            <v>0</v>
          </cell>
          <cell r="E69">
            <v>0</v>
          </cell>
          <cell r="F69">
            <v>0</v>
          </cell>
          <cell r="G69">
            <v>0</v>
          </cell>
          <cell r="H69">
            <v>0</v>
          </cell>
          <cell r="I69">
            <v>0</v>
          </cell>
          <cell r="J69">
            <v>100</v>
          </cell>
          <cell r="K69">
            <v>0</v>
          </cell>
          <cell r="L69">
            <v>750</v>
          </cell>
          <cell r="M69">
            <v>0</v>
          </cell>
          <cell r="N69">
            <v>300</v>
          </cell>
          <cell r="O69">
            <v>1150</v>
          </cell>
        </row>
        <row r="70">
          <cell r="B70" t="str">
            <v>B &amp; O Tax</v>
          </cell>
          <cell r="C70">
            <v>4485.3100000000004</v>
          </cell>
          <cell r="D70">
            <v>4316.3200000000006</v>
          </cell>
          <cell r="E70">
            <v>4219.34</v>
          </cell>
          <cell r="F70">
            <v>4511.91</v>
          </cell>
          <cell r="G70">
            <v>4344.54</v>
          </cell>
          <cell r="H70">
            <v>9459.91</v>
          </cell>
          <cell r="I70">
            <v>4372.21</v>
          </cell>
          <cell r="J70">
            <v>5016.0600000000004</v>
          </cell>
          <cell r="K70">
            <v>4073.7200000000003</v>
          </cell>
          <cell r="L70">
            <v>7179.7800000000007</v>
          </cell>
          <cell r="M70">
            <v>12349.94</v>
          </cell>
          <cell r="N70">
            <v>6934.43</v>
          </cell>
          <cell r="O70">
            <v>71263.47</v>
          </cell>
        </row>
        <row r="71">
          <cell r="B71" t="str">
            <v>Land Rent</v>
          </cell>
          <cell r="C71">
            <v>11500</v>
          </cell>
          <cell r="D71">
            <v>11500</v>
          </cell>
          <cell r="E71">
            <v>11500</v>
          </cell>
          <cell r="F71">
            <v>11500</v>
          </cell>
          <cell r="G71">
            <v>11500</v>
          </cell>
          <cell r="H71">
            <v>11500</v>
          </cell>
          <cell r="I71">
            <v>11500</v>
          </cell>
          <cell r="J71">
            <v>11500</v>
          </cell>
          <cell r="K71">
            <v>11500</v>
          </cell>
          <cell r="L71">
            <v>11500</v>
          </cell>
          <cell r="M71">
            <v>11500</v>
          </cell>
          <cell r="N71">
            <v>11500</v>
          </cell>
          <cell r="O71">
            <v>138000</v>
          </cell>
        </row>
        <row r="72">
          <cell r="B72" t="str">
            <v>Computer Expense</v>
          </cell>
          <cell r="C72">
            <v>0</v>
          </cell>
          <cell r="D72">
            <v>698.39</v>
          </cell>
          <cell r="E72">
            <v>0</v>
          </cell>
          <cell r="F72">
            <v>1298.3900000000001</v>
          </cell>
          <cell r="G72">
            <v>0</v>
          </cell>
          <cell r="H72">
            <v>1198.3900000000001</v>
          </cell>
          <cell r="I72">
            <v>232.8</v>
          </cell>
          <cell r="J72">
            <v>0</v>
          </cell>
          <cell r="K72">
            <v>698.39</v>
          </cell>
          <cell r="L72">
            <v>590</v>
          </cell>
          <cell r="M72">
            <v>232.8</v>
          </cell>
          <cell r="N72">
            <v>232.95</v>
          </cell>
          <cell r="O72">
            <v>5182.1100000000006</v>
          </cell>
        </row>
        <row r="73">
          <cell r="B73" t="str">
            <v>Workmen’s Comp</v>
          </cell>
          <cell r="C73">
            <v>0</v>
          </cell>
          <cell r="D73">
            <v>566.74</v>
          </cell>
          <cell r="E73">
            <v>10778.8</v>
          </cell>
          <cell r="F73">
            <v>0</v>
          </cell>
          <cell r="G73">
            <v>592.83000000000004</v>
          </cell>
          <cell r="H73">
            <v>9930.74</v>
          </cell>
          <cell r="I73">
            <v>0</v>
          </cell>
          <cell r="J73">
            <v>546.19000000000005</v>
          </cell>
          <cell r="K73">
            <v>10546.72</v>
          </cell>
          <cell r="L73">
            <v>580.07000000000005</v>
          </cell>
          <cell r="M73">
            <v>0</v>
          </cell>
          <cell r="N73">
            <v>2439.7600000000002</v>
          </cell>
          <cell r="O73">
            <v>35981.85</v>
          </cell>
        </row>
        <row r="74">
          <cell r="B74" t="str">
            <v>Payroll Taxes</v>
          </cell>
          <cell r="C74">
            <v>4840.6099999999997</v>
          </cell>
          <cell r="D74">
            <v>4829.1499999999996</v>
          </cell>
          <cell r="E74">
            <v>6169.2699999999995</v>
          </cell>
          <cell r="F74">
            <v>4390.2299999999996</v>
          </cell>
          <cell r="G74">
            <v>4742.8900000000003</v>
          </cell>
          <cell r="H74">
            <v>6197.079999999999</v>
          </cell>
          <cell r="I74">
            <v>5185.53</v>
          </cell>
          <cell r="J74">
            <v>4505.6099999999997</v>
          </cell>
          <cell r="K74">
            <v>8214.2199999999993</v>
          </cell>
          <cell r="L74">
            <v>5069.12</v>
          </cell>
          <cell r="M74">
            <v>5299.01</v>
          </cell>
          <cell r="N74">
            <v>7884.2300000000005</v>
          </cell>
          <cell r="O74">
            <v>67326.95</v>
          </cell>
        </row>
        <row r="75">
          <cell r="B75" t="str">
            <v>Employee Relations</v>
          </cell>
          <cell r="C75">
            <v>1255.4100000000001</v>
          </cell>
          <cell r="D75">
            <v>1846.92</v>
          </cell>
          <cell r="E75">
            <v>1509.96</v>
          </cell>
          <cell r="F75">
            <v>3349.65</v>
          </cell>
          <cell r="G75">
            <v>3552.83</v>
          </cell>
          <cell r="H75">
            <v>4626.29</v>
          </cell>
          <cell r="I75">
            <v>1299.8</v>
          </cell>
          <cell r="J75">
            <v>1088</v>
          </cell>
          <cell r="K75">
            <v>1381.25</v>
          </cell>
          <cell r="L75">
            <v>1075</v>
          </cell>
          <cell r="M75">
            <v>1562.01</v>
          </cell>
          <cell r="N75">
            <v>1392.5</v>
          </cell>
          <cell r="O75">
            <v>23939.62</v>
          </cell>
        </row>
        <row r="76">
          <cell r="B76" t="str">
            <v>Life Insurance</v>
          </cell>
          <cell r="C76">
            <v>0</v>
          </cell>
          <cell r="D76">
            <v>0</v>
          </cell>
          <cell r="E76">
            <v>0</v>
          </cell>
          <cell r="F76">
            <v>0</v>
          </cell>
          <cell r="G76">
            <v>0</v>
          </cell>
          <cell r="H76">
            <v>0</v>
          </cell>
          <cell r="I76">
            <v>73.099999999999994</v>
          </cell>
          <cell r="J76">
            <v>73.099999999999994</v>
          </cell>
          <cell r="K76">
            <v>0</v>
          </cell>
          <cell r="L76">
            <v>167.7</v>
          </cell>
          <cell r="M76">
            <v>55.9</v>
          </cell>
          <cell r="N76">
            <v>77.400000000000006</v>
          </cell>
          <cell r="O76">
            <v>447.19999999999993</v>
          </cell>
        </row>
        <row r="77">
          <cell r="B77" t="str">
            <v>Counseling Services</v>
          </cell>
          <cell r="C77">
            <v>154.38</v>
          </cell>
          <cell r="D77">
            <v>154.38</v>
          </cell>
          <cell r="E77">
            <v>154.38</v>
          </cell>
          <cell r="F77">
            <v>154.38</v>
          </cell>
          <cell r="G77">
            <v>154.38</v>
          </cell>
          <cell r="H77">
            <v>154.38</v>
          </cell>
          <cell r="I77">
            <v>154.38</v>
          </cell>
          <cell r="J77">
            <v>154.38</v>
          </cell>
          <cell r="K77">
            <v>154.38</v>
          </cell>
          <cell r="L77">
            <v>154.38</v>
          </cell>
          <cell r="M77">
            <v>154.38</v>
          </cell>
          <cell r="N77">
            <v>154.38</v>
          </cell>
          <cell r="O77">
            <v>1852.5600000000004</v>
          </cell>
        </row>
        <row r="78">
          <cell r="B78" t="str">
            <v>Employee Medical Insurance</v>
          </cell>
          <cell r="C78">
            <v>8800.4399999999987</v>
          </cell>
          <cell r="D78">
            <v>7888.28</v>
          </cell>
          <cell r="E78">
            <v>7891.97</v>
          </cell>
          <cell r="F78">
            <v>8035.21</v>
          </cell>
          <cell r="G78">
            <v>8035.21</v>
          </cell>
          <cell r="H78">
            <v>318</v>
          </cell>
          <cell r="I78">
            <v>16953.82</v>
          </cell>
          <cell r="J78">
            <v>9964.0600000000013</v>
          </cell>
          <cell r="K78">
            <v>10237.189999999999</v>
          </cell>
          <cell r="L78">
            <v>8322.56</v>
          </cell>
          <cell r="M78">
            <v>13934.380000000001</v>
          </cell>
          <cell r="N78">
            <v>8637.33</v>
          </cell>
          <cell r="O78">
            <v>109018.45000000001</v>
          </cell>
        </row>
        <row r="79">
          <cell r="B79" t="str">
            <v>Property Taxes</v>
          </cell>
          <cell r="C79">
            <v>0</v>
          </cell>
          <cell r="D79">
            <v>0</v>
          </cell>
          <cell r="E79">
            <v>0</v>
          </cell>
          <cell r="F79">
            <v>6400.86</v>
          </cell>
          <cell r="G79">
            <v>0</v>
          </cell>
          <cell r="H79">
            <v>0</v>
          </cell>
          <cell r="I79">
            <v>0</v>
          </cell>
          <cell r="J79">
            <v>0</v>
          </cell>
          <cell r="K79">
            <v>0</v>
          </cell>
          <cell r="L79">
            <v>5728.36</v>
          </cell>
          <cell r="M79">
            <v>0</v>
          </cell>
          <cell r="N79">
            <v>0</v>
          </cell>
          <cell r="O79">
            <v>12129.22</v>
          </cell>
        </row>
        <row r="80">
          <cell r="B80" t="str">
            <v>Drug Testing</v>
          </cell>
          <cell r="C80">
            <v>165.5</v>
          </cell>
          <cell r="D80">
            <v>38.5</v>
          </cell>
          <cell r="E80">
            <v>55</v>
          </cell>
          <cell r="F80">
            <v>341</v>
          </cell>
          <cell r="G80">
            <v>20</v>
          </cell>
          <cell r="H80">
            <v>180</v>
          </cell>
          <cell r="I80">
            <v>106.5</v>
          </cell>
          <cell r="J80">
            <v>20</v>
          </cell>
          <cell r="K80">
            <v>0</v>
          </cell>
          <cell r="L80">
            <v>64</v>
          </cell>
          <cell r="M80">
            <v>93.5</v>
          </cell>
          <cell r="N80">
            <v>231.5</v>
          </cell>
          <cell r="O80">
            <v>1315.5</v>
          </cell>
        </row>
        <row r="81">
          <cell r="B81" t="str">
            <v>SEP Benefits</v>
          </cell>
          <cell r="C81">
            <v>3529.52</v>
          </cell>
          <cell r="D81">
            <v>3668.15</v>
          </cell>
          <cell r="E81">
            <v>3758.64</v>
          </cell>
          <cell r="F81">
            <v>3570.71</v>
          </cell>
          <cell r="G81">
            <v>3779.68</v>
          </cell>
          <cell r="H81">
            <v>4339.07</v>
          </cell>
          <cell r="I81">
            <v>4392.53</v>
          </cell>
          <cell r="J81">
            <v>3404.41</v>
          </cell>
          <cell r="K81">
            <v>3760.32</v>
          </cell>
          <cell r="L81">
            <v>3785.55</v>
          </cell>
          <cell r="M81">
            <v>3928.97</v>
          </cell>
          <cell r="N81">
            <v>3469.85</v>
          </cell>
          <cell r="O81">
            <v>45387.4</v>
          </cell>
        </row>
        <row r="82">
          <cell r="B82" t="str">
            <v>Interest</v>
          </cell>
          <cell r="C82">
            <v>3616.12</v>
          </cell>
          <cell r="D82">
            <v>3552.65</v>
          </cell>
          <cell r="E82">
            <v>3488.85</v>
          </cell>
          <cell r="F82">
            <v>3424.74</v>
          </cell>
          <cell r="G82">
            <v>3600.3</v>
          </cell>
          <cell r="H82">
            <v>14536.76</v>
          </cell>
          <cell r="I82">
            <v>3230.46</v>
          </cell>
          <cell r="J82">
            <v>3165.05</v>
          </cell>
          <cell r="K82">
            <v>3099.31</v>
          </cell>
          <cell r="L82">
            <v>3033.25</v>
          </cell>
          <cell r="M82">
            <v>2966.85</v>
          </cell>
          <cell r="N82">
            <v>2900.14</v>
          </cell>
          <cell r="O82">
            <v>50614.479999999996</v>
          </cell>
        </row>
        <row r="83">
          <cell r="B83" t="str">
            <v>Freight</v>
          </cell>
          <cell r="C83">
            <v>0</v>
          </cell>
          <cell r="D83">
            <v>0</v>
          </cell>
          <cell r="E83">
            <v>0</v>
          </cell>
          <cell r="F83">
            <v>0</v>
          </cell>
          <cell r="G83">
            <v>288.3</v>
          </cell>
          <cell r="H83">
            <v>176.07</v>
          </cell>
          <cell r="I83">
            <v>0</v>
          </cell>
          <cell r="J83">
            <v>41.14</v>
          </cell>
          <cell r="K83">
            <v>0</v>
          </cell>
          <cell r="L83">
            <v>0</v>
          </cell>
          <cell r="M83">
            <v>0</v>
          </cell>
          <cell r="N83">
            <v>0</v>
          </cell>
          <cell r="O83">
            <v>505.51</v>
          </cell>
        </row>
        <row r="84">
          <cell r="B84" t="str">
            <v>Consulting</v>
          </cell>
          <cell r="C84">
            <v>0</v>
          </cell>
          <cell r="D84">
            <v>4164</v>
          </cell>
          <cell r="E84">
            <v>0</v>
          </cell>
          <cell r="F84">
            <v>2138.5</v>
          </cell>
          <cell r="G84">
            <v>2401</v>
          </cell>
          <cell r="H84">
            <v>3838.5</v>
          </cell>
          <cell r="I84">
            <v>1076</v>
          </cell>
          <cell r="J84">
            <v>2463.5</v>
          </cell>
          <cell r="K84">
            <v>2163.5</v>
          </cell>
          <cell r="L84">
            <v>2176</v>
          </cell>
          <cell r="M84">
            <v>1819.75</v>
          </cell>
          <cell r="N84">
            <v>1732.25</v>
          </cell>
          <cell r="O84">
            <v>23973</v>
          </cell>
        </row>
        <row r="85">
          <cell r="B85" t="str">
            <v>Safety Equipment Expense</v>
          </cell>
          <cell r="C85">
            <v>728.2</v>
          </cell>
          <cell r="D85">
            <v>1079.05</v>
          </cell>
          <cell r="E85">
            <v>83.08</v>
          </cell>
          <cell r="F85">
            <v>2228.91</v>
          </cell>
          <cell r="G85">
            <v>304.52999999999997</v>
          </cell>
          <cell r="H85">
            <v>1061</v>
          </cell>
          <cell r="I85">
            <v>264.56</v>
          </cell>
          <cell r="J85">
            <v>-241.69</v>
          </cell>
          <cell r="K85">
            <v>716.53</v>
          </cell>
          <cell r="L85">
            <v>105.85</v>
          </cell>
          <cell r="M85">
            <v>1225.6300000000001</v>
          </cell>
          <cell r="N85">
            <v>386.26</v>
          </cell>
          <cell r="O85">
            <v>7941.9100000000008</v>
          </cell>
        </row>
        <row r="86">
          <cell r="B86" t="str">
            <v>Depreciation</v>
          </cell>
          <cell r="C86">
            <v>19219.580000000002</v>
          </cell>
          <cell r="D86">
            <v>19219.580000000002</v>
          </cell>
          <cell r="E86">
            <v>19219.580000000002</v>
          </cell>
          <cell r="F86">
            <v>19219.670000000002</v>
          </cell>
          <cell r="G86">
            <v>19219.580000000002</v>
          </cell>
          <cell r="H86">
            <v>19558.099999999999</v>
          </cell>
          <cell r="I86">
            <v>19247.79</v>
          </cell>
          <cell r="J86">
            <v>19247.79</v>
          </cell>
          <cell r="K86">
            <v>19247.79</v>
          </cell>
          <cell r="L86">
            <v>22142.720000000001</v>
          </cell>
          <cell r="M86">
            <v>22142.720000000001</v>
          </cell>
          <cell r="N86">
            <v>30827.510000000002</v>
          </cell>
          <cell r="O86">
            <v>248512.41000000003</v>
          </cell>
        </row>
      </sheetData>
      <sheetData sheetId="18"/>
      <sheetData sheetId="19"/>
      <sheetData sheetId="20"/>
      <sheetData sheetId="21"/>
      <sheetData sheetId="22">
        <row r="30">
          <cell r="J30">
            <v>2646.7177352709273</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row r="39">
          <cell r="J39">
            <v>0.96812272987956427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me"/>
      <sheetName val="Amortization Table"/>
      <sheetName val="Amortization Table (2)"/>
    </sheetNames>
    <sheetDataSet>
      <sheetData sheetId="0"/>
      <sheetData sheetId="1">
        <row r="18">
          <cell r="F18">
            <v>127794.2761418313</v>
          </cell>
        </row>
      </sheetData>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24 Month Condensed Ops P&amp;L"/>
      <sheetName val="Report Template"/>
    </sheetNames>
    <sheetDataSet>
      <sheetData sheetId="0"/>
      <sheetData sheetId="1"/>
      <sheetData sheetId="2">
        <row r="2002">
          <cell r="B2002">
            <v>2006</v>
          </cell>
        </row>
        <row r="2003">
          <cell r="B2003">
            <v>2007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320"/>
      <sheetName val="#REF"/>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800-10899"/>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l Priceout"/>
      <sheetName val="Com'l Priceout"/>
      <sheetName val="Roll Off Priceout"/>
      <sheetName val="Roll Off Productivity"/>
      <sheetName val="TB -LOB"/>
      <sheetName val="Comm'l TB-120"/>
      <sheetName val="Com'l Rec. TB-160"/>
      <sheetName val="Resi TB-190"/>
      <sheetName val="230 &amp; 220"/>
      <sheetName val="YW TB-220"/>
      <sheetName val="RO TB-260"/>
      <sheetName val="Industrial LOB"/>
      <sheetName val="TS TB-300"/>
      <sheetName val="POL TB-750"/>
      <sheetName val="Revenue Reconciliation"/>
      <sheetName val="Billed Revenue Summary"/>
      <sheetName val="Disposal Summary"/>
      <sheetName val="Payroll Register"/>
      <sheetName val="Balance Sheet"/>
      <sheetName val="Monthly IS"/>
      <sheetName val="DEPN"/>
      <sheetName val="Fixed Asset Summary"/>
      <sheetName val="Fixed Asset Detail"/>
      <sheetName val="Fuel"/>
      <sheetName val="WTB"/>
      <sheetName val="OH Analysis (2008)"/>
      <sheetName val="Corp. Office OH 2008"/>
      <sheetName val="OH Analysis"/>
      <sheetName val="Corp. Office OH"/>
      <sheetName val="2008 Group Office TB"/>
      <sheetName val="MA Office OH"/>
      <sheetName val="MA Stats"/>
      <sheetName val="2008 Group Office IS"/>
      <sheetName val="2008 West Group IS"/>
      <sheetName val="Legal"/>
      <sheetName val="Lurito 25 bpi"/>
      <sheetName val="Lurito 25 bpi (Rolloff)"/>
      <sheetName val="70000"/>
      <sheetName val="502500"/>
      <sheetName val="509000"/>
      <sheetName val="509500"/>
      <sheetName val="570800"/>
      <sheetName val="518000"/>
      <sheetName val="568100"/>
      <sheetName val="6780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8">
          <cell r="AD8" t="str">
            <v>#N/A</v>
          </cell>
        </row>
      </sheetData>
      <sheetData sheetId="19"/>
      <sheetData sheetId="20"/>
      <sheetData sheetId="21"/>
      <sheetData sheetId="22"/>
      <sheetData sheetId="23"/>
      <sheetData sheetId="24">
        <row r="4">
          <cell r="DE4" t="str">
            <v>01815</v>
          </cell>
        </row>
        <row r="5">
          <cell r="DC5" t="str">
            <v>12</v>
          </cell>
          <cell r="DD5" t="str">
            <v>WM of Ellensburg</v>
          </cell>
          <cell r="DE5" t="str">
            <v>01815</v>
          </cell>
        </row>
        <row r="8">
          <cell r="DC8">
            <v>12</v>
          </cell>
        </row>
      </sheetData>
      <sheetData sheetId="25"/>
      <sheetData sheetId="26"/>
      <sheetData sheetId="27"/>
      <sheetData sheetId="28"/>
      <sheetData sheetId="29"/>
      <sheetData sheetId="30"/>
      <sheetData sheetId="31"/>
      <sheetData sheetId="32">
        <row r="4">
          <cell r="AK4" t="str">
            <v>01500</v>
          </cell>
        </row>
        <row r="5">
          <cell r="AI5" t="str">
            <v>12</v>
          </cell>
          <cell r="AJ5" t="str">
            <v>Western Area Office</v>
          </cell>
          <cell r="AK5" t="str">
            <v>01500</v>
          </cell>
        </row>
        <row r="8">
          <cell r="AH8">
            <v>0</v>
          </cell>
        </row>
        <row r="9">
          <cell r="AM9" t="str">
            <v>USD</v>
          </cell>
        </row>
      </sheetData>
      <sheetData sheetId="33">
        <row r="4">
          <cell r="AK4" t="str">
            <v>G00006</v>
          </cell>
        </row>
        <row r="5">
          <cell r="AI5" t="str">
            <v>12</v>
          </cell>
          <cell r="AJ5" t="str">
            <v>Error</v>
          </cell>
          <cell r="AK5" t="str">
            <v>Western</v>
          </cell>
        </row>
        <row r="8">
          <cell r="AH8">
            <v>0</v>
          </cell>
        </row>
        <row r="9">
          <cell r="AM9" t="str">
            <v>USD</v>
          </cell>
        </row>
      </sheetData>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atement (WMofWA)"/>
      <sheetName val="Balance Sheet (WMofWA)"/>
      <sheetName val="Rev. Sum. - Confidential"/>
      <sheetName val="WTB-Confidential"/>
      <sheetName val="Priceout"/>
      <sheetName val="Monthly IS (SnoKing)"/>
      <sheetName val="Total Lurito"/>
      <sheetName val="Lurito - Garbage"/>
      <sheetName val="Lurito - Recycling"/>
      <sheetName val="Lurito - YW"/>
      <sheetName val="Lurito-Garbage"/>
      <sheetName val="Lurito-Recycling"/>
      <sheetName val="Lurito-YW"/>
      <sheetName val="PC 230"/>
      <sheetName val="PC 220"/>
      <sheetName val="PC 160 - Confidential"/>
      <sheetName val="PC 260-Confidential"/>
      <sheetName val="WUTC Customer Counts"/>
      <sheetName val="Processing Fees"/>
      <sheetName val="YW Processing Fees"/>
      <sheetName val="PR Register-Confidential"/>
      <sheetName val="PR Detail -confidential"/>
      <sheetName val="Wage scale-CONFIDENTIAL"/>
      <sheetName val="Fuel"/>
      <sheetName val="Balance Sheet (SnoKing)"/>
      <sheetName val="DEPN"/>
      <sheetName val="DEPN Summary"/>
      <sheetName val="Fixed Asset Summary"/>
      <sheetName val="Fixed Asset Detail"/>
      <sheetName val="Facility Costs"/>
      <sheetName val="Legal Fees"/>
      <sheetName val="MA Office OH"/>
      <sheetName val="MA Stats"/>
      <sheetName val="OH Analysis"/>
      <sheetName val="Corp. Office OH"/>
      <sheetName val="2008 West Group IS"/>
      <sheetName val="2008 Group Office TB"/>
      <sheetName val="2008 Group Office IS"/>
      <sheetName val="500500"/>
      <sheetName val="AP-500500"/>
      <sheetName val="500800"/>
      <sheetName val="509000"/>
      <sheetName val="AP-509500"/>
      <sheetName val="509500"/>
      <sheetName val="531200"/>
      <sheetName val="Income Statement (2)"/>
      <sheetName val="Lurito"/>
      <sheetName val="Fixed Assets"/>
      <sheetName val="unprocessed SS"/>
      <sheetName val="Tonnage"/>
      <sheetName val="Outbound Tons"/>
      <sheetName val="Inbound Tons"/>
      <sheetName val="Labor"/>
      <sheetName val="CDL Pricing"/>
      <sheetName val="CRC Commodity Prices"/>
      <sheetName val="Commodity Mix"/>
      <sheetName val="502500"/>
      <sheetName val="Summary"/>
      <sheetName val="Com'l FL"/>
      <sheetName val="Res'l RL"/>
      <sheetName val="Roll Off"/>
      <sheetName val="Res'l YW"/>
      <sheetName val="Res'l Rec."/>
      <sheetName val="Com'l Rec."/>
      <sheetName val="Summary (2)"/>
      <sheetName val="Customer Counts"/>
      <sheetName val="Com'l FL-2009"/>
      <sheetName val="Res'l RL (2)"/>
      <sheetName val="Res'l YW (2)"/>
      <sheetName val="Res'l Rec. (2)"/>
      <sheetName val="Roll Off (2)"/>
      <sheetName val="Haul Summary"/>
      <sheetName val="Com'l Rec. (2)"/>
      <sheetName val="Hauls Onl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x"/>
      <sheetName val="F-1"/>
      <sheetName val="F-2"/>
      <sheetName val="F-3"/>
      <sheetName val="F-4"/>
      <sheetName val="F-5"/>
      <sheetName val="F-6"/>
      <sheetName val="F-7"/>
      <sheetName val="F-8"/>
      <sheetName val="F-9"/>
      <sheetName val="F-10"/>
      <sheetName val="F-11"/>
      <sheetName val="F-12"/>
      <sheetName val="F-13"/>
      <sheetName val="F-14"/>
      <sheetName val="F-15"/>
      <sheetName val="F-16"/>
      <sheetName val="F-17"/>
      <sheetName val="F-18"/>
      <sheetName val="F-19"/>
      <sheetName val="O-1"/>
      <sheetName val="O-2"/>
      <sheetName val="O-3"/>
      <sheetName val="O-4"/>
      <sheetName val="O-5"/>
      <sheetName val="O-6"/>
      <sheetName val="O-7"/>
      <sheetName val="O-8"/>
      <sheetName val="O-9"/>
      <sheetName val="O-10"/>
      <sheetName val="O-12"/>
      <sheetName val="O-13"/>
      <sheetName val="O-14"/>
      <sheetName val="O-15"/>
      <sheetName val="O-16"/>
      <sheetName val="O-17"/>
      <sheetName val="O-18"/>
      <sheetName val="O-19"/>
      <sheetName val="O-20"/>
      <sheetName val="O-21"/>
      <sheetName val="O-22"/>
      <sheetName val="O-23"/>
      <sheetName val="O-24"/>
      <sheetName val="O-25"/>
      <sheetName val="O-26"/>
      <sheetName val="R-1"/>
      <sheetName val="R-2"/>
      <sheetName val="R-3"/>
      <sheetName val="R-4"/>
      <sheetName val="R-5"/>
      <sheetName val="R-6"/>
      <sheetName val="R-7"/>
      <sheetName val="R-8"/>
      <sheetName val="R-9"/>
      <sheetName val="I-1"/>
      <sheetName val="I-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Co (Type of Service)"/>
      <sheetName val="Proforma (Total Co)"/>
      <sheetName val="Restating Adj"/>
      <sheetName val="Restating Adj Details"/>
      <sheetName val="Proforma Adj"/>
      <sheetName val="Proforma Adj Details"/>
      <sheetName val=" Lurito (Total Co)"/>
      <sheetName val=" Lurito (Total Garbage w DB)"/>
      <sheetName val=" Lurito (Total Garbage wo DB)"/>
      <sheetName val="Proforma (DropBox)"/>
      <sheetName val="Lurito (DropBox)"/>
      <sheetName val="Exp Matrix (DropBox)"/>
      <sheetName val="COS DB"/>
      <sheetName val="Proforma (Yard Waste)"/>
      <sheetName val="Lurito (Yard Waste)"/>
      <sheetName val="Exp-Matrix (Yard Waste)"/>
      <sheetName val="COS-YW, Recycl"/>
      <sheetName val="Proforma (Curbs Recycling)"/>
      <sheetName val="Lurito (Curbs Recycling)"/>
      <sheetName val="Exp-Matrix (Curbs Recycling)"/>
      <sheetName val="Proforma (Recycle Stations)"/>
      <sheetName val="Lurito (Recycle Stations)"/>
      <sheetName val=" Lurito (MF)"/>
      <sheetName val=" Lurito (MF &amp; R Station)"/>
      <sheetName val="Rate Calculation"/>
      <sheetName val="Rate (Dump Fee)"/>
      <sheetName val="Calculation (Dump Fee)"/>
      <sheetName val="Priceout (Dump Fee)"/>
      <sheetName val="Total Fuel"/>
      <sheetName val="Murrey's Fuel"/>
      <sheetName val="American Fuel"/>
      <sheetName val="Depn-Summary"/>
      <sheetName val="Summary (American)"/>
      <sheetName val="Summary (Murrey's)"/>
      <sheetName val="Trucks (American)"/>
      <sheetName val="Trucks (Murrey's)"/>
      <sheetName val="Containers &amp; DropBox (American)"/>
      <sheetName val="Containers, DropBox (Murrey's)"/>
      <sheetName val="Yard Waste Toters (American)"/>
      <sheetName val="Yard Waste Toters (Murrey's)"/>
      <sheetName val="Other Equipment (American)"/>
      <sheetName val="Other Equipment (Murrey's)"/>
      <sheetName val="WRRA"/>
      <sheetName val="Summary (Supervisors)"/>
      <sheetName val="Summary (Driver Wages)"/>
      <sheetName val="Summary (IS Report)"/>
      <sheetName val="IS-Murrey's"/>
      <sheetName val="IS-Americ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atement (WMofWA)"/>
      <sheetName val="Balance Sheet (WMofWA)"/>
      <sheetName val="Rev. Sum. - Confidential"/>
      <sheetName val="WTB-Confidential"/>
      <sheetName val="Priceout (Staff Method)"/>
      <sheetName val="Priceout (Company Method)"/>
      <sheetName val="Monthly IS"/>
      <sheetName val="Lurito - Garbage"/>
      <sheetName val="Lurito - Recycling (MF)"/>
      <sheetName val="Lurito - Recycling"/>
      <sheetName val="Lurito - YW"/>
      <sheetName val="Total Lurito"/>
      <sheetName val="Lurito-Garbage"/>
      <sheetName val="Lurito-Recycling"/>
      <sheetName val="Lurito-YW"/>
      <sheetName val="Priceout (Proposed)"/>
      <sheetName val="PC 160 - Confidential"/>
      <sheetName val="PC 220"/>
      <sheetName val="PC 230"/>
      <sheetName val="Processing Fees"/>
      <sheetName val="PC 260-Confidential"/>
      <sheetName val="YW Processing Fees"/>
      <sheetName val="WUTC Customer Counts"/>
      <sheetName val="PR Register-Confidential"/>
      <sheetName val="Wage Scale-Confidential"/>
      <sheetName val="PR Detail - Confidential"/>
      <sheetName val="Earn Codes"/>
      <sheetName val="Fuel"/>
      <sheetName val="Legal Fees"/>
      <sheetName val="Facility Costs"/>
      <sheetName val="Sno-King Com'l Recycling"/>
      <sheetName val="City Contract MF Recycling"/>
      <sheetName val="UTC MF Recycling"/>
      <sheetName val="DEPN Summary"/>
      <sheetName val="DEPN"/>
      <sheetName val="Fixed Asset Summary"/>
      <sheetName val="Fixed Asset Detail"/>
      <sheetName val="Balance Sheet"/>
      <sheetName val="Summary (Cart &amp; Containers)"/>
      <sheetName val="OH Analysis"/>
      <sheetName val="Corp. Office OH"/>
      <sheetName val="2008 Group Office TB"/>
      <sheetName val="MA Office OH"/>
      <sheetName val="MA Stats"/>
      <sheetName val="Bothell"/>
      <sheetName val="Woodinville"/>
      <sheetName val="Seattle"/>
      <sheetName val="South Sound"/>
      <sheetName val="Skagit"/>
      <sheetName val="Brem-Air"/>
      <sheetName val="Hours &amp; Services"/>
      <sheetName val="Operating Cost"/>
      <sheetName val="Head Count"/>
      <sheetName val="Summary MA Headcount"/>
      <sheetName val="MA Headcount"/>
      <sheetName val="Headcount"/>
      <sheetName val="WM Sandpoint"/>
      <sheetName val="WM Brem-Air"/>
      <sheetName val="WM Wenatchee"/>
      <sheetName val="WM Ellensburg"/>
      <sheetName val="WM Klamath Falls"/>
      <sheetName val="WM Coeur d'Alene"/>
      <sheetName val="WM Kennewick"/>
      <sheetName val="WM Skagit"/>
      <sheetName val="WM Spokane"/>
      <sheetName val="WM Oregon"/>
      <sheetName val="WM South Sound"/>
      <sheetName val="WM Northwest"/>
      <sheetName val="WM Sno-King"/>
      <sheetName val="WM Seattle"/>
      <sheetName val="2008 West Group IS"/>
      <sheetName val="2008 Group Office IS"/>
      <sheetName val="500500"/>
      <sheetName val="AP-500500"/>
      <sheetName val="500800"/>
      <sheetName val="509000"/>
      <sheetName val="AP-509500"/>
      <sheetName val="509500"/>
      <sheetName val="531200"/>
      <sheetName val="Income Statement (Tonnage)"/>
      <sheetName val="DEPN (CRC)"/>
      <sheetName val="Fixed Assets - Update"/>
      <sheetName val="Fixed Assets"/>
      <sheetName val="Lurito - CRC"/>
      <sheetName val="Lurito"/>
      <sheetName val="unprocessed SS"/>
      <sheetName val="Tonnage"/>
      <sheetName val="Outbound Tons"/>
      <sheetName val="Inbound Tons"/>
      <sheetName val="Labor"/>
      <sheetName val="CDL Pricing"/>
      <sheetName val="CRC Commodity Prices"/>
      <sheetName val="Commodity Mix"/>
      <sheetName val="502500"/>
      <sheetName val="Summary (Disposal)"/>
      <sheetName val="Com'l FL"/>
      <sheetName val="Res'l RL"/>
      <sheetName val="Roll Off"/>
      <sheetName val="Res'l YW"/>
      <sheetName val="Res'l Rec."/>
      <sheetName val="Com'l Rec."/>
      <sheetName val="Summary (Route)"/>
      <sheetName val="Haul Summary"/>
      <sheetName val="Customer Counts"/>
      <sheetName val="Com'l FL-2009"/>
      <sheetName val="Res'l RL (Route)"/>
      <sheetName val="Res'l YW (Route)"/>
      <sheetName val="Res'l Rec. (Route)"/>
      <sheetName val="Roll Off (Route)"/>
      <sheetName val="Com'l Rec. (Route)"/>
      <sheetName val="Hauls Only"/>
      <sheetName val="Container Shop (Arrows)"/>
      <sheetName val="Summary (Bad Debt)"/>
      <sheetName val="115000-115030 2008"/>
      <sheetName val="115000-115030 2007"/>
      <sheetName val="115000-115030 20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ule 1"/>
      <sheetName val="Schedule 2"/>
      <sheetName val="Schedule 3A"/>
      <sheetName val="Schedule 3B"/>
      <sheetName val="Schedule 3C"/>
      <sheetName val="Schedule 4"/>
      <sheetName val="Schedule 5"/>
      <sheetName val="Schedule 6"/>
      <sheetName val="Schedule 7"/>
      <sheetName val="Schedule 8"/>
      <sheetName val="Schedule 9A"/>
      <sheetName val="Schedule 9B"/>
      <sheetName val="Schedule 10"/>
      <sheetName val="Reg Fee Calcul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R21"/>
  <sheetViews>
    <sheetView showFormulas="1" zoomScaleNormal="100" workbookViewId="0">
      <selection activeCell="A20" sqref="A20:H20"/>
    </sheetView>
  </sheetViews>
  <sheetFormatPr defaultRowHeight="15"/>
  <cols>
    <col min="1" max="1" width="6.21875" customWidth="1"/>
    <col min="2" max="2" width="5.44140625" customWidth="1"/>
    <col min="3" max="3" width="7" customWidth="1"/>
    <col min="5" max="5" width="5.77734375" customWidth="1"/>
    <col min="6" max="6" width="7.77734375" customWidth="1"/>
    <col min="7" max="7" width="6.6640625" customWidth="1"/>
    <col min="8" max="8" width="4.21875" customWidth="1"/>
  </cols>
  <sheetData>
    <row r="1" spans="1:8" ht="15.75">
      <c r="D1" s="2"/>
    </row>
    <row r="2" spans="1:8" ht="15.75">
      <c r="C2" s="2"/>
    </row>
    <row r="3" spans="1:8" ht="15.75">
      <c r="C3" s="2"/>
    </row>
    <row r="4" spans="1:8" ht="15.75">
      <c r="C4" s="2"/>
    </row>
    <row r="5" spans="1:8" ht="15.75">
      <c r="C5" s="2"/>
    </row>
    <row r="6" spans="1:8" ht="15.75">
      <c r="C6" s="2"/>
    </row>
    <row r="7" spans="1:8" ht="15.75">
      <c r="C7" s="2"/>
    </row>
    <row r="8" spans="1:8" ht="15.75">
      <c r="C8" s="2"/>
    </row>
    <row r="9" spans="1:8" ht="15.75">
      <c r="C9" s="2"/>
    </row>
    <row r="10" spans="1:8" ht="15.75">
      <c r="C10" s="2"/>
    </row>
    <row r="11" spans="1:8" ht="15.75">
      <c r="C11" s="2"/>
    </row>
    <row r="12" spans="1:8" ht="15.75">
      <c r="C12" s="2"/>
    </row>
    <row r="13" spans="1:8" ht="15.75">
      <c r="C13" s="2"/>
    </row>
    <row r="14" spans="1:8" ht="15.75">
      <c r="C14" s="2"/>
    </row>
    <row r="15" spans="1:8" ht="15" customHeight="1">
      <c r="A15" s="819" t="s">
        <v>664</v>
      </c>
      <c r="B15" s="819"/>
      <c r="C15" s="819"/>
      <c r="D15" s="819"/>
      <c r="E15" s="819"/>
      <c r="F15" s="819"/>
      <c r="G15" s="819"/>
      <c r="H15" s="819"/>
    </row>
    <row r="16" spans="1:8" ht="16.5">
      <c r="C16" s="7"/>
    </row>
    <row r="17" spans="1:18" ht="15" customHeight="1">
      <c r="A17" s="819" t="s">
        <v>231</v>
      </c>
      <c r="B17" s="819"/>
      <c r="C17" s="819"/>
      <c r="D17" s="819"/>
      <c r="E17" s="819"/>
      <c r="F17" s="819"/>
      <c r="G17" s="819"/>
      <c r="H17" s="819"/>
    </row>
    <row r="18" spans="1:18" ht="15" customHeight="1">
      <c r="A18" s="819" t="s">
        <v>98</v>
      </c>
      <c r="B18" s="819"/>
      <c r="C18" s="819"/>
      <c r="D18" s="819"/>
      <c r="E18" s="819"/>
      <c r="F18" s="819"/>
      <c r="G18" s="819"/>
      <c r="H18" s="819"/>
    </row>
    <row r="19" spans="1:18" ht="16.5">
      <c r="C19" s="7"/>
    </row>
    <row r="20" spans="1:18" ht="15.75">
      <c r="A20" s="820" t="s">
        <v>1088</v>
      </c>
      <c r="B20" s="820"/>
      <c r="C20" s="820"/>
      <c r="D20" s="820"/>
      <c r="E20" s="820"/>
      <c r="F20" s="820"/>
      <c r="G20" s="820"/>
      <c r="H20" s="820"/>
      <c r="I20" s="3"/>
      <c r="J20" s="3"/>
      <c r="K20" s="3"/>
      <c r="L20" s="3"/>
      <c r="M20" s="3"/>
      <c r="N20" s="3"/>
      <c r="O20" s="3"/>
      <c r="P20" s="3"/>
      <c r="Q20" s="3"/>
      <c r="R20" s="3"/>
    </row>
    <row r="21" spans="1:18">
      <c r="A21" t="s">
        <v>203</v>
      </c>
    </row>
  </sheetData>
  <mergeCells count="4">
    <mergeCell ref="A15:H15"/>
    <mergeCell ref="A17:H17"/>
    <mergeCell ref="A18:H18"/>
    <mergeCell ref="A20:H20"/>
  </mergeCells>
  <printOptions horizontalCentered="1"/>
  <pageMargins left="0.7" right="0.7" top="0.75" bottom="0.75" header="0.3" footer="0.3"/>
  <pageSetup scale="71"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N85"/>
  <sheetViews>
    <sheetView zoomScaleNormal="100" workbookViewId="0">
      <selection activeCell="Q36" sqref="Q36"/>
    </sheetView>
  </sheetViews>
  <sheetFormatPr defaultColWidth="8" defaultRowHeight="15.75"/>
  <cols>
    <col min="1" max="1" width="30.6640625" style="448" customWidth="1"/>
    <col min="2" max="2" width="9.88671875" style="448" bestFit="1" customWidth="1"/>
    <col min="3" max="3" width="2.88671875" style="448" customWidth="1"/>
    <col min="4" max="4" width="8.109375" style="448" bestFit="1" customWidth="1"/>
    <col min="5" max="5" width="2.88671875" style="448" customWidth="1"/>
    <col min="6" max="6" width="7.88671875" style="448" customWidth="1"/>
    <col min="7" max="7" width="2.88671875" style="448" customWidth="1"/>
    <col min="8" max="8" width="7.88671875" style="448" customWidth="1"/>
    <col min="9" max="9" width="2.6640625" style="448" customWidth="1"/>
    <col min="10" max="10" width="8.88671875" style="448" customWidth="1"/>
    <col min="11" max="11" width="2.88671875" style="448" customWidth="1"/>
    <col min="12" max="12" width="11.6640625" style="448" bestFit="1" customWidth="1"/>
    <col min="13" max="13" width="4.109375" style="446" customWidth="1"/>
    <col min="14" max="16384" width="8" style="446"/>
  </cols>
  <sheetData>
    <row r="1" spans="1:14" ht="16.5" customHeight="1">
      <c r="A1" s="845" t="str">
        <f>+'Sch 3 - Reclass Exp'!A1:I1</f>
        <v>Consolidated Disposal Services, Inc.</v>
      </c>
      <c r="B1" s="846"/>
      <c r="C1" s="846"/>
      <c r="D1" s="846"/>
      <c r="E1" s="846"/>
      <c r="F1" s="846"/>
      <c r="G1" s="846"/>
      <c r="H1" s="846"/>
      <c r="I1" s="846"/>
      <c r="J1" s="846"/>
      <c r="K1" s="846"/>
      <c r="L1" s="846"/>
      <c r="M1" s="449" t="s">
        <v>190</v>
      </c>
      <c r="N1" s="450" t="s">
        <v>221</v>
      </c>
    </row>
    <row r="2" spans="1:14" ht="13.5" customHeight="1">
      <c r="A2" s="846"/>
      <c r="B2" s="846"/>
      <c r="C2" s="846"/>
      <c r="D2" s="846"/>
      <c r="E2" s="846"/>
      <c r="F2" s="846"/>
      <c r="G2" s="846"/>
      <c r="H2" s="846"/>
      <c r="I2" s="846"/>
      <c r="J2" s="846"/>
      <c r="K2" s="846"/>
      <c r="L2" s="846"/>
      <c r="M2" s="449" t="s">
        <v>191</v>
      </c>
      <c r="N2" s="450" t="s">
        <v>195</v>
      </c>
    </row>
    <row r="3" spans="1:14" ht="16.5">
      <c r="A3" s="846" t="s">
        <v>110</v>
      </c>
      <c r="B3" s="846"/>
      <c r="C3" s="846"/>
      <c r="D3" s="846"/>
      <c r="E3" s="846"/>
      <c r="F3" s="846"/>
      <c r="G3" s="846"/>
      <c r="H3" s="846"/>
      <c r="I3" s="846"/>
      <c r="J3" s="846"/>
      <c r="K3" s="846"/>
      <c r="L3" s="846"/>
      <c r="M3" s="449" t="s">
        <v>192</v>
      </c>
      <c r="N3" s="450" t="s">
        <v>222</v>
      </c>
    </row>
    <row r="4" spans="1:14" ht="15.75" customHeight="1">
      <c r="A4" s="464"/>
      <c r="B4" s="464"/>
      <c r="C4" s="464"/>
      <c r="D4" s="464"/>
      <c r="E4" s="464"/>
      <c r="F4" s="464"/>
      <c r="G4" s="464"/>
      <c r="H4" s="464"/>
      <c r="I4" s="464"/>
      <c r="J4" s="464"/>
      <c r="K4" s="464"/>
      <c r="L4" s="464"/>
      <c r="M4" s="449" t="s">
        <v>193</v>
      </c>
      <c r="N4" s="450" t="s">
        <v>194</v>
      </c>
    </row>
    <row r="5" spans="1:14" ht="15.75" customHeight="1">
      <c r="A5" s="847" t="str">
        <f>'Fly Sheet'!$A$20</f>
        <v>For the Twelve Months Ended December 31, 2021 Historical and March 31, 2024 Forecasted</v>
      </c>
      <c r="B5" s="848"/>
      <c r="C5" s="848"/>
      <c r="D5" s="848"/>
      <c r="E5" s="848"/>
      <c r="F5" s="848"/>
      <c r="G5" s="848"/>
      <c r="H5" s="848"/>
      <c r="I5" s="848"/>
      <c r="J5" s="848"/>
      <c r="K5" s="848"/>
      <c r="L5" s="848"/>
    </row>
    <row r="6" spans="1:14" ht="15.75" customHeight="1">
      <c r="A6" s="847"/>
      <c r="B6" s="848"/>
      <c r="C6" s="848"/>
      <c r="D6" s="848"/>
      <c r="E6" s="848"/>
      <c r="F6" s="848"/>
      <c r="G6" s="848"/>
      <c r="H6" s="848"/>
      <c r="I6" s="848"/>
      <c r="J6" s="848"/>
      <c r="K6" s="848"/>
      <c r="L6" s="848"/>
    </row>
    <row r="7" spans="1:14" ht="15.75" customHeight="1">
      <c r="A7" s="446"/>
      <c r="B7" s="465"/>
      <c r="C7" s="465"/>
      <c r="D7" s="465"/>
      <c r="E7" s="465"/>
      <c r="F7" s="465"/>
      <c r="G7" s="465"/>
      <c r="H7" s="465"/>
      <c r="I7" s="465"/>
      <c r="J7" s="465"/>
      <c r="K7" s="465"/>
      <c r="L7" s="465"/>
    </row>
    <row r="8" spans="1:14" s="482" customFormat="1" ht="14.1" customHeight="1">
      <c r="B8" s="483" t="s">
        <v>55</v>
      </c>
      <c r="C8" s="483"/>
      <c r="D8" s="483" t="s">
        <v>56</v>
      </c>
      <c r="E8" s="483"/>
      <c r="F8" s="483" t="s">
        <v>57</v>
      </c>
      <c r="G8" s="483"/>
      <c r="H8" s="483" t="s">
        <v>403</v>
      </c>
      <c r="I8" s="483"/>
      <c r="J8" s="483" t="s">
        <v>408</v>
      </c>
      <c r="K8" s="483"/>
      <c r="L8" s="483" t="s">
        <v>5</v>
      </c>
    </row>
    <row r="9" spans="1:14" s="487" customFormat="1" ht="12.95" customHeight="1">
      <c r="A9" s="484"/>
      <c r="B9" s="485"/>
      <c r="C9" s="485"/>
      <c r="D9" s="485"/>
      <c r="E9" s="486"/>
      <c r="F9" s="485"/>
      <c r="G9" s="485"/>
      <c r="H9" s="485"/>
      <c r="I9" s="485"/>
      <c r="J9" s="485"/>
      <c r="K9" s="485"/>
      <c r="L9" s="485" t="s">
        <v>0</v>
      </c>
    </row>
    <row r="10" spans="1:14" s="487" customFormat="1" ht="12.95" customHeight="1">
      <c r="A10" s="484"/>
      <c r="B10" s="485" t="s">
        <v>34</v>
      </c>
      <c r="C10" s="485"/>
      <c r="D10" s="485" t="s">
        <v>34</v>
      </c>
      <c r="E10" s="485"/>
      <c r="F10" s="791"/>
      <c r="G10" s="485"/>
      <c r="H10" s="485"/>
      <c r="I10" s="485"/>
      <c r="J10" s="485"/>
      <c r="K10" s="485"/>
      <c r="L10" s="485" t="s">
        <v>34</v>
      </c>
    </row>
    <row r="11" spans="1:14" s="487" customFormat="1" ht="12.95" customHeight="1">
      <c r="A11" s="484"/>
      <c r="B11" s="488" t="s">
        <v>7</v>
      </c>
      <c r="C11" s="489"/>
      <c r="D11" s="488" t="s">
        <v>58</v>
      </c>
      <c r="E11" s="485"/>
      <c r="F11" s="792"/>
      <c r="G11" s="485"/>
      <c r="H11" s="488"/>
      <c r="I11" s="488"/>
      <c r="J11" s="488"/>
      <c r="K11" s="488"/>
      <c r="L11" s="488" t="s">
        <v>25</v>
      </c>
    </row>
    <row r="12" spans="1:14">
      <c r="A12" s="521" t="str">
        <f>+'Sch 1, pg 2 - Restated'!A12</f>
        <v>REVENUES</v>
      </c>
      <c r="B12" s="451"/>
      <c r="C12" s="451"/>
      <c r="D12" s="451"/>
      <c r="E12" s="451"/>
      <c r="F12" s="451"/>
      <c r="G12" s="451"/>
      <c r="H12" s="451"/>
      <c r="I12" s="451"/>
      <c r="J12" s="451"/>
      <c r="K12" s="451"/>
      <c r="L12" s="451"/>
    </row>
    <row r="13" spans="1:14" ht="15" customHeight="1">
      <c r="A13" s="9" t="s">
        <v>813</v>
      </c>
      <c r="B13" s="455">
        <v>0</v>
      </c>
      <c r="C13" s="455"/>
      <c r="D13" s="455">
        <v>0</v>
      </c>
      <c r="E13" s="455"/>
      <c r="F13" s="455">
        <v>0</v>
      </c>
      <c r="G13" s="455"/>
      <c r="H13" s="455">
        <v>0</v>
      </c>
      <c r="I13" s="455"/>
      <c r="J13" s="455">
        <v>0</v>
      </c>
      <c r="K13" s="455"/>
      <c r="L13" s="455">
        <f>SUM(B13:J13)</f>
        <v>0</v>
      </c>
    </row>
    <row r="14" spans="1:14" ht="15" customHeight="1">
      <c r="A14" s="9" t="s">
        <v>814</v>
      </c>
      <c r="B14" s="456">
        <v>0</v>
      </c>
      <c r="C14" s="456"/>
      <c r="D14" s="456">
        <v>0</v>
      </c>
      <c r="E14" s="456"/>
      <c r="F14" s="456">
        <v>0</v>
      </c>
      <c r="G14" s="456"/>
      <c r="H14" s="456">
        <v>0</v>
      </c>
      <c r="I14" s="456"/>
      <c r="J14" s="456">
        <v>0</v>
      </c>
      <c r="K14" s="456"/>
      <c r="L14" s="456">
        <f t="shared" ref="L14:L28" si="0">SUM(B14:J14)</f>
        <v>0</v>
      </c>
    </row>
    <row r="15" spans="1:14" ht="15" customHeight="1">
      <c r="A15" s="9" t="s">
        <v>815</v>
      </c>
      <c r="B15" s="456">
        <v>0</v>
      </c>
      <c r="C15" s="456"/>
      <c r="D15" s="456">
        <v>0</v>
      </c>
      <c r="E15" s="456"/>
      <c r="F15" s="456">
        <v>0</v>
      </c>
      <c r="G15" s="456"/>
      <c r="H15" s="456">
        <v>0</v>
      </c>
      <c r="I15" s="456"/>
      <c r="J15" s="456">
        <v>0</v>
      </c>
      <c r="K15" s="456"/>
      <c r="L15" s="456">
        <f t="shared" si="0"/>
        <v>0</v>
      </c>
    </row>
    <row r="16" spans="1:14" ht="15" customHeight="1">
      <c r="A16" s="9" t="s">
        <v>816</v>
      </c>
      <c r="B16" s="456">
        <v>0</v>
      </c>
      <c r="C16" s="456"/>
      <c r="D16" s="456">
        <v>0</v>
      </c>
      <c r="E16" s="456"/>
      <c r="F16" s="456">
        <v>0</v>
      </c>
      <c r="G16" s="456"/>
      <c r="H16" s="456">
        <v>0</v>
      </c>
      <c r="I16" s="456"/>
      <c r="J16" s="456">
        <v>0</v>
      </c>
      <c r="K16" s="456"/>
      <c r="L16" s="456">
        <f t="shared" si="0"/>
        <v>0</v>
      </c>
    </row>
    <row r="17" spans="1:12" ht="15" customHeight="1">
      <c r="A17" s="9" t="s">
        <v>817</v>
      </c>
      <c r="B17" s="456">
        <v>0</v>
      </c>
      <c r="C17" s="456"/>
      <c r="D17" s="456">
        <v>0</v>
      </c>
      <c r="E17" s="456"/>
      <c r="F17" s="456">
        <v>0</v>
      </c>
      <c r="G17" s="456"/>
      <c r="H17" s="456">
        <v>0</v>
      </c>
      <c r="I17" s="456"/>
      <c r="J17" s="456">
        <v>0</v>
      </c>
      <c r="K17" s="456"/>
      <c r="L17" s="456">
        <f t="shared" si="0"/>
        <v>0</v>
      </c>
    </row>
    <row r="18" spans="1:12" ht="15" customHeight="1">
      <c r="A18" s="9" t="s">
        <v>818</v>
      </c>
      <c r="B18" s="456">
        <v>0</v>
      </c>
      <c r="C18" s="456"/>
      <c r="D18" s="456">
        <v>0</v>
      </c>
      <c r="E18" s="456"/>
      <c r="F18" s="456">
        <f>-F15</f>
        <v>0</v>
      </c>
      <c r="G18" s="456"/>
      <c r="H18" s="456">
        <f>-H15</f>
        <v>0</v>
      </c>
      <c r="I18" s="456"/>
      <c r="J18" s="456">
        <v>0</v>
      </c>
      <c r="K18" s="456"/>
      <c r="L18" s="456">
        <f t="shared" si="0"/>
        <v>0</v>
      </c>
    </row>
    <row r="19" spans="1:12" ht="15" customHeight="1">
      <c r="A19" s="9" t="s">
        <v>819</v>
      </c>
      <c r="B19" s="456">
        <v>0</v>
      </c>
      <c r="C19" s="456"/>
      <c r="D19" s="456">
        <v>0</v>
      </c>
      <c r="E19" s="456"/>
      <c r="F19" s="456">
        <f t="shared" ref="F19:F22" si="1">-F16</f>
        <v>0</v>
      </c>
      <c r="G19" s="456"/>
      <c r="H19" s="456">
        <f t="shared" ref="H19:H22" si="2">-H16</f>
        <v>0</v>
      </c>
      <c r="I19" s="456"/>
      <c r="J19" s="456">
        <v>0</v>
      </c>
      <c r="K19" s="456"/>
      <c r="L19" s="456">
        <f t="shared" si="0"/>
        <v>0</v>
      </c>
    </row>
    <row r="20" spans="1:12" ht="15" customHeight="1">
      <c r="A20" s="9" t="s">
        <v>820</v>
      </c>
      <c r="B20" s="456">
        <v>0</v>
      </c>
      <c r="C20" s="456"/>
      <c r="D20" s="456">
        <v>0</v>
      </c>
      <c r="E20" s="456"/>
      <c r="F20" s="456">
        <f t="shared" si="1"/>
        <v>0</v>
      </c>
      <c r="G20" s="456"/>
      <c r="H20" s="456">
        <f t="shared" si="2"/>
        <v>0</v>
      </c>
      <c r="I20" s="456"/>
      <c r="J20" s="456">
        <v>0</v>
      </c>
      <c r="K20" s="456"/>
      <c r="L20" s="456">
        <f t="shared" si="0"/>
        <v>0</v>
      </c>
    </row>
    <row r="21" spans="1:12" ht="15" customHeight="1">
      <c r="A21" s="9" t="s">
        <v>821</v>
      </c>
      <c r="B21" s="456">
        <v>0</v>
      </c>
      <c r="C21" s="456"/>
      <c r="D21" s="456">
        <v>0</v>
      </c>
      <c r="E21" s="456"/>
      <c r="F21" s="456">
        <f t="shared" si="1"/>
        <v>0</v>
      </c>
      <c r="G21" s="456"/>
      <c r="H21" s="456">
        <f t="shared" si="2"/>
        <v>0</v>
      </c>
      <c r="I21" s="456"/>
      <c r="J21" s="456">
        <v>0</v>
      </c>
      <c r="K21" s="456"/>
      <c r="L21" s="456">
        <f t="shared" si="0"/>
        <v>0</v>
      </c>
    </row>
    <row r="22" spans="1:12" ht="15" customHeight="1">
      <c r="A22" s="9" t="s">
        <v>822</v>
      </c>
      <c r="B22" s="456">
        <v>0</v>
      </c>
      <c r="C22" s="456"/>
      <c r="D22" s="456">
        <v>0</v>
      </c>
      <c r="E22" s="456"/>
      <c r="F22" s="456">
        <f t="shared" si="1"/>
        <v>0</v>
      </c>
      <c r="G22" s="456"/>
      <c r="H22" s="456">
        <f t="shared" si="2"/>
        <v>0</v>
      </c>
      <c r="I22" s="456"/>
      <c r="J22" s="456">
        <v>0</v>
      </c>
      <c r="K22" s="456"/>
      <c r="L22" s="456">
        <f t="shared" si="0"/>
        <v>0</v>
      </c>
    </row>
    <row r="23" spans="1:12" ht="15" customHeight="1">
      <c r="A23" s="9" t="s">
        <v>823</v>
      </c>
      <c r="B23" s="456">
        <v>0</v>
      </c>
      <c r="C23" s="456"/>
      <c r="D23" s="456">
        <v>0</v>
      </c>
      <c r="E23" s="456"/>
      <c r="F23" s="456">
        <v>0</v>
      </c>
      <c r="G23" s="456"/>
      <c r="H23" s="456">
        <v>0</v>
      </c>
      <c r="I23" s="456"/>
      <c r="J23" s="456">
        <v>0</v>
      </c>
      <c r="K23" s="456"/>
      <c r="L23" s="456">
        <f t="shared" si="0"/>
        <v>0</v>
      </c>
    </row>
    <row r="24" spans="1:12" ht="15" customHeight="1">
      <c r="A24" s="9" t="s">
        <v>824</v>
      </c>
      <c r="B24" s="456">
        <v>0</v>
      </c>
      <c r="C24" s="456"/>
      <c r="D24" s="456">
        <v>0</v>
      </c>
      <c r="E24" s="456"/>
      <c r="F24" s="456">
        <v>0</v>
      </c>
      <c r="G24" s="456"/>
      <c r="H24" s="456">
        <v>0</v>
      </c>
      <c r="I24" s="456"/>
      <c r="J24" s="456">
        <v>0</v>
      </c>
      <c r="K24" s="456"/>
      <c r="L24" s="456">
        <f t="shared" si="0"/>
        <v>0</v>
      </c>
    </row>
    <row r="25" spans="1:12" ht="15" customHeight="1">
      <c r="A25" s="9" t="s">
        <v>827</v>
      </c>
      <c r="B25" s="456">
        <v>0</v>
      </c>
      <c r="C25" s="456"/>
      <c r="D25" s="456">
        <v>0</v>
      </c>
      <c r="E25" s="456"/>
      <c r="F25" s="456">
        <v>0</v>
      </c>
      <c r="G25" s="456"/>
      <c r="H25" s="456">
        <v>0</v>
      </c>
      <c r="I25" s="456"/>
      <c r="J25" s="456">
        <v>0</v>
      </c>
      <c r="K25" s="456"/>
      <c r="L25" s="456">
        <f t="shared" si="0"/>
        <v>0</v>
      </c>
    </row>
    <row r="26" spans="1:12" ht="15" customHeight="1">
      <c r="A26" s="9" t="s">
        <v>825</v>
      </c>
      <c r="B26" s="456">
        <v>0</v>
      </c>
      <c r="C26" s="456"/>
      <c r="D26" s="456">
        <v>0</v>
      </c>
      <c r="E26" s="456"/>
      <c r="F26" s="456">
        <v>0</v>
      </c>
      <c r="G26" s="456"/>
      <c r="H26" s="456">
        <v>0</v>
      </c>
      <c r="I26" s="456"/>
      <c r="J26" s="456">
        <v>0</v>
      </c>
      <c r="K26" s="456"/>
      <c r="L26" s="456">
        <f t="shared" si="0"/>
        <v>0</v>
      </c>
    </row>
    <row r="27" spans="1:12" ht="15" customHeight="1">
      <c r="A27" s="9" t="s">
        <v>826</v>
      </c>
      <c r="B27" s="458">
        <v>0</v>
      </c>
      <c r="C27" s="456"/>
      <c r="D27" s="456">
        <v>0</v>
      </c>
      <c r="E27" s="456"/>
      <c r="F27" s="458">
        <v>0</v>
      </c>
      <c r="G27" s="456"/>
      <c r="H27" s="458">
        <v>0</v>
      </c>
      <c r="I27" s="456"/>
      <c r="J27" s="458">
        <v>0</v>
      </c>
      <c r="K27" s="456"/>
      <c r="L27" s="458">
        <f t="shared" si="0"/>
        <v>0</v>
      </c>
    </row>
    <row r="28" spans="1:12" ht="15" customHeight="1">
      <c r="A28" s="451"/>
      <c r="B28" s="457">
        <f>SUM(B13:B27)</f>
        <v>0</v>
      </c>
      <c r="C28" s="456"/>
      <c r="D28" s="480">
        <f>SUM(D13:D27)</f>
        <v>0</v>
      </c>
      <c r="E28" s="456"/>
      <c r="F28" s="457">
        <f>SUM(F13:F27)</f>
        <v>0</v>
      </c>
      <c r="G28" s="456"/>
      <c r="H28" s="457">
        <f>SUM(H13:H27)</f>
        <v>0</v>
      </c>
      <c r="I28" s="456"/>
      <c r="J28" s="458">
        <v>0</v>
      </c>
      <c r="K28" s="456"/>
      <c r="L28" s="458">
        <f t="shared" si="0"/>
        <v>0</v>
      </c>
    </row>
    <row r="29" spans="1:12" ht="15" customHeight="1">
      <c r="A29" s="451"/>
      <c r="B29" s="456"/>
      <c r="C29" s="456"/>
      <c r="D29" s="456"/>
      <c r="E29" s="456"/>
      <c r="F29" s="456"/>
      <c r="G29" s="456"/>
      <c r="H29" s="456"/>
      <c r="I29" s="456"/>
      <c r="J29" s="456"/>
      <c r="K29" s="456"/>
      <c r="L29" s="456"/>
    </row>
    <row r="30" spans="1:12" ht="15" customHeight="1">
      <c r="A30" s="521" t="str">
        <f>+'Sch 1, pg 2 - Restated'!A30</f>
        <v>OPERATING EXPENSES</v>
      </c>
      <c r="B30" s="456"/>
      <c r="C30" s="456"/>
      <c r="D30" s="456"/>
      <c r="E30" s="456"/>
      <c r="F30" s="456"/>
      <c r="G30" s="456"/>
      <c r="H30" s="456"/>
      <c r="I30" s="456"/>
      <c r="J30" s="456"/>
      <c r="K30" s="456"/>
      <c r="L30" s="456"/>
    </row>
    <row r="31" spans="1:12" ht="15" customHeight="1">
      <c r="A31" s="9" t="s">
        <v>789</v>
      </c>
      <c r="B31" s="456">
        <f>-'WP-2 - Labor Analysis'!AD72</f>
        <v>-1357571.8880185869</v>
      </c>
      <c r="C31" s="456"/>
      <c r="D31" s="456">
        <v>0</v>
      </c>
      <c r="E31" s="456"/>
      <c r="F31" s="456">
        <v>0</v>
      </c>
      <c r="G31" s="456"/>
      <c r="H31" s="456">
        <v>0</v>
      </c>
      <c r="I31" s="456"/>
      <c r="J31" s="456">
        <v>0</v>
      </c>
      <c r="K31" s="456"/>
      <c r="L31" s="456">
        <f>SUM(B31:J31)</f>
        <v>-1357571.8880185869</v>
      </c>
    </row>
    <row r="32" spans="1:12" ht="15" customHeight="1">
      <c r="A32" s="9" t="s">
        <v>869</v>
      </c>
      <c r="B32" s="456">
        <f>+'WP-2 - Labor Analysis'!AD53</f>
        <v>641259.63478344202</v>
      </c>
      <c r="C32" s="456"/>
      <c r="D32" s="456">
        <v>0</v>
      </c>
      <c r="E32" s="456"/>
      <c r="F32" s="456">
        <v>0</v>
      </c>
      <c r="G32" s="456"/>
      <c r="H32" s="456">
        <v>0</v>
      </c>
      <c r="I32" s="456"/>
      <c r="J32" s="456">
        <v>0</v>
      </c>
      <c r="K32" s="456"/>
      <c r="L32" s="456">
        <f t="shared" ref="L32:L36" si="3">SUM(B32:J32)</f>
        <v>641259.63478344202</v>
      </c>
    </row>
    <row r="33" spans="1:14" ht="15" customHeight="1">
      <c r="A33" s="9" t="s">
        <v>870</v>
      </c>
      <c r="B33" s="456">
        <f>+'WP-2 - Labor Analysis'!AD69</f>
        <v>129778.42990296466</v>
      </c>
      <c r="C33" s="456"/>
      <c r="D33" s="456">
        <v>0</v>
      </c>
      <c r="E33" s="456"/>
      <c r="F33" s="456">
        <v>0</v>
      </c>
      <c r="G33" s="456"/>
      <c r="H33" s="456">
        <v>0</v>
      </c>
      <c r="I33" s="456"/>
      <c r="J33" s="456">
        <v>0</v>
      </c>
      <c r="K33" s="456"/>
      <c r="L33" s="456">
        <f t="shared" si="3"/>
        <v>129778.42990296466</v>
      </c>
    </row>
    <row r="34" spans="1:14" ht="15" customHeight="1">
      <c r="A34" s="9" t="s">
        <v>873</v>
      </c>
      <c r="B34" s="456">
        <f>+'WP-2 - Labor Analysis'!AD63</f>
        <v>49067.245819390242</v>
      </c>
      <c r="C34" s="456"/>
      <c r="D34" s="456">
        <v>0</v>
      </c>
      <c r="E34" s="456"/>
      <c r="F34" s="456">
        <v>0</v>
      </c>
      <c r="G34" s="456"/>
      <c r="H34" s="456">
        <v>0</v>
      </c>
      <c r="I34" s="456"/>
      <c r="J34" s="456">
        <v>0</v>
      </c>
      <c r="K34" s="456"/>
      <c r="L34" s="456">
        <f t="shared" si="3"/>
        <v>49067.245819390242</v>
      </c>
    </row>
    <row r="35" spans="1:14" ht="15" customHeight="1">
      <c r="A35" s="9" t="s">
        <v>871</v>
      </c>
      <c r="B35" s="456">
        <f>+'WP-2 - Labor Analysis'!AD21</f>
        <v>399304.68</v>
      </c>
      <c r="C35" s="456"/>
      <c r="D35" s="456">
        <v>0</v>
      </c>
      <c r="E35" s="456"/>
      <c r="F35" s="456">
        <v>0</v>
      </c>
      <c r="G35" s="456"/>
      <c r="H35" s="456">
        <v>0</v>
      </c>
      <c r="I35" s="456"/>
      <c r="J35" s="456">
        <v>0</v>
      </c>
      <c r="K35" s="456"/>
      <c r="L35" s="456">
        <f t="shared" si="3"/>
        <v>399304.68</v>
      </c>
    </row>
    <row r="36" spans="1:14" ht="15" customHeight="1">
      <c r="A36" s="9" t="s">
        <v>872</v>
      </c>
      <c r="B36" s="456">
        <f>+'WP-2 - Labor Analysis'!AD12</f>
        <v>68547.634318368029</v>
      </c>
      <c r="C36" s="456"/>
      <c r="D36" s="456">
        <v>0</v>
      </c>
      <c r="E36" s="456"/>
      <c r="F36" s="456">
        <v>0</v>
      </c>
      <c r="G36" s="456"/>
      <c r="H36" s="456">
        <v>0</v>
      </c>
      <c r="I36" s="456"/>
      <c r="J36" s="456">
        <v>0</v>
      </c>
      <c r="K36" s="456"/>
      <c r="L36" s="456">
        <f t="shared" si="3"/>
        <v>68547.634318368029</v>
      </c>
    </row>
    <row r="37" spans="1:14" ht="15" customHeight="1">
      <c r="A37" s="9" t="s">
        <v>1135</v>
      </c>
      <c r="B37" s="456">
        <f>+'WP-2 - Labor Analysis'!AD27</f>
        <v>69614.263194421859</v>
      </c>
      <c r="C37" s="456"/>
      <c r="D37" s="456">
        <v>0</v>
      </c>
      <c r="E37" s="456"/>
      <c r="F37" s="456">
        <v>0</v>
      </c>
      <c r="G37" s="456"/>
      <c r="H37" s="456">
        <v>0</v>
      </c>
      <c r="I37" s="456"/>
      <c r="J37" s="456">
        <v>0</v>
      </c>
      <c r="K37" s="456"/>
      <c r="L37" s="456">
        <f t="shared" ref="L37" si="4">SUM(B37:J37)</f>
        <v>69614.263194421859</v>
      </c>
    </row>
    <row r="38" spans="1:14" ht="15" customHeight="1">
      <c r="A38" s="9" t="s">
        <v>807</v>
      </c>
      <c r="B38" s="456">
        <v>0</v>
      </c>
      <c r="C38" s="456"/>
      <c r="D38" s="456">
        <v>0</v>
      </c>
      <c r="E38" s="456"/>
      <c r="F38" s="456">
        <v>0</v>
      </c>
      <c r="G38" s="456"/>
      <c r="H38" s="456">
        <v>0</v>
      </c>
      <c r="I38" s="456"/>
      <c r="J38" s="456">
        <v>0</v>
      </c>
      <c r="K38" s="456"/>
      <c r="L38" s="456">
        <f t="shared" ref="L38:L79" si="5">SUM(B38:J38)</f>
        <v>0</v>
      </c>
    </row>
    <row r="39" spans="1:14" ht="15" customHeight="1">
      <c r="A39" s="9" t="s">
        <v>349</v>
      </c>
      <c r="B39" s="456">
        <v>0</v>
      </c>
      <c r="C39" s="456"/>
      <c r="D39" s="456">
        <v>0</v>
      </c>
      <c r="E39" s="456"/>
      <c r="F39" s="456">
        <v>0</v>
      </c>
      <c r="G39" s="456"/>
      <c r="H39" s="456">
        <v>0</v>
      </c>
      <c r="I39" s="456"/>
      <c r="J39" s="456">
        <v>0</v>
      </c>
      <c r="K39" s="456"/>
      <c r="L39" s="456">
        <f t="shared" si="5"/>
        <v>0</v>
      </c>
      <c r="N39" s="490"/>
    </row>
    <row r="40" spans="1:14" ht="15" customHeight="1">
      <c r="A40" s="9" t="s">
        <v>71</v>
      </c>
      <c r="B40" s="456">
        <v>0</v>
      </c>
      <c r="C40" s="456"/>
      <c r="D40" s="456">
        <v>0</v>
      </c>
      <c r="E40" s="456"/>
      <c r="F40" s="456">
        <v>0</v>
      </c>
      <c r="G40" s="456"/>
      <c r="H40" s="456">
        <v>0</v>
      </c>
      <c r="I40" s="456"/>
      <c r="J40" s="456">
        <v>0</v>
      </c>
      <c r="K40" s="456"/>
      <c r="L40" s="456">
        <f t="shared" si="5"/>
        <v>0</v>
      </c>
    </row>
    <row r="41" spans="1:14" ht="15" customHeight="1">
      <c r="A41" s="9" t="s">
        <v>808</v>
      </c>
      <c r="B41" s="456">
        <v>0</v>
      </c>
      <c r="C41" s="456"/>
      <c r="D41" s="456">
        <v>0</v>
      </c>
      <c r="E41" s="456"/>
      <c r="F41" s="456">
        <v>0</v>
      </c>
      <c r="G41" s="456"/>
      <c r="H41" s="456">
        <v>0</v>
      </c>
      <c r="I41" s="456"/>
      <c r="J41" s="456">
        <v>0</v>
      </c>
      <c r="K41" s="456"/>
      <c r="L41" s="456">
        <f t="shared" si="5"/>
        <v>0</v>
      </c>
    </row>
    <row r="42" spans="1:14" ht="15" customHeight="1">
      <c r="A42" s="9" t="s">
        <v>350</v>
      </c>
      <c r="B42" s="456">
        <v>0</v>
      </c>
      <c r="C42" s="456"/>
      <c r="D42" s="456">
        <v>0</v>
      </c>
      <c r="E42" s="456"/>
      <c r="F42" s="456">
        <v>0</v>
      </c>
      <c r="G42" s="456"/>
      <c r="H42" s="456">
        <v>0</v>
      </c>
      <c r="I42" s="456"/>
      <c r="J42" s="456">
        <v>0</v>
      </c>
      <c r="K42" s="456"/>
      <c r="L42" s="456">
        <f t="shared" si="5"/>
        <v>0</v>
      </c>
    </row>
    <row r="43" spans="1:14" ht="15" customHeight="1">
      <c r="A43" s="9" t="s">
        <v>803</v>
      </c>
      <c r="B43" s="456">
        <v>0</v>
      </c>
      <c r="C43" s="456"/>
      <c r="D43" s="456">
        <v>0</v>
      </c>
      <c r="E43" s="456"/>
      <c r="F43" s="456">
        <v>0</v>
      </c>
      <c r="G43" s="456"/>
      <c r="H43" s="456">
        <v>0</v>
      </c>
      <c r="I43" s="456"/>
      <c r="J43" s="456">
        <v>0</v>
      </c>
      <c r="K43" s="456"/>
      <c r="L43" s="456">
        <f t="shared" si="5"/>
        <v>0</v>
      </c>
    </row>
    <row r="44" spans="1:14" ht="15" customHeight="1">
      <c r="A44" s="9" t="s">
        <v>351</v>
      </c>
      <c r="B44" s="456">
        <v>0</v>
      </c>
      <c r="C44" s="456"/>
      <c r="D44" s="456">
        <v>0</v>
      </c>
      <c r="E44" s="456"/>
      <c r="F44" s="456">
        <v>0</v>
      </c>
      <c r="G44" s="456"/>
      <c r="H44" s="456">
        <v>0</v>
      </c>
      <c r="I44" s="456"/>
      <c r="J44" s="456">
        <v>0</v>
      </c>
      <c r="K44" s="456"/>
      <c r="L44" s="456">
        <f t="shared" si="5"/>
        <v>0</v>
      </c>
    </row>
    <row r="45" spans="1:14" ht="15" customHeight="1">
      <c r="A45" s="9" t="s">
        <v>792</v>
      </c>
      <c r="B45" s="456">
        <v>0</v>
      </c>
      <c r="C45" s="456"/>
      <c r="D45" s="456">
        <v>0</v>
      </c>
      <c r="E45" s="456"/>
      <c r="F45" s="456">
        <v>0</v>
      </c>
      <c r="G45" s="456"/>
      <c r="H45" s="456">
        <v>0</v>
      </c>
      <c r="I45" s="456"/>
      <c r="J45" s="456">
        <v>0</v>
      </c>
      <c r="K45" s="456"/>
      <c r="L45" s="456">
        <f t="shared" si="5"/>
        <v>0</v>
      </c>
    </row>
    <row r="46" spans="1:14" ht="15" customHeight="1">
      <c r="A46" s="9" t="s">
        <v>786</v>
      </c>
      <c r="B46" s="456">
        <v>0</v>
      </c>
      <c r="C46" s="456"/>
      <c r="D46" s="456">
        <v>0</v>
      </c>
      <c r="E46" s="456"/>
      <c r="F46" s="456">
        <v>0</v>
      </c>
      <c r="G46" s="456"/>
      <c r="H46" s="456">
        <v>0</v>
      </c>
      <c r="I46" s="456"/>
      <c r="J46" s="456">
        <v>0</v>
      </c>
      <c r="K46" s="456"/>
      <c r="L46" s="456">
        <f t="shared" si="5"/>
        <v>0</v>
      </c>
    </row>
    <row r="47" spans="1:14" ht="15" customHeight="1">
      <c r="A47" s="9" t="s">
        <v>58</v>
      </c>
      <c r="B47" s="456">
        <v>0</v>
      </c>
      <c r="C47" s="456"/>
      <c r="D47" s="456">
        <f>-'WP-9 - Disposal'!P46</f>
        <v>-598217.25995690562</v>
      </c>
      <c r="E47" s="456"/>
      <c r="F47" s="456">
        <v>0</v>
      </c>
      <c r="G47" s="456"/>
      <c r="H47" s="456">
        <v>0</v>
      </c>
      <c r="I47" s="456"/>
      <c r="J47" s="456">
        <v>0</v>
      </c>
      <c r="K47" s="456"/>
      <c r="L47" s="456">
        <f t="shared" si="5"/>
        <v>-598217.25995690562</v>
      </c>
    </row>
    <row r="48" spans="1:14" ht="15" customHeight="1">
      <c r="A48" s="9" t="s">
        <v>1194</v>
      </c>
      <c r="B48" s="456">
        <v>0</v>
      </c>
      <c r="C48" s="456"/>
      <c r="D48" s="456">
        <f>-D47</f>
        <v>598217.25995690562</v>
      </c>
      <c r="E48" s="456"/>
      <c r="F48" s="456">
        <v>0</v>
      </c>
      <c r="G48" s="456"/>
      <c r="H48" s="456">
        <v>0</v>
      </c>
      <c r="I48" s="456"/>
      <c r="J48" s="456">
        <v>0</v>
      </c>
      <c r="K48" s="456"/>
      <c r="L48" s="456">
        <f t="shared" si="5"/>
        <v>598217.25995690562</v>
      </c>
    </row>
    <row r="49" spans="1:12" ht="15" customHeight="1">
      <c r="A49" s="9" t="s">
        <v>102</v>
      </c>
      <c r="B49" s="456">
        <v>0</v>
      </c>
      <c r="C49" s="456"/>
      <c r="D49" s="456">
        <v>0</v>
      </c>
      <c r="E49" s="456"/>
      <c r="F49" s="456">
        <v>0</v>
      </c>
      <c r="G49" s="456"/>
      <c r="H49" s="456">
        <v>0</v>
      </c>
      <c r="I49" s="456"/>
      <c r="J49" s="456">
        <v>0</v>
      </c>
      <c r="K49" s="456"/>
      <c r="L49" s="456">
        <f t="shared" si="5"/>
        <v>0</v>
      </c>
    </row>
    <row r="50" spans="1:12" ht="15" customHeight="1">
      <c r="A50" s="9" t="s">
        <v>12</v>
      </c>
      <c r="B50" s="456">
        <v>0</v>
      </c>
      <c r="C50" s="456"/>
      <c r="D50" s="456">
        <v>0</v>
      </c>
      <c r="E50" s="456"/>
      <c r="F50" s="456">
        <v>0</v>
      </c>
      <c r="G50" s="456"/>
      <c r="H50" s="456">
        <v>0</v>
      </c>
      <c r="I50" s="456"/>
      <c r="J50" s="456">
        <v>0</v>
      </c>
      <c r="K50" s="456"/>
      <c r="L50" s="456">
        <f t="shared" si="5"/>
        <v>0</v>
      </c>
    </row>
    <row r="51" spans="1:12" ht="15" customHeight="1">
      <c r="A51" s="9" t="s">
        <v>801</v>
      </c>
      <c r="B51" s="456">
        <v>0</v>
      </c>
      <c r="C51" s="456"/>
      <c r="D51" s="456">
        <v>0</v>
      </c>
      <c r="E51" s="456"/>
      <c r="F51" s="456">
        <v>0</v>
      </c>
      <c r="G51" s="456"/>
      <c r="H51" s="456">
        <v>0</v>
      </c>
      <c r="I51" s="456"/>
      <c r="J51" s="456">
        <v>0</v>
      </c>
      <c r="K51" s="456"/>
      <c r="L51" s="456">
        <f t="shared" si="5"/>
        <v>0</v>
      </c>
    </row>
    <row r="52" spans="1:12" ht="15" customHeight="1">
      <c r="A52" s="9" t="s">
        <v>29</v>
      </c>
      <c r="B52" s="456">
        <v>0</v>
      </c>
      <c r="C52" s="456"/>
      <c r="D52" s="456">
        <v>0</v>
      </c>
      <c r="E52" s="456"/>
      <c r="F52" s="456">
        <v>0</v>
      </c>
      <c r="G52" s="456"/>
      <c r="H52" s="456">
        <v>0</v>
      </c>
      <c r="I52" s="456"/>
      <c r="J52" s="456">
        <v>0</v>
      </c>
      <c r="K52" s="456"/>
      <c r="L52" s="456">
        <f t="shared" si="5"/>
        <v>0</v>
      </c>
    </row>
    <row r="53" spans="1:12" ht="15" customHeight="1">
      <c r="A53" s="9" t="s">
        <v>804</v>
      </c>
      <c r="B53" s="456">
        <v>0</v>
      </c>
      <c r="C53" s="460"/>
      <c r="D53" s="456">
        <v>0</v>
      </c>
      <c r="E53" s="456"/>
      <c r="F53" s="456">
        <v>0</v>
      </c>
      <c r="G53" s="456"/>
      <c r="H53" s="456">
        <v>0</v>
      </c>
      <c r="I53" s="456"/>
      <c r="J53" s="456">
        <v>0</v>
      </c>
      <c r="K53" s="456"/>
      <c r="L53" s="456">
        <f t="shared" si="5"/>
        <v>0</v>
      </c>
    </row>
    <row r="54" spans="1:12" ht="15" customHeight="1">
      <c r="A54" s="9" t="s">
        <v>790</v>
      </c>
      <c r="B54" s="456">
        <v>0</v>
      </c>
      <c r="C54" s="456"/>
      <c r="D54" s="456">
        <v>0</v>
      </c>
      <c r="E54" s="456"/>
      <c r="F54" s="456">
        <v>0</v>
      </c>
      <c r="G54" s="456"/>
      <c r="H54" s="456">
        <v>0</v>
      </c>
      <c r="I54" s="456"/>
      <c r="J54" s="456">
        <v>0</v>
      </c>
      <c r="K54" s="456"/>
      <c r="L54" s="456">
        <f t="shared" si="5"/>
        <v>0</v>
      </c>
    </row>
    <row r="55" spans="1:12" ht="15" customHeight="1">
      <c r="A55" s="9" t="s">
        <v>787</v>
      </c>
      <c r="B55" s="456">
        <v>0</v>
      </c>
      <c r="C55" s="456"/>
      <c r="D55" s="456">
        <v>0</v>
      </c>
      <c r="E55" s="456"/>
      <c r="F55" s="456">
        <v>0</v>
      </c>
      <c r="G55" s="456"/>
      <c r="H55" s="456">
        <v>0</v>
      </c>
      <c r="I55" s="456"/>
      <c r="J55" s="456">
        <v>0</v>
      </c>
      <c r="K55" s="456"/>
      <c r="L55" s="456">
        <f t="shared" si="5"/>
        <v>0</v>
      </c>
    </row>
    <row r="56" spans="1:12" ht="15" customHeight="1">
      <c r="A56" s="9" t="s">
        <v>800</v>
      </c>
      <c r="B56" s="456">
        <v>0</v>
      </c>
      <c r="C56" s="456"/>
      <c r="D56" s="456">
        <v>0</v>
      </c>
      <c r="E56" s="456"/>
      <c r="F56" s="456">
        <v>0</v>
      </c>
      <c r="G56" s="456"/>
      <c r="H56" s="456">
        <v>0</v>
      </c>
      <c r="I56" s="456"/>
      <c r="J56" s="456">
        <v>0</v>
      </c>
      <c r="K56" s="456"/>
      <c r="L56" s="456">
        <f t="shared" si="5"/>
        <v>0</v>
      </c>
    </row>
    <row r="57" spans="1:12" ht="15" customHeight="1">
      <c r="A57" s="9" t="s">
        <v>799</v>
      </c>
      <c r="B57" s="456">
        <v>0</v>
      </c>
      <c r="C57" s="456"/>
      <c r="D57" s="456">
        <v>0</v>
      </c>
      <c r="E57" s="456"/>
      <c r="F57" s="456">
        <v>0</v>
      </c>
      <c r="G57" s="456"/>
      <c r="H57" s="456">
        <v>0</v>
      </c>
      <c r="I57" s="456"/>
      <c r="J57" s="456">
        <v>0</v>
      </c>
      <c r="K57" s="456"/>
      <c r="L57" s="456">
        <f t="shared" si="5"/>
        <v>0</v>
      </c>
    </row>
    <row r="58" spans="1:12" ht="15" customHeight="1">
      <c r="A58" s="9" t="s">
        <v>797</v>
      </c>
      <c r="B58" s="456">
        <v>0</v>
      </c>
      <c r="C58" s="456"/>
      <c r="D58" s="456">
        <v>0</v>
      </c>
      <c r="E58" s="456"/>
      <c r="F58" s="456">
        <v>0</v>
      </c>
      <c r="G58" s="456"/>
      <c r="H58" s="456">
        <v>0</v>
      </c>
      <c r="I58" s="456"/>
      <c r="J58" s="456">
        <v>0</v>
      </c>
      <c r="K58" s="456"/>
      <c r="L58" s="456">
        <f t="shared" si="5"/>
        <v>0</v>
      </c>
    </row>
    <row r="59" spans="1:12" ht="15" customHeight="1">
      <c r="A59" s="9" t="s">
        <v>810</v>
      </c>
      <c r="B59" s="456">
        <v>0</v>
      </c>
      <c r="C59" s="456"/>
      <c r="D59" s="456">
        <v>0</v>
      </c>
      <c r="E59" s="456"/>
      <c r="F59" s="456">
        <v>0</v>
      </c>
      <c r="G59" s="456"/>
      <c r="H59" s="456">
        <v>0</v>
      </c>
      <c r="I59" s="456"/>
      <c r="J59" s="456">
        <v>0</v>
      </c>
      <c r="K59" s="456"/>
      <c r="L59" s="456">
        <f t="shared" si="5"/>
        <v>0</v>
      </c>
    </row>
    <row r="60" spans="1:12" ht="15" customHeight="1">
      <c r="A60" s="9" t="s">
        <v>802</v>
      </c>
      <c r="B60" s="456">
        <v>0</v>
      </c>
      <c r="C60" s="456"/>
      <c r="D60" s="456">
        <v>0</v>
      </c>
      <c r="E60" s="456"/>
      <c r="F60" s="456">
        <v>0</v>
      </c>
      <c r="G60" s="456"/>
      <c r="H60" s="456">
        <v>0</v>
      </c>
      <c r="I60" s="456"/>
      <c r="J60" s="456">
        <v>0</v>
      </c>
      <c r="K60" s="456"/>
      <c r="L60" s="456">
        <f t="shared" si="5"/>
        <v>0</v>
      </c>
    </row>
    <row r="61" spans="1:12" ht="15" customHeight="1">
      <c r="A61" s="9" t="s">
        <v>791</v>
      </c>
      <c r="B61" s="456">
        <v>0</v>
      </c>
      <c r="C61" s="456"/>
      <c r="D61" s="456">
        <v>0</v>
      </c>
      <c r="E61" s="456"/>
      <c r="F61" s="456">
        <v>0</v>
      </c>
      <c r="G61" s="456"/>
      <c r="H61" s="456">
        <v>0</v>
      </c>
      <c r="I61" s="456"/>
      <c r="J61" s="456">
        <v>0</v>
      </c>
      <c r="K61" s="456"/>
      <c r="L61" s="456">
        <f t="shared" si="5"/>
        <v>0</v>
      </c>
    </row>
    <row r="62" spans="1:12" ht="15" customHeight="1">
      <c r="A62" s="9" t="s">
        <v>805</v>
      </c>
      <c r="B62" s="456">
        <v>0</v>
      </c>
      <c r="C62" s="456"/>
      <c r="D62" s="456">
        <v>0</v>
      </c>
      <c r="E62" s="456"/>
      <c r="F62" s="456">
        <v>0</v>
      </c>
      <c r="G62" s="456"/>
      <c r="H62" s="456">
        <v>0</v>
      </c>
      <c r="I62" s="456"/>
      <c r="J62" s="456">
        <v>0</v>
      </c>
      <c r="K62" s="456"/>
      <c r="L62" s="456">
        <f t="shared" si="5"/>
        <v>0</v>
      </c>
    </row>
    <row r="63" spans="1:12" ht="15" customHeight="1">
      <c r="A63" s="9" t="s">
        <v>796</v>
      </c>
      <c r="B63" s="456">
        <v>0</v>
      </c>
      <c r="C63" s="456"/>
      <c r="D63" s="456">
        <v>0</v>
      </c>
      <c r="E63" s="456"/>
      <c r="F63" s="456">
        <v>0</v>
      </c>
      <c r="G63" s="456"/>
      <c r="H63" s="456">
        <v>0</v>
      </c>
      <c r="I63" s="456"/>
      <c r="J63" s="456">
        <v>0</v>
      </c>
      <c r="K63" s="456"/>
      <c r="L63" s="456">
        <f t="shared" si="5"/>
        <v>0</v>
      </c>
    </row>
    <row r="64" spans="1:12" ht="15" customHeight="1">
      <c r="A64" s="9" t="s">
        <v>352</v>
      </c>
      <c r="B64" s="456">
        <v>0</v>
      </c>
      <c r="C64" s="456"/>
      <c r="D64" s="456">
        <v>0</v>
      </c>
      <c r="E64" s="456"/>
      <c r="F64" s="456">
        <v>0</v>
      </c>
      <c r="G64" s="456"/>
      <c r="H64" s="456">
        <v>0</v>
      </c>
      <c r="I64" s="456"/>
      <c r="J64" s="456">
        <v>0</v>
      </c>
      <c r="K64" s="456"/>
      <c r="L64" s="456">
        <f t="shared" si="5"/>
        <v>0</v>
      </c>
    </row>
    <row r="65" spans="1:12" ht="15" customHeight="1">
      <c r="A65" s="9" t="s">
        <v>811</v>
      </c>
      <c r="B65" s="456">
        <v>0</v>
      </c>
      <c r="C65" s="456"/>
      <c r="D65" s="456">
        <v>0</v>
      </c>
      <c r="E65" s="456"/>
      <c r="F65" s="456">
        <v>0</v>
      </c>
      <c r="G65" s="456"/>
      <c r="H65" s="456">
        <v>0</v>
      </c>
      <c r="I65" s="456"/>
      <c r="J65" s="456">
        <v>0</v>
      </c>
      <c r="K65" s="456"/>
      <c r="L65" s="456">
        <f t="shared" si="5"/>
        <v>0</v>
      </c>
    </row>
    <row r="66" spans="1:12" ht="15" customHeight="1">
      <c r="A66" s="9" t="s">
        <v>785</v>
      </c>
      <c r="B66" s="456">
        <v>0</v>
      </c>
      <c r="C66" s="456"/>
      <c r="D66" s="456">
        <v>0</v>
      </c>
      <c r="E66" s="456"/>
      <c r="F66" s="456">
        <v>0</v>
      </c>
      <c r="G66" s="456"/>
      <c r="H66" s="456">
        <v>0</v>
      </c>
      <c r="I66" s="456"/>
      <c r="J66" s="456">
        <v>0</v>
      </c>
      <c r="K66" s="456"/>
      <c r="L66" s="456">
        <f t="shared" si="5"/>
        <v>0</v>
      </c>
    </row>
    <row r="67" spans="1:12" ht="15" customHeight="1">
      <c r="A67" s="9" t="s">
        <v>784</v>
      </c>
      <c r="B67" s="456">
        <v>0</v>
      </c>
      <c r="C67" s="456"/>
      <c r="D67" s="456">
        <v>0</v>
      </c>
      <c r="E67" s="456"/>
      <c r="F67" s="456">
        <v>0</v>
      </c>
      <c r="G67" s="456"/>
      <c r="H67" s="456">
        <v>0</v>
      </c>
      <c r="I67" s="456"/>
      <c r="J67" s="456">
        <v>0</v>
      </c>
      <c r="K67" s="456"/>
      <c r="L67" s="456">
        <f t="shared" si="5"/>
        <v>0</v>
      </c>
    </row>
    <row r="68" spans="1:12" ht="15" customHeight="1">
      <c r="A68" s="9" t="s">
        <v>354</v>
      </c>
      <c r="B68" s="456">
        <v>0</v>
      </c>
      <c r="C68" s="456"/>
      <c r="D68" s="456">
        <v>0</v>
      </c>
      <c r="E68" s="456"/>
      <c r="F68" s="456">
        <v>0</v>
      </c>
      <c r="G68" s="456"/>
      <c r="H68" s="456">
        <v>0</v>
      </c>
      <c r="I68" s="456"/>
      <c r="J68" s="456">
        <v>0</v>
      </c>
      <c r="K68" s="456"/>
      <c r="L68" s="456">
        <f t="shared" si="5"/>
        <v>0</v>
      </c>
    </row>
    <row r="69" spans="1:12" ht="15" customHeight="1">
      <c r="A69" s="9" t="s">
        <v>794</v>
      </c>
      <c r="B69" s="456">
        <v>0</v>
      </c>
      <c r="C69" s="456"/>
      <c r="D69" s="456">
        <v>0</v>
      </c>
      <c r="E69" s="456"/>
      <c r="F69" s="456">
        <v>0</v>
      </c>
      <c r="G69" s="456"/>
      <c r="H69" s="456">
        <v>0</v>
      </c>
      <c r="I69" s="456"/>
      <c r="J69" s="456">
        <v>0</v>
      </c>
      <c r="K69" s="456"/>
      <c r="L69" s="456">
        <f t="shared" si="5"/>
        <v>0</v>
      </c>
    </row>
    <row r="70" spans="1:12" ht="15" customHeight="1">
      <c r="A70" s="9" t="s">
        <v>788</v>
      </c>
      <c r="B70" s="456">
        <v>0</v>
      </c>
      <c r="C70" s="456"/>
      <c r="D70" s="456">
        <v>0</v>
      </c>
      <c r="E70" s="456"/>
      <c r="F70" s="456">
        <v>0</v>
      </c>
      <c r="G70" s="456"/>
      <c r="H70" s="456">
        <v>0</v>
      </c>
      <c r="I70" s="456"/>
      <c r="J70" s="456">
        <v>0</v>
      </c>
      <c r="K70" s="456"/>
      <c r="L70" s="456">
        <f t="shared" si="5"/>
        <v>0</v>
      </c>
    </row>
    <row r="71" spans="1:12" ht="15" customHeight="1">
      <c r="A71" s="9" t="s">
        <v>806</v>
      </c>
      <c r="B71" s="456">
        <v>0</v>
      </c>
      <c r="C71" s="456"/>
      <c r="D71" s="456">
        <v>0</v>
      </c>
      <c r="E71" s="456"/>
      <c r="F71" s="456">
        <v>0</v>
      </c>
      <c r="G71" s="456"/>
      <c r="H71" s="456">
        <v>0</v>
      </c>
      <c r="I71" s="456"/>
      <c r="J71" s="456">
        <v>0</v>
      </c>
      <c r="K71" s="456"/>
      <c r="L71" s="456">
        <f t="shared" si="5"/>
        <v>0</v>
      </c>
    </row>
    <row r="72" spans="1:12" ht="15" customHeight="1">
      <c r="A72" s="9" t="s">
        <v>798</v>
      </c>
      <c r="B72" s="456">
        <v>0</v>
      </c>
      <c r="C72" s="456"/>
      <c r="D72" s="456">
        <v>0</v>
      </c>
      <c r="E72" s="456"/>
      <c r="F72" s="456">
        <v>0</v>
      </c>
      <c r="G72" s="456"/>
      <c r="H72" s="456">
        <v>0</v>
      </c>
      <c r="I72" s="456"/>
      <c r="J72" s="456">
        <v>0</v>
      </c>
      <c r="K72" s="456"/>
      <c r="L72" s="456">
        <f t="shared" si="5"/>
        <v>0</v>
      </c>
    </row>
    <row r="73" spans="1:12" ht="15" customHeight="1">
      <c r="A73" s="9" t="s">
        <v>812</v>
      </c>
      <c r="B73" s="456">
        <v>0</v>
      </c>
      <c r="C73" s="456"/>
      <c r="D73" s="456">
        <v>0</v>
      </c>
      <c r="E73" s="456"/>
      <c r="F73" s="456">
        <v>0</v>
      </c>
      <c r="G73" s="456"/>
      <c r="H73" s="456">
        <v>0</v>
      </c>
      <c r="I73" s="456"/>
      <c r="J73" s="456">
        <v>0</v>
      </c>
      <c r="K73" s="456"/>
      <c r="L73" s="456">
        <f t="shared" si="5"/>
        <v>0</v>
      </c>
    </row>
    <row r="74" spans="1:12" ht="15" customHeight="1">
      <c r="A74" s="9" t="s">
        <v>793</v>
      </c>
      <c r="B74" s="456">
        <v>0</v>
      </c>
      <c r="C74" s="456"/>
      <c r="D74" s="456">
        <v>0</v>
      </c>
      <c r="E74" s="456"/>
      <c r="F74" s="456">
        <v>0</v>
      </c>
      <c r="G74" s="456"/>
      <c r="H74" s="456">
        <v>0</v>
      </c>
      <c r="I74" s="456"/>
      <c r="J74" s="456">
        <v>0</v>
      </c>
      <c r="K74" s="456"/>
      <c r="L74" s="456">
        <f t="shared" si="5"/>
        <v>0</v>
      </c>
    </row>
    <row r="75" spans="1:12" ht="15" customHeight="1">
      <c r="A75" s="9" t="s">
        <v>809</v>
      </c>
      <c r="B75" s="456">
        <v>0</v>
      </c>
      <c r="C75" s="456"/>
      <c r="D75" s="456">
        <v>0</v>
      </c>
      <c r="E75" s="456"/>
      <c r="F75" s="456">
        <v>0</v>
      </c>
      <c r="G75" s="456"/>
      <c r="H75" s="456">
        <v>0</v>
      </c>
      <c r="I75" s="456"/>
      <c r="J75" s="456">
        <v>0</v>
      </c>
      <c r="K75" s="456"/>
      <c r="L75" s="456">
        <f t="shared" si="5"/>
        <v>0</v>
      </c>
    </row>
    <row r="76" spans="1:12" ht="15" customHeight="1">
      <c r="A76" s="9" t="s">
        <v>30</v>
      </c>
      <c r="B76" s="456">
        <v>0</v>
      </c>
      <c r="C76" s="456"/>
      <c r="D76" s="456">
        <v>0</v>
      </c>
      <c r="E76" s="456"/>
      <c r="F76" s="456">
        <v>0</v>
      </c>
      <c r="G76" s="456"/>
      <c r="H76" s="456">
        <v>0</v>
      </c>
      <c r="I76" s="456"/>
      <c r="J76" s="456">
        <v>0</v>
      </c>
      <c r="K76" s="456"/>
      <c r="L76" s="456">
        <f t="shared" si="5"/>
        <v>0</v>
      </c>
    </row>
    <row r="77" spans="1:12" ht="15" customHeight="1">
      <c r="A77" s="9" t="s">
        <v>93</v>
      </c>
      <c r="B77" s="456">
        <v>0</v>
      </c>
      <c r="C77" s="456"/>
      <c r="D77" s="456">
        <v>0</v>
      </c>
      <c r="E77" s="456"/>
      <c r="F77" s="456">
        <v>0</v>
      </c>
      <c r="G77" s="456"/>
      <c r="H77" s="456">
        <v>0</v>
      </c>
      <c r="I77" s="456"/>
      <c r="J77" s="456">
        <v>0</v>
      </c>
      <c r="K77" s="456"/>
      <c r="L77" s="456">
        <f t="shared" si="5"/>
        <v>0</v>
      </c>
    </row>
    <row r="78" spans="1:12" ht="15" customHeight="1">
      <c r="A78" s="9" t="s">
        <v>40</v>
      </c>
      <c r="B78" s="456">
        <v>0</v>
      </c>
      <c r="C78" s="456"/>
      <c r="D78" s="456">
        <v>0</v>
      </c>
      <c r="E78" s="456"/>
      <c r="F78" s="456">
        <v>0</v>
      </c>
      <c r="G78" s="456"/>
      <c r="H78" s="456">
        <v>0</v>
      </c>
      <c r="I78" s="456"/>
      <c r="J78" s="456">
        <v>0</v>
      </c>
      <c r="K78" s="456"/>
      <c r="L78" s="456">
        <f t="shared" si="5"/>
        <v>0</v>
      </c>
    </row>
    <row r="79" spans="1:12" ht="15" customHeight="1">
      <c r="A79" s="9" t="s">
        <v>424</v>
      </c>
      <c r="B79" s="456">
        <v>0</v>
      </c>
      <c r="C79" s="456"/>
      <c r="D79" s="456">
        <v>0</v>
      </c>
      <c r="E79" s="456"/>
      <c r="F79" s="456">
        <v>0</v>
      </c>
      <c r="G79" s="456"/>
      <c r="H79" s="456">
        <v>0</v>
      </c>
      <c r="I79" s="456"/>
      <c r="J79" s="456">
        <v>0</v>
      </c>
      <c r="K79" s="456"/>
      <c r="L79" s="456">
        <f t="shared" si="5"/>
        <v>0</v>
      </c>
    </row>
    <row r="80" spans="1:12" ht="15" customHeight="1">
      <c r="A80" s="451"/>
      <c r="B80" s="462">
        <f>SUM(B31:B79)</f>
        <v>-1.0186340659856796E-10</v>
      </c>
      <c r="C80" s="456"/>
      <c r="D80" s="462">
        <f>SUM(D31:D79)</f>
        <v>0</v>
      </c>
      <c r="E80" s="456"/>
      <c r="F80" s="491">
        <f>SUM(F31:F79)</f>
        <v>0</v>
      </c>
      <c r="G80" s="455"/>
      <c r="H80" s="491">
        <f>SUM(H31:H79)</f>
        <v>0</v>
      </c>
      <c r="I80" s="456"/>
      <c r="J80" s="491">
        <f>SUM(J31:J79)</f>
        <v>0</v>
      </c>
      <c r="K80" s="456"/>
      <c r="L80" s="491">
        <f>SUM(L31:L79)</f>
        <v>-1.1641532182693481E-10</v>
      </c>
    </row>
    <row r="81" spans="1:12" ht="15" customHeight="1">
      <c r="A81" s="451"/>
      <c r="B81" s="456"/>
      <c r="C81" s="456"/>
      <c r="D81" s="456"/>
      <c r="E81" s="456"/>
      <c r="F81" s="456"/>
      <c r="G81" s="456"/>
      <c r="H81" s="456"/>
      <c r="I81" s="456"/>
      <c r="J81" s="456"/>
      <c r="K81" s="456"/>
      <c r="L81" s="456"/>
    </row>
    <row r="82" spans="1:12" ht="15" customHeight="1" thickBot="1">
      <c r="A82" s="451" t="s">
        <v>38</v>
      </c>
      <c r="B82" s="463">
        <f>+B28-B80</f>
        <v>1.0186340659856796E-10</v>
      </c>
      <c r="C82" s="456"/>
      <c r="D82" s="463">
        <f>+D28-D80</f>
        <v>0</v>
      </c>
      <c r="E82" s="456"/>
      <c r="F82" s="463">
        <f>+F28-F80</f>
        <v>0</v>
      </c>
      <c r="G82" s="456"/>
      <c r="H82" s="463">
        <f>+H28-H80</f>
        <v>0</v>
      </c>
      <c r="I82" s="455"/>
      <c r="J82" s="463">
        <f>+J28-J80</f>
        <v>0</v>
      </c>
      <c r="K82" s="455"/>
      <c r="L82" s="463">
        <f>+L28-L80</f>
        <v>1.1641532182693481E-10</v>
      </c>
    </row>
    <row r="83" spans="1:12" ht="15" customHeight="1" thickTop="1"/>
    <row r="84" spans="1:12">
      <c r="B84" s="39"/>
      <c r="D84" s="39"/>
    </row>
    <row r="85" spans="1:12">
      <c r="D85" s="39"/>
    </row>
  </sheetData>
  <mergeCells count="5">
    <mergeCell ref="A1:L1"/>
    <mergeCell ref="A2:L2"/>
    <mergeCell ref="A3:L3"/>
    <mergeCell ref="A5:L5"/>
    <mergeCell ref="A6:L6"/>
  </mergeCells>
  <phoneticPr fontId="10" type="noConversion"/>
  <printOptions horizontalCentered="1"/>
  <pageMargins left="0.9" right="0.7" top="0.75" bottom="0.5" header="0" footer="0.25"/>
  <pageSetup scale="72" fitToHeight="3" orientation="portrait" horizontalDpi="300" verticalDpi="300" r:id="rId1"/>
  <headerFooter scaleWithDoc="0" alignWithMargins="0">
    <oddFooter xml:space="preserve">&amp;C&amp;"Times New Roman,Regular"&amp;10See accompanying summary of significant forecast  assumptions. </oddFooter>
  </headerFooter>
  <rowBreaks count="1" manualBreakCount="1">
    <brk id="29" max="11"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dimension ref="A1:AQ217"/>
  <sheetViews>
    <sheetView topLeftCell="C1" zoomScale="85" zoomScaleNormal="85" workbookViewId="0">
      <pane ySplit="10" topLeftCell="A11" activePane="bottomLeft" state="frozen"/>
      <selection pane="bottomLeft" activeCell="U27" sqref="U27"/>
    </sheetView>
  </sheetViews>
  <sheetFormatPr defaultColWidth="10.88671875" defaultRowHeight="18.75"/>
  <cols>
    <col min="1" max="1" width="2.44140625" style="23" bestFit="1" customWidth="1"/>
    <col min="2" max="2" width="40.6640625" style="237" customWidth="1"/>
    <col min="3" max="16" width="12.6640625" style="5" customWidth="1"/>
    <col min="17" max="17" width="15.6640625" style="5" customWidth="1"/>
    <col min="18" max="18" width="10.6640625" style="5" customWidth="1"/>
    <col min="19" max="19" width="15.6640625" style="5" customWidth="1"/>
    <col min="20" max="20" width="2.109375" style="5" bestFit="1" customWidth="1"/>
    <col min="21" max="21" width="15.6640625" style="13" customWidth="1"/>
    <col min="22" max="25" width="10.88671875" style="5"/>
    <col min="26" max="16384" width="10.88671875" style="237"/>
  </cols>
  <sheetData>
    <row r="1" spans="1:43">
      <c r="B1" s="838" t="s">
        <v>664</v>
      </c>
      <c r="C1" s="838"/>
      <c r="D1" s="838"/>
      <c r="E1" s="838"/>
      <c r="F1" s="838"/>
      <c r="G1" s="838"/>
      <c r="H1" s="838"/>
      <c r="I1" s="838"/>
      <c r="J1" s="838"/>
      <c r="K1" s="838"/>
      <c r="L1" s="838"/>
      <c r="M1" s="838"/>
      <c r="N1" s="838"/>
      <c r="O1" s="838"/>
      <c r="P1" s="838"/>
      <c r="Q1" s="838"/>
      <c r="R1" s="838"/>
      <c r="S1" s="838"/>
    </row>
    <row r="2" spans="1:43" ht="9.75" customHeight="1">
      <c r="B2" s="3"/>
      <c r="C2" s="238"/>
      <c r="D2" s="238"/>
      <c r="E2" s="238"/>
      <c r="F2" s="238"/>
      <c r="G2" s="238"/>
      <c r="H2" s="238"/>
      <c r="I2" s="238"/>
      <c r="J2" s="238"/>
      <c r="K2" s="238"/>
      <c r="L2" s="238"/>
      <c r="M2" s="238"/>
      <c r="N2" s="238"/>
      <c r="O2" s="238"/>
      <c r="P2" s="238"/>
      <c r="Q2" s="238"/>
      <c r="R2" s="238"/>
      <c r="S2" s="238"/>
    </row>
    <row r="3" spans="1:43">
      <c r="B3" s="819" t="s">
        <v>111</v>
      </c>
      <c r="C3" s="819"/>
      <c r="D3" s="819"/>
      <c r="E3" s="819"/>
      <c r="F3" s="819"/>
      <c r="G3" s="819"/>
      <c r="H3" s="819"/>
      <c r="I3" s="819"/>
      <c r="J3" s="819"/>
      <c r="K3" s="819"/>
      <c r="L3" s="819"/>
      <c r="M3" s="819"/>
      <c r="N3" s="819"/>
      <c r="O3" s="819"/>
      <c r="P3" s="819"/>
      <c r="Q3" s="819"/>
      <c r="R3" s="819"/>
      <c r="S3" s="819"/>
    </row>
    <row r="4" spans="1:43">
      <c r="B4" s="4"/>
      <c r="C4" s="4"/>
      <c r="D4" s="4"/>
      <c r="E4" s="4"/>
      <c r="F4" s="4"/>
      <c r="G4" s="4"/>
      <c r="H4" s="4"/>
      <c r="I4" s="4"/>
      <c r="J4" s="4"/>
      <c r="K4" s="4"/>
      <c r="L4" s="4"/>
      <c r="M4" s="4"/>
      <c r="N4" s="4"/>
      <c r="O4" s="4"/>
      <c r="P4" s="4"/>
      <c r="Q4" s="4"/>
      <c r="R4" s="4"/>
      <c r="S4" s="4"/>
    </row>
    <row r="5" spans="1:43">
      <c r="B5" s="838" t="str">
        <f>'Fly Sheet'!$A$20</f>
        <v>For the Twelve Months Ended December 31, 2021 Historical and March 31, 2024 Forecasted</v>
      </c>
      <c r="C5" s="838"/>
      <c r="D5" s="838"/>
      <c r="E5" s="838"/>
      <c r="F5" s="838"/>
      <c r="G5" s="838"/>
      <c r="H5" s="838"/>
      <c r="I5" s="838"/>
      <c r="J5" s="838"/>
      <c r="K5" s="838"/>
      <c r="L5" s="838"/>
      <c r="M5" s="838"/>
      <c r="N5" s="838"/>
      <c r="O5" s="838"/>
      <c r="P5" s="838"/>
      <c r="Q5" s="838"/>
      <c r="R5" s="838"/>
      <c r="S5" s="838"/>
    </row>
    <row r="6" spans="1:43">
      <c r="B6" s="829"/>
      <c r="C6" s="829"/>
      <c r="D6" s="829"/>
      <c r="E6" s="829"/>
      <c r="F6" s="829"/>
      <c r="G6" s="829"/>
      <c r="H6" s="829"/>
      <c r="I6" s="829"/>
      <c r="J6" s="829"/>
      <c r="K6" s="829"/>
      <c r="L6" s="829"/>
      <c r="M6" s="829"/>
      <c r="N6" s="829"/>
      <c r="O6" s="829"/>
      <c r="P6" s="829"/>
      <c r="Q6" s="829"/>
      <c r="R6" s="829"/>
      <c r="S6" s="829"/>
    </row>
    <row r="7" spans="1:43">
      <c r="B7" s="4"/>
      <c r="C7" s="4"/>
      <c r="D7" s="4"/>
      <c r="E7" s="4"/>
      <c r="F7" s="4"/>
      <c r="G7" s="4"/>
      <c r="H7" s="4"/>
      <c r="I7" s="4"/>
      <c r="J7" s="4"/>
      <c r="K7" s="4"/>
      <c r="L7" s="4"/>
      <c r="M7" s="4"/>
      <c r="N7" s="4"/>
      <c r="O7" s="4"/>
      <c r="P7" s="4"/>
      <c r="Q7" s="4"/>
      <c r="R7" s="4"/>
      <c r="S7" s="4"/>
    </row>
    <row r="8" spans="1:43" s="8" customFormat="1" ht="15">
      <c r="A8" s="23"/>
      <c r="C8" s="40"/>
      <c r="D8" s="40"/>
      <c r="E8" s="40"/>
      <c r="F8" s="40"/>
      <c r="G8" s="40"/>
      <c r="H8" s="40"/>
      <c r="I8" s="40"/>
      <c r="J8" s="40"/>
      <c r="K8" s="40"/>
      <c r="L8" s="40"/>
      <c r="M8" s="40"/>
      <c r="N8" s="40"/>
      <c r="P8" s="40"/>
      <c r="Q8" s="41" t="s">
        <v>32</v>
      </c>
      <c r="R8" s="40"/>
      <c r="T8" s="10"/>
      <c r="U8" s="239"/>
      <c r="V8" s="10"/>
      <c r="W8" s="10"/>
      <c r="X8" s="10"/>
      <c r="Y8" s="10"/>
    </row>
    <row r="9" spans="1:43" s="8" customFormat="1" ht="15">
      <c r="A9" s="23"/>
      <c r="I9" s="40"/>
      <c r="J9" s="40"/>
      <c r="K9" s="40"/>
      <c r="L9" s="42"/>
      <c r="M9" s="42"/>
      <c r="N9" s="42"/>
      <c r="O9" s="42" t="s">
        <v>19</v>
      </c>
      <c r="P9" s="40"/>
      <c r="Q9" s="42" t="s">
        <v>198</v>
      </c>
      <c r="R9" s="40"/>
      <c r="S9" s="42" t="s">
        <v>19</v>
      </c>
      <c r="T9" s="10"/>
      <c r="U9" s="239"/>
      <c r="V9" s="10"/>
      <c r="W9" s="10"/>
      <c r="X9" s="10"/>
      <c r="Y9" s="10"/>
    </row>
    <row r="10" spans="1:43" s="8" customFormat="1" ht="15" customHeight="1">
      <c r="A10" s="23"/>
      <c r="C10" s="43" t="s">
        <v>63</v>
      </c>
      <c r="D10" s="43" t="s">
        <v>64</v>
      </c>
      <c r="E10" s="43" t="s">
        <v>65</v>
      </c>
      <c r="F10" s="43" t="s">
        <v>66</v>
      </c>
      <c r="G10" s="43" t="s">
        <v>67</v>
      </c>
      <c r="H10" s="43" t="s">
        <v>68</v>
      </c>
      <c r="I10" s="43" t="s">
        <v>69</v>
      </c>
      <c r="J10" s="43" t="s">
        <v>70</v>
      </c>
      <c r="K10" s="43" t="s">
        <v>62</v>
      </c>
      <c r="L10" s="43" t="s">
        <v>61</v>
      </c>
      <c r="M10" s="43" t="s">
        <v>60</v>
      </c>
      <c r="N10" s="43" t="s">
        <v>59</v>
      </c>
      <c r="O10" s="42" t="s">
        <v>23</v>
      </c>
      <c r="P10" s="43" t="s">
        <v>32</v>
      </c>
      <c r="Q10" s="42" t="s">
        <v>23</v>
      </c>
      <c r="R10" s="43"/>
      <c r="S10" s="42" t="s">
        <v>23</v>
      </c>
      <c r="T10" s="46"/>
      <c r="U10" s="240" t="s">
        <v>844</v>
      </c>
      <c r="V10" s="46"/>
      <c r="W10" s="46"/>
      <c r="X10" s="46"/>
      <c r="Y10" s="46"/>
      <c r="Z10" s="241"/>
      <c r="AA10" s="241"/>
      <c r="AB10" s="241"/>
      <c r="AC10" s="241"/>
      <c r="AD10" s="241"/>
      <c r="AE10" s="241"/>
      <c r="AF10" s="241"/>
      <c r="AG10" s="241"/>
      <c r="AH10" s="241"/>
      <c r="AI10" s="241"/>
      <c r="AJ10" s="241"/>
      <c r="AK10" s="241"/>
      <c r="AL10" s="241"/>
      <c r="AM10" s="241"/>
      <c r="AN10" s="241"/>
      <c r="AO10" s="241"/>
      <c r="AP10" s="241"/>
      <c r="AQ10" s="241"/>
    </row>
    <row r="11" spans="1:43" ht="15" customHeight="1">
      <c r="B11" s="11" t="s">
        <v>27</v>
      </c>
      <c r="C11" s="10"/>
      <c r="D11" s="10"/>
      <c r="E11" s="10"/>
      <c r="F11" s="10"/>
      <c r="G11" s="10"/>
      <c r="H11" s="10"/>
      <c r="I11" s="10"/>
      <c r="J11" s="10"/>
      <c r="K11" s="10"/>
      <c r="L11" s="10"/>
      <c r="M11" s="10"/>
      <c r="N11" s="10"/>
      <c r="O11" s="10"/>
    </row>
    <row r="12" spans="1:43" ht="15" customHeight="1">
      <c r="A12" s="23">
        <v>1</v>
      </c>
      <c r="B12" s="9" t="s">
        <v>773</v>
      </c>
      <c r="C12" s="44">
        <f>+'IS-PBC'!B5+'IS-PBC'!B17</f>
        <v>215740.53</v>
      </c>
      <c r="D12" s="44">
        <f>+'IS-PBC'!C5+'IS-PBC'!C17</f>
        <v>236343.53999999998</v>
      </c>
      <c r="E12" s="44">
        <f>+'IS-PBC'!D5+'IS-PBC'!D17</f>
        <v>216233.66</v>
      </c>
      <c r="F12" s="44">
        <f>+'IS-PBC'!E5+'IS-PBC'!E17</f>
        <v>238674.15</v>
      </c>
      <c r="G12" s="44">
        <f>+'IS-PBC'!F5+'IS-PBC'!F17</f>
        <v>226279.83</v>
      </c>
      <c r="H12" s="44">
        <f>+'IS-PBC'!G5+'IS-PBC'!G17</f>
        <v>242549.94</v>
      </c>
      <c r="I12" s="44">
        <f>+'IS-PBC'!H5+'IS-PBC'!H17</f>
        <v>230490.06</v>
      </c>
      <c r="J12" s="44">
        <f>+'IS-PBC'!I5+'IS-PBC'!I17</f>
        <v>243571.72999999998</v>
      </c>
      <c r="K12" s="44">
        <f>+'IS-PBC'!J5+'IS-PBC'!J17</f>
        <v>231987.24</v>
      </c>
      <c r="L12" s="44">
        <f>+'IS-PBC'!K5+'IS-PBC'!K17</f>
        <v>250426.80000000002</v>
      </c>
      <c r="M12" s="44">
        <f>+'IS-PBC'!L5+'IS-PBC'!L17</f>
        <v>221335.95</v>
      </c>
      <c r="N12" s="44">
        <f>+'IS-PBC'!M5+'IS-PBC'!M17</f>
        <v>251945.75</v>
      </c>
      <c r="O12" s="44">
        <f>SUM(C12:N12)</f>
        <v>2805579.18</v>
      </c>
      <c r="P12" s="44"/>
      <c r="Q12" s="44">
        <f>P12+O12</f>
        <v>2805579.18</v>
      </c>
      <c r="R12" s="10"/>
      <c r="S12" s="10">
        <f>Q12+R12</f>
        <v>2805579.18</v>
      </c>
      <c r="U12" s="523"/>
    </row>
    <row r="13" spans="1:43" ht="15" customHeight="1">
      <c r="A13" s="23">
        <v>2</v>
      </c>
      <c r="B13" s="9" t="s">
        <v>774</v>
      </c>
      <c r="C13" s="522">
        <f>+'IS-PBC'!B6+'IS-PBC'!B7+'IS-PBC'!B8+'IS-PBC'!B9+'IS-PBC'!B10+'IS-PBC'!B11+'IS-PBC'!B12+'IS-PBC'!B13+'IS-PBC'!B14+'IS-PBC'!B15+'IS-PBC'!B16+'IS-PBC'!B18+'IS-PBC'!B19+'IS-PBC'!B20+'IS-PBC'!B21</f>
        <v>85920.14999999998</v>
      </c>
      <c r="D13" s="522">
        <f>+'IS-PBC'!C6+'IS-PBC'!C7+'IS-PBC'!C8+'IS-PBC'!C9+'IS-PBC'!C10+'IS-PBC'!C11+'IS-PBC'!C12+'IS-PBC'!C13+'IS-PBC'!C14+'IS-PBC'!C15+'IS-PBC'!C16+'IS-PBC'!C18+'IS-PBC'!C19+'IS-PBC'!C20+'IS-PBC'!C21</f>
        <v>85857.72000000003</v>
      </c>
      <c r="E13" s="522">
        <f>+'IS-PBC'!D6+'IS-PBC'!D7+'IS-PBC'!D8+'IS-PBC'!D9+'IS-PBC'!D10+'IS-PBC'!D11+'IS-PBC'!D12+'IS-PBC'!D13+'IS-PBC'!D14+'IS-PBC'!D15+'IS-PBC'!D16+'IS-PBC'!D18+'IS-PBC'!D19+'IS-PBC'!D20+'IS-PBC'!D21</f>
        <v>94348.659999999989</v>
      </c>
      <c r="F13" s="522">
        <f>+'IS-PBC'!E6+'IS-PBC'!E7+'IS-PBC'!E8+'IS-PBC'!E9+'IS-PBC'!E10+'IS-PBC'!E11+'IS-PBC'!E12+'IS-PBC'!E13+'IS-PBC'!E14+'IS-PBC'!E15+'IS-PBC'!E16+'IS-PBC'!E18+'IS-PBC'!E19+'IS-PBC'!E20+'IS-PBC'!E21</f>
        <v>94878.079999999987</v>
      </c>
      <c r="G13" s="522">
        <f>+'IS-PBC'!F6+'IS-PBC'!F7+'IS-PBC'!F8+'IS-PBC'!F9+'IS-PBC'!F10+'IS-PBC'!F11+'IS-PBC'!F12+'IS-PBC'!F13+'IS-PBC'!F14+'IS-PBC'!F15+'IS-PBC'!F16+'IS-PBC'!F18+'IS-PBC'!F19+'IS-PBC'!F20+'IS-PBC'!F21</f>
        <v>95546.470000000016</v>
      </c>
      <c r="H13" s="522">
        <f>+'IS-PBC'!G6+'IS-PBC'!G7+'IS-PBC'!G8+'IS-PBC'!G9+'IS-PBC'!G10+'IS-PBC'!G11+'IS-PBC'!G12+'IS-PBC'!G13+'IS-PBC'!G14+'IS-PBC'!G15+'IS-PBC'!G16+'IS-PBC'!G18+'IS-PBC'!G19+'IS-PBC'!G20+'IS-PBC'!G21</f>
        <v>96050.000000000015</v>
      </c>
      <c r="I13" s="522">
        <f>+'IS-PBC'!H6+'IS-PBC'!H7+'IS-PBC'!H8+'IS-PBC'!H9+'IS-PBC'!H10+'IS-PBC'!H11+'IS-PBC'!H12+'IS-PBC'!H13+'IS-PBC'!H14+'IS-PBC'!H15+'IS-PBC'!H16+'IS-PBC'!H18+'IS-PBC'!H19+'IS-PBC'!H20+'IS-PBC'!H21</f>
        <v>99232.27</v>
      </c>
      <c r="J13" s="522">
        <f>+'IS-PBC'!I6+'IS-PBC'!I7+'IS-PBC'!I8+'IS-PBC'!I9+'IS-PBC'!I10+'IS-PBC'!I11+'IS-PBC'!I12+'IS-PBC'!I13+'IS-PBC'!I14+'IS-PBC'!I15+'IS-PBC'!I16+'IS-PBC'!I18+'IS-PBC'!I19+'IS-PBC'!I20+'IS-PBC'!I21</f>
        <v>99425.85</v>
      </c>
      <c r="K13" s="522">
        <f>+'IS-PBC'!J6+'IS-PBC'!J7+'IS-PBC'!J8+'IS-PBC'!J9+'IS-PBC'!J10+'IS-PBC'!J11+'IS-PBC'!J12+'IS-PBC'!J13+'IS-PBC'!J14+'IS-PBC'!J15+'IS-PBC'!J16+'IS-PBC'!J18+'IS-PBC'!J19+'IS-PBC'!J20+'IS-PBC'!J21</f>
        <v>96696.179999999978</v>
      </c>
      <c r="L13" s="522">
        <f>+'IS-PBC'!K6+'IS-PBC'!K7+'IS-PBC'!K8+'IS-PBC'!K9+'IS-PBC'!K10+'IS-PBC'!K11+'IS-PBC'!K12+'IS-PBC'!K13+'IS-PBC'!K14+'IS-PBC'!K15+'IS-PBC'!K16+'IS-PBC'!K18+'IS-PBC'!K19+'IS-PBC'!K20+'IS-PBC'!K21</f>
        <v>96830.839999999982</v>
      </c>
      <c r="M13" s="522">
        <f>+'IS-PBC'!L6+'IS-PBC'!L7+'IS-PBC'!L8+'IS-PBC'!L9+'IS-PBC'!L10+'IS-PBC'!L11+'IS-PBC'!L12+'IS-PBC'!L13+'IS-PBC'!L14+'IS-PBC'!L15+'IS-PBC'!L16+'IS-PBC'!L18+'IS-PBC'!L19+'IS-PBC'!L20+'IS-PBC'!L21</f>
        <v>97659.709999999992</v>
      </c>
      <c r="N13" s="522">
        <f>+'IS-PBC'!M6+'IS-PBC'!M7+'IS-PBC'!M8+'IS-PBC'!M9+'IS-PBC'!M10+'IS-PBC'!M11+'IS-PBC'!M12+'IS-PBC'!M13+'IS-PBC'!M14+'IS-PBC'!M15+'IS-PBC'!M16+'IS-PBC'!M18+'IS-PBC'!M19+'IS-PBC'!M20+'IS-PBC'!M21</f>
        <v>97791.299999999988</v>
      </c>
      <c r="O13" s="10">
        <f>SUM(C13:N13)</f>
        <v>1140237.23</v>
      </c>
      <c r="P13" s="44"/>
      <c r="Q13" s="10">
        <f t="shared" ref="Q13:Q23" si="0">P13+O13</f>
        <v>1140237.23</v>
      </c>
      <c r="R13" s="10"/>
      <c r="S13" s="10">
        <f t="shared" ref="S13:S19" si="1">Q13+R13</f>
        <v>1140237.23</v>
      </c>
      <c r="U13" s="523">
        <f>+Q13</f>
        <v>1140237.23</v>
      </c>
    </row>
    <row r="14" spans="1:43" ht="15" customHeight="1">
      <c r="A14" s="23">
        <v>3</v>
      </c>
      <c r="B14" s="9" t="s">
        <v>775</v>
      </c>
      <c r="C14" s="10">
        <f>+'IS-PBC'!B22+'IS-PBC'!B34</f>
        <v>130874.31</v>
      </c>
      <c r="D14" s="10">
        <f>+'IS-PBC'!C22+'IS-PBC'!C34</f>
        <v>132687.04000000001</v>
      </c>
      <c r="E14" s="10">
        <f>+'IS-PBC'!D22+'IS-PBC'!D34</f>
        <v>137995.47</v>
      </c>
      <c r="F14" s="10">
        <f>+'IS-PBC'!E22+'IS-PBC'!E34</f>
        <v>150630.54</v>
      </c>
      <c r="G14" s="10">
        <f>+'IS-PBC'!F22+'IS-PBC'!F34</f>
        <v>156226.54</v>
      </c>
      <c r="H14" s="10">
        <f>+'IS-PBC'!G22+'IS-PBC'!G34</f>
        <v>165829.57</v>
      </c>
      <c r="I14" s="10">
        <f>+'IS-PBC'!H22+'IS-PBC'!H34</f>
        <v>167859.08000000002</v>
      </c>
      <c r="J14" s="10">
        <f>+'IS-PBC'!I22+'IS-PBC'!I34</f>
        <v>170452.4</v>
      </c>
      <c r="K14" s="10">
        <f>+'IS-PBC'!J22+'IS-PBC'!J34</f>
        <v>172797.39</v>
      </c>
      <c r="L14" s="10">
        <f>+'IS-PBC'!K22+'IS-PBC'!K34</f>
        <v>162169.70000000001</v>
      </c>
      <c r="M14" s="10">
        <f>+'IS-PBC'!L22+'IS-PBC'!L34</f>
        <v>150182.1</v>
      </c>
      <c r="N14" s="10">
        <f>+'IS-PBC'!M22+'IS-PBC'!M34</f>
        <v>143145.99</v>
      </c>
      <c r="O14" s="10">
        <f t="shared" ref="O14:O24" si="2">SUM(C14:N14)</f>
        <v>1840850.13</v>
      </c>
      <c r="P14" s="10"/>
      <c r="Q14" s="10">
        <f t="shared" si="0"/>
        <v>1840850.13</v>
      </c>
      <c r="R14" s="10"/>
      <c r="S14" s="10">
        <f t="shared" si="1"/>
        <v>1840850.13</v>
      </c>
      <c r="U14" s="523"/>
    </row>
    <row r="15" spans="1:43" ht="15" customHeight="1">
      <c r="A15" s="23">
        <v>4</v>
      </c>
      <c r="B15" s="9" t="s">
        <v>776</v>
      </c>
      <c r="C15" s="10">
        <f>+'IS-PBC'!B23+'IS-PBC'!B24+'IS-PBC'!B25+'IS-PBC'!B26+'IS-PBC'!B27+'IS-PBC'!B28+'IS-PBC'!B29+'IS-PBC'!B30+'IS-PBC'!B31+'IS-PBC'!B32+'IS-PBC'!B33+'IS-PBC'!B35+'IS-PBC'!B36+'IS-PBC'!B37+'IS-PBC'!B38</f>
        <v>99897.319999999992</v>
      </c>
      <c r="D15" s="10">
        <f>+'IS-PBC'!C23+'IS-PBC'!C24+'IS-PBC'!C25+'IS-PBC'!C26+'IS-PBC'!C27+'IS-PBC'!C28+'IS-PBC'!C29+'IS-PBC'!C30+'IS-PBC'!C31+'IS-PBC'!C32+'IS-PBC'!C33+'IS-PBC'!C35+'IS-PBC'!C36+'IS-PBC'!C37+'IS-PBC'!C38</f>
        <v>97202.829999999973</v>
      </c>
      <c r="E15" s="10">
        <f>+'IS-PBC'!D23+'IS-PBC'!D24+'IS-PBC'!D25+'IS-PBC'!D26+'IS-PBC'!D27+'IS-PBC'!D28+'IS-PBC'!D29+'IS-PBC'!D30+'IS-PBC'!D31+'IS-PBC'!D32+'IS-PBC'!D33+'IS-PBC'!D35+'IS-PBC'!D36+'IS-PBC'!D37+'IS-PBC'!D38</f>
        <v>106239.81999999999</v>
      </c>
      <c r="F15" s="10">
        <f>+'IS-PBC'!E23+'IS-PBC'!E24+'IS-PBC'!E25+'IS-PBC'!E26+'IS-PBC'!E27+'IS-PBC'!E28+'IS-PBC'!E29+'IS-PBC'!E30+'IS-PBC'!E31+'IS-PBC'!E32+'IS-PBC'!E33+'IS-PBC'!E35+'IS-PBC'!E36+'IS-PBC'!E37+'IS-PBC'!E38</f>
        <v>110138.04999999999</v>
      </c>
      <c r="G15" s="10">
        <f>+'IS-PBC'!F23+'IS-PBC'!F24+'IS-PBC'!F25+'IS-PBC'!F26+'IS-PBC'!F27+'IS-PBC'!F28+'IS-PBC'!F29+'IS-PBC'!F30+'IS-PBC'!F31+'IS-PBC'!F32+'IS-PBC'!F33+'IS-PBC'!F35+'IS-PBC'!F36+'IS-PBC'!F37+'IS-PBC'!F38</f>
        <v>111224.63</v>
      </c>
      <c r="H15" s="10">
        <f>+'IS-PBC'!G23+'IS-PBC'!G24+'IS-PBC'!G25+'IS-PBC'!G26+'IS-PBC'!G27+'IS-PBC'!G28+'IS-PBC'!G29+'IS-PBC'!G30+'IS-PBC'!G31+'IS-PBC'!G32+'IS-PBC'!G33+'IS-PBC'!G35+'IS-PBC'!G36+'IS-PBC'!G37+'IS-PBC'!G38</f>
        <v>109254.88000000002</v>
      </c>
      <c r="I15" s="10">
        <f>+'IS-PBC'!H23+'IS-PBC'!H24+'IS-PBC'!H25+'IS-PBC'!H26+'IS-PBC'!H27+'IS-PBC'!H28+'IS-PBC'!H29+'IS-PBC'!H30+'IS-PBC'!H31+'IS-PBC'!H32+'IS-PBC'!H33+'IS-PBC'!H35+'IS-PBC'!H36+'IS-PBC'!H37+'IS-PBC'!H38</f>
        <v>114302.45000000001</v>
      </c>
      <c r="J15" s="10">
        <f>+'IS-PBC'!I23+'IS-PBC'!I24+'IS-PBC'!I25+'IS-PBC'!I26+'IS-PBC'!I27+'IS-PBC'!I28+'IS-PBC'!I29+'IS-PBC'!I30+'IS-PBC'!I31+'IS-PBC'!I32+'IS-PBC'!I33+'IS-PBC'!I35+'IS-PBC'!I36+'IS-PBC'!I37+'IS-PBC'!I38</f>
        <v>112459.56999999999</v>
      </c>
      <c r="K15" s="10">
        <f>+'IS-PBC'!J23+'IS-PBC'!J24+'IS-PBC'!J25+'IS-PBC'!J26+'IS-PBC'!J27+'IS-PBC'!J28+'IS-PBC'!J29+'IS-PBC'!J30+'IS-PBC'!J31+'IS-PBC'!J32+'IS-PBC'!J33+'IS-PBC'!J35+'IS-PBC'!J36+'IS-PBC'!J37+'IS-PBC'!J38</f>
        <v>117738.37000000002</v>
      </c>
      <c r="L15" s="10">
        <f>+'IS-PBC'!K23+'IS-PBC'!K24+'IS-PBC'!K25+'IS-PBC'!K26+'IS-PBC'!K27+'IS-PBC'!K28+'IS-PBC'!K29+'IS-PBC'!K30+'IS-PBC'!K31+'IS-PBC'!K32+'IS-PBC'!K33+'IS-PBC'!K35+'IS-PBC'!K36+'IS-PBC'!K37+'IS-PBC'!K38</f>
        <v>114416.6</v>
      </c>
      <c r="M15" s="10">
        <f>+'IS-PBC'!L23+'IS-PBC'!L24+'IS-PBC'!L25+'IS-PBC'!L26+'IS-PBC'!L27+'IS-PBC'!L28+'IS-PBC'!L29+'IS-PBC'!L30+'IS-PBC'!L31+'IS-PBC'!L32+'IS-PBC'!L33+'IS-PBC'!L35+'IS-PBC'!L36+'IS-PBC'!L37+'IS-PBC'!L38</f>
        <v>111572.87</v>
      </c>
      <c r="N15" s="10">
        <f>+'IS-PBC'!M23+'IS-PBC'!M24+'IS-PBC'!M25+'IS-PBC'!M26+'IS-PBC'!M27+'IS-PBC'!M28+'IS-PBC'!M29+'IS-PBC'!M30+'IS-PBC'!M31+'IS-PBC'!M32+'IS-PBC'!M33+'IS-PBC'!M35+'IS-PBC'!M36+'IS-PBC'!M37+'IS-PBC'!M38</f>
        <v>108038.33</v>
      </c>
      <c r="O15" s="10">
        <f>SUM(C15:N15)</f>
        <v>1312485.7200000002</v>
      </c>
      <c r="P15" s="10"/>
      <c r="Q15" s="10">
        <f t="shared" si="0"/>
        <v>1312485.7200000002</v>
      </c>
      <c r="R15" s="10"/>
      <c r="S15" s="10">
        <f t="shared" si="1"/>
        <v>1312485.7200000002</v>
      </c>
      <c r="U15" s="523">
        <f>+Q15</f>
        <v>1312485.7200000002</v>
      </c>
    </row>
    <row r="16" spans="1:43" ht="15" customHeight="1">
      <c r="A16" s="23">
        <v>5</v>
      </c>
      <c r="B16" s="9" t="s">
        <v>777</v>
      </c>
      <c r="C16" s="10">
        <f>+'IS-PBC'!B40+'IS-PBC'!B52</f>
        <v>55542.71</v>
      </c>
      <c r="D16" s="10">
        <f>+'IS-PBC'!C40+'IS-PBC'!C52</f>
        <v>43965.94</v>
      </c>
      <c r="E16" s="10">
        <f>+'IS-PBC'!D40+'IS-PBC'!D52</f>
        <v>60315.28</v>
      </c>
      <c r="F16" s="10">
        <f>+'IS-PBC'!E40+'IS-PBC'!E52</f>
        <v>57878.15</v>
      </c>
      <c r="G16" s="10">
        <f>+'IS-PBC'!F40+'IS-PBC'!F52</f>
        <v>50701.450000000004</v>
      </c>
      <c r="H16" s="10">
        <f>+'IS-PBC'!G40+'IS-PBC'!G52</f>
        <v>49823.659999999996</v>
      </c>
      <c r="I16" s="10">
        <f>+'IS-PBC'!H40+'IS-PBC'!H52</f>
        <v>55345.280000000006</v>
      </c>
      <c r="J16" s="10">
        <f>+'IS-PBC'!I40+'IS-PBC'!I52</f>
        <v>61292.78</v>
      </c>
      <c r="K16" s="10">
        <f>+'IS-PBC'!J40+'IS-PBC'!J52</f>
        <v>60640.560000000005</v>
      </c>
      <c r="L16" s="10">
        <f>+'IS-PBC'!K40+'IS-PBC'!K52</f>
        <v>68109.06</v>
      </c>
      <c r="M16" s="10">
        <f>+'IS-PBC'!L40+'IS-PBC'!L52</f>
        <v>77201.3</v>
      </c>
      <c r="N16" s="10">
        <f>+'IS-PBC'!M40+'IS-PBC'!M52</f>
        <v>84054.52</v>
      </c>
      <c r="O16" s="10">
        <f t="shared" si="2"/>
        <v>724870.69000000006</v>
      </c>
      <c r="P16" s="10"/>
      <c r="Q16" s="10">
        <f t="shared" si="0"/>
        <v>724870.69000000006</v>
      </c>
      <c r="R16" s="10"/>
      <c r="S16" s="10">
        <f t="shared" si="1"/>
        <v>724870.69000000006</v>
      </c>
      <c r="U16" s="523"/>
    </row>
    <row r="17" spans="1:21" ht="15" customHeight="1">
      <c r="A17" s="23">
        <v>6</v>
      </c>
      <c r="B17" s="9" t="s">
        <v>778</v>
      </c>
      <c r="C17" s="10">
        <f>+'IS-PBC'!B39+'IS-PBC'!B41+'IS-PBC'!B42+'IS-PBC'!B43+'IS-PBC'!B44+'IS-PBC'!B45+'IS-PBC'!B46+'IS-PBC'!B47+'IS-PBC'!B48+'IS-PBC'!B49+'IS-PBC'!B50+'IS-PBC'!B51+'IS-PBC'!B53+'IS-PBC'!B54</f>
        <v>53704.799999999996</v>
      </c>
      <c r="D17" s="10">
        <f>+'IS-PBC'!C39+'IS-PBC'!C41+'IS-PBC'!C42+'IS-PBC'!C43+'IS-PBC'!C44+'IS-PBC'!C45+'IS-PBC'!C46+'IS-PBC'!C47+'IS-PBC'!C48+'IS-PBC'!C49+'IS-PBC'!C50+'IS-PBC'!C51+'IS-PBC'!C53+'IS-PBC'!C54</f>
        <v>52636.729999999996</v>
      </c>
      <c r="E17" s="10">
        <f>+'IS-PBC'!D39+'IS-PBC'!D41+'IS-PBC'!D42+'IS-PBC'!D43+'IS-PBC'!D44+'IS-PBC'!D45+'IS-PBC'!D46+'IS-PBC'!D47+'IS-PBC'!D48+'IS-PBC'!D49+'IS-PBC'!D50+'IS-PBC'!D51+'IS-PBC'!D53+'IS-PBC'!D54</f>
        <v>64843.96</v>
      </c>
      <c r="F17" s="10">
        <f>+'IS-PBC'!E39+'IS-PBC'!E41+'IS-PBC'!E42+'IS-PBC'!E43+'IS-PBC'!E44+'IS-PBC'!E45+'IS-PBC'!E46+'IS-PBC'!E47+'IS-PBC'!E48+'IS-PBC'!E49+'IS-PBC'!E50+'IS-PBC'!E51+'IS-PBC'!E53+'IS-PBC'!E54</f>
        <v>61292.689999999995</v>
      </c>
      <c r="G17" s="10">
        <f>+'IS-PBC'!F39+'IS-PBC'!F41+'IS-PBC'!F42+'IS-PBC'!F43+'IS-PBC'!F44+'IS-PBC'!F45+'IS-PBC'!F46+'IS-PBC'!F47+'IS-PBC'!F48+'IS-PBC'!F49+'IS-PBC'!F50+'IS-PBC'!F51+'IS-PBC'!F53+'IS-PBC'!F54</f>
        <v>59294.100000000006</v>
      </c>
      <c r="H17" s="10">
        <f>+'IS-PBC'!G39+'IS-PBC'!G41+'IS-PBC'!G42+'IS-PBC'!G43+'IS-PBC'!G44+'IS-PBC'!G45+'IS-PBC'!G46+'IS-PBC'!G47+'IS-PBC'!G48+'IS-PBC'!G49+'IS-PBC'!G50+'IS-PBC'!G51+'IS-PBC'!G53+'IS-PBC'!G54</f>
        <v>59490.810000000012</v>
      </c>
      <c r="I17" s="10">
        <f>+'IS-PBC'!H39+'IS-PBC'!H41+'IS-PBC'!H42+'IS-PBC'!H43+'IS-PBC'!H44+'IS-PBC'!H45+'IS-PBC'!H46+'IS-PBC'!H47+'IS-PBC'!H48+'IS-PBC'!H49+'IS-PBC'!H50+'IS-PBC'!H51+'IS-PBC'!H53+'IS-PBC'!H54</f>
        <v>64376.930000000008</v>
      </c>
      <c r="J17" s="10">
        <f>+'IS-PBC'!I39+'IS-PBC'!I41+'IS-PBC'!I42+'IS-PBC'!I43+'IS-PBC'!I44+'IS-PBC'!I45+'IS-PBC'!I46+'IS-PBC'!I47+'IS-PBC'!I48+'IS-PBC'!I49+'IS-PBC'!I50+'IS-PBC'!I51+'IS-PBC'!I53+'IS-PBC'!I54</f>
        <v>68570.44</v>
      </c>
      <c r="K17" s="10">
        <f>+'IS-PBC'!J39+'IS-PBC'!J41+'IS-PBC'!J42+'IS-PBC'!J43+'IS-PBC'!J44+'IS-PBC'!J45+'IS-PBC'!J46+'IS-PBC'!J47+'IS-PBC'!J48+'IS-PBC'!J49+'IS-PBC'!J50+'IS-PBC'!J51+'IS-PBC'!J53+'IS-PBC'!J54</f>
        <v>55555.05</v>
      </c>
      <c r="L17" s="10">
        <f>+'IS-PBC'!K39+'IS-PBC'!K41+'IS-PBC'!K42+'IS-PBC'!K43+'IS-PBC'!K44+'IS-PBC'!K45+'IS-PBC'!K46+'IS-PBC'!K47+'IS-PBC'!K48+'IS-PBC'!K49+'IS-PBC'!K50+'IS-PBC'!K51+'IS-PBC'!K53+'IS-PBC'!K54</f>
        <v>57724.93</v>
      </c>
      <c r="M17" s="10">
        <f>+'IS-PBC'!L39+'IS-PBC'!L41+'IS-PBC'!L42+'IS-PBC'!L43+'IS-PBC'!L44+'IS-PBC'!L45+'IS-PBC'!L46+'IS-PBC'!L47+'IS-PBC'!L48+'IS-PBC'!L49+'IS-PBC'!L50+'IS-PBC'!L51+'IS-PBC'!L53+'IS-PBC'!L54</f>
        <v>47385.060000000005</v>
      </c>
      <c r="N17" s="10">
        <f>+'IS-PBC'!M39+'IS-PBC'!M41+'IS-PBC'!M42+'IS-PBC'!M43+'IS-PBC'!M44+'IS-PBC'!M45+'IS-PBC'!M46+'IS-PBC'!M47+'IS-PBC'!M48+'IS-PBC'!M49+'IS-PBC'!M50+'IS-PBC'!M51+'IS-PBC'!M53+'IS-PBC'!M54</f>
        <v>50344.13</v>
      </c>
      <c r="O17" s="10">
        <f>SUM(C17:N17)</f>
        <v>695219.63000000012</v>
      </c>
      <c r="P17" s="10"/>
      <c r="Q17" s="10">
        <f t="shared" si="0"/>
        <v>695219.63000000012</v>
      </c>
      <c r="R17" s="10"/>
      <c r="S17" s="10">
        <f t="shared" si="1"/>
        <v>695219.63000000012</v>
      </c>
      <c r="U17" s="523">
        <f>+Q17</f>
        <v>695219.63000000012</v>
      </c>
    </row>
    <row r="18" spans="1:21" ht="15" customHeight="1">
      <c r="A18" s="23">
        <v>7</v>
      </c>
      <c r="B18" s="9" t="s">
        <v>779</v>
      </c>
      <c r="C18" s="10">
        <f>+'IS-PBC'!B57+'IS-PBC'!B66</f>
        <v>32533.149999999998</v>
      </c>
      <c r="D18" s="10">
        <f>+'IS-PBC'!C57+'IS-PBC'!C66</f>
        <v>24184.239999999998</v>
      </c>
      <c r="E18" s="10">
        <f>+'IS-PBC'!D57+'IS-PBC'!D66</f>
        <v>61280</v>
      </c>
      <c r="F18" s="10">
        <f>+'IS-PBC'!E57+'IS-PBC'!E66</f>
        <v>46947.13</v>
      </c>
      <c r="G18" s="10">
        <f>+'IS-PBC'!F57+'IS-PBC'!F66</f>
        <v>35128.630000000005</v>
      </c>
      <c r="H18" s="10">
        <f>+'IS-PBC'!G57+'IS-PBC'!G66</f>
        <v>46791.25</v>
      </c>
      <c r="I18" s="10">
        <f>+'IS-PBC'!H57+'IS-PBC'!H66</f>
        <v>42321.599999999999</v>
      </c>
      <c r="J18" s="10">
        <f>+'IS-PBC'!I57+'IS-PBC'!I66</f>
        <v>46497.68</v>
      </c>
      <c r="K18" s="10">
        <f>+'IS-PBC'!J57+'IS-PBC'!J66</f>
        <v>53398.93</v>
      </c>
      <c r="L18" s="10">
        <f>+'IS-PBC'!K57+'IS-PBC'!K66</f>
        <v>62964.65</v>
      </c>
      <c r="M18" s="10">
        <f>+'IS-PBC'!L57+'IS-PBC'!L66</f>
        <v>75073.42</v>
      </c>
      <c r="N18" s="10">
        <f>+'IS-PBC'!M57+'IS-PBC'!M66</f>
        <v>64244.72</v>
      </c>
      <c r="O18" s="10">
        <f t="shared" si="2"/>
        <v>591365.4</v>
      </c>
      <c r="P18" s="10"/>
      <c r="Q18" s="10">
        <f t="shared" si="0"/>
        <v>591365.4</v>
      </c>
      <c r="R18" s="10"/>
      <c r="S18" s="10">
        <f t="shared" si="1"/>
        <v>591365.4</v>
      </c>
      <c r="U18" s="523"/>
    </row>
    <row r="19" spans="1:21" ht="15" customHeight="1">
      <c r="A19" s="23">
        <v>8</v>
      </c>
      <c r="B19" s="9" t="s">
        <v>780</v>
      </c>
      <c r="C19" s="10">
        <f>+'IS-PBC'!B55+'IS-PBC'!B56+'IS-PBC'!B58+'IS-PBC'!B59+'IS-PBC'!B60+'IS-PBC'!B61+'IS-PBC'!B62+'IS-PBC'!B63+'IS-PBC'!B64+'IS-PBC'!B65</f>
        <v>43966.2</v>
      </c>
      <c r="D19" s="10">
        <f>+'IS-PBC'!C55+'IS-PBC'!C56+'IS-PBC'!C58+'IS-PBC'!C59+'IS-PBC'!C60+'IS-PBC'!C61+'IS-PBC'!C62+'IS-PBC'!C63+'IS-PBC'!C64+'IS-PBC'!C65</f>
        <v>39543.99</v>
      </c>
      <c r="E19" s="10">
        <f>+'IS-PBC'!D55+'IS-PBC'!D56+'IS-PBC'!D58+'IS-PBC'!D59+'IS-PBC'!D60+'IS-PBC'!D61+'IS-PBC'!D62+'IS-PBC'!D63+'IS-PBC'!D64+'IS-PBC'!D65</f>
        <v>83400.48000000001</v>
      </c>
      <c r="F19" s="10">
        <f>+'IS-PBC'!E55+'IS-PBC'!E56+'IS-PBC'!E58+'IS-PBC'!E59+'IS-PBC'!E60+'IS-PBC'!E61+'IS-PBC'!E62+'IS-PBC'!E63+'IS-PBC'!E64+'IS-PBC'!E65</f>
        <v>119069.39</v>
      </c>
      <c r="G19" s="10">
        <f>+'IS-PBC'!F55+'IS-PBC'!F56+'IS-PBC'!F58+'IS-PBC'!F59+'IS-PBC'!F60+'IS-PBC'!F61+'IS-PBC'!F62+'IS-PBC'!F63+'IS-PBC'!F64+'IS-PBC'!F65</f>
        <v>100789.37999999999</v>
      </c>
      <c r="H19" s="10">
        <f>+'IS-PBC'!G55+'IS-PBC'!G56+'IS-PBC'!G58+'IS-PBC'!G59+'IS-PBC'!G60+'IS-PBC'!G61+'IS-PBC'!G62+'IS-PBC'!G63+'IS-PBC'!G64+'IS-PBC'!G65</f>
        <v>104607.69000000002</v>
      </c>
      <c r="I19" s="10">
        <f>+'IS-PBC'!H55+'IS-PBC'!H56+'IS-PBC'!H58+'IS-PBC'!H59+'IS-PBC'!H60+'IS-PBC'!H61+'IS-PBC'!H62+'IS-PBC'!H63+'IS-PBC'!H64+'IS-PBC'!H65</f>
        <v>92155.50999999998</v>
      </c>
      <c r="J19" s="10">
        <f>+'IS-PBC'!I55+'IS-PBC'!I56+'IS-PBC'!I58+'IS-PBC'!I59+'IS-PBC'!I60+'IS-PBC'!I61+'IS-PBC'!I62+'IS-PBC'!I63+'IS-PBC'!I64+'IS-PBC'!I65</f>
        <v>118423.06000000001</v>
      </c>
      <c r="K19" s="10">
        <f>+'IS-PBC'!J55+'IS-PBC'!J56+'IS-PBC'!J58+'IS-PBC'!J59+'IS-PBC'!J60+'IS-PBC'!J61+'IS-PBC'!J62+'IS-PBC'!J63+'IS-PBC'!J64+'IS-PBC'!J65</f>
        <v>97154.45</v>
      </c>
      <c r="L19" s="10">
        <f>+'IS-PBC'!K55+'IS-PBC'!K56+'IS-PBC'!K58+'IS-PBC'!K59+'IS-PBC'!K60+'IS-PBC'!K61+'IS-PBC'!K62+'IS-PBC'!K63+'IS-PBC'!K64+'IS-PBC'!K65</f>
        <v>87892.249999999985</v>
      </c>
      <c r="M19" s="10">
        <f>+'IS-PBC'!L55+'IS-PBC'!L56+'IS-PBC'!L58+'IS-PBC'!L59+'IS-PBC'!L60+'IS-PBC'!L61+'IS-PBC'!L62+'IS-PBC'!L63+'IS-PBC'!L64+'IS-PBC'!L65</f>
        <v>98155.64</v>
      </c>
      <c r="N19" s="10">
        <f>+'IS-PBC'!M55+'IS-PBC'!M56+'IS-PBC'!M58+'IS-PBC'!M59+'IS-PBC'!M60+'IS-PBC'!M61+'IS-PBC'!M62+'IS-PBC'!M63+'IS-PBC'!M64+'IS-PBC'!M65</f>
        <v>64681.249999999993</v>
      </c>
      <c r="O19" s="10">
        <f>SUM(C19:N19)</f>
        <v>1049839.29</v>
      </c>
      <c r="P19" s="10"/>
      <c r="Q19" s="10">
        <f t="shared" si="0"/>
        <v>1049839.29</v>
      </c>
      <c r="R19" s="10"/>
      <c r="S19" s="10">
        <f t="shared" si="1"/>
        <v>1049839.29</v>
      </c>
      <c r="U19" s="523">
        <f>+Q19</f>
        <v>1049839.29</v>
      </c>
    </row>
    <row r="20" spans="1:21" ht="15" customHeight="1">
      <c r="A20" s="23">
        <v>9</v>
      </c>
      <c r="B20" s="9" t="s">
        <v>842</v>
      </c>
      <c r="C20" s="10">
        <f>+'IS-PBC'!B67</f>
        <v>26009.35</v>
      </c>
      <c r="D20" s="10">
        <f>+'IS-PBC'!C67</f>
        <v>22956.71</v>
      </c>
      <c r="E20" s="10">
        <f>+'IS-PBC'!D67</f>
        <v>34250.769999999997</v>
      </c>
      <c r="F20" s="10">
        <f>+'IS-PBC'!E67</f>
        <v>43870.19</v>
      </c>
      <c r="G20" s="10">
        <f>+'IS-PBC'!F67</f>
        <v>38869.230000000003</v>
      </c>
      <c r="H20" s="10">
        <f>+'IS-PBC'!G67</f>
        <v>37938.339999999997</v>
      </c>
      <c r="I20" s="10">
        <f>+'IS-PBC'!H67</f>
        <v>36985.699999999997</v>
      </c>
      <c r="J20" s="10">
        <f>+'IS-PBC'!I67</f>
        <v>44000.07</v>
      </c>
      <c r="K20" s="10">
        <f>+'IS-PBC'!J67</f>
        <v>36604.699999999997</v>
      </c>
      <c r="L20" s="10">
        <f>+'IS-PBC'!K67</f>
        <v>33492.49</v>
      </c>
      <c r="M20" s="10">
        <f>+'IS-PBC'!L67</f>
        <v>35087.39</v>
      </c>
      <c r="N20" s="10">
        <f>+'IS-PBC'!M67</f>
        <v>29849.55</v>
      </c>
      <c r="O20" s="10">
        <f t="shared" si="2"/>
        <v>419914.49</v>
      </c>
      <c r="P20" s="10"/>
      <c r="Q20" s="10">
        <f>P20+O20</f>
        <v>419914.49</v>
      </c>
      <c r="R20" s="10"/>
      <c r="S20" s="10">
        <f t="shared" ref="S20:S24" si="3">Q20+R20</f>
        <v>419914.49</v>
      </c>
      <c r="U20" s="523">
        <f>+Q20</f>
        <v>419914.49</v>
      </c>
    </row>
    <row r="21" spans="1:21" ht="15" customHeight="1">
      <c r="A21" s="23">
        <v>10</v>
      </c>
      <c r="B21" s="9" t="s">
        <v>843</v>
      </c>
      <c r="C21" s="10">
        <f>+'IS-PBC'!B68+'IS-PBC'!B69+'IS-PBC'!B70+'IS-PBC'!B71+'IS-PBC'!B72+'IS-PBC'!B73</f>
        <v>42108.340000000004</v>
      </c>
      <c r="D21" s="10">
        <f>+'IS-PBC'!C68+'IS-PBC'!C69+'IS-PBC'!C70+'IS-PBC'!C71+'IS-PBC'!C72+'IS-PBC'!C73</f>
        <v>44585.75</v>
      </c>
      <c r="E21" s="10">
        <f>+'IS-PBC'!D68+'IS-PBC'!D69+'IS-PBC'!D70+'IS-PBC'!D71+'IS-PBC'!D72+'IS-PBC'!D73</f>
        <v>64886.310000000005</v>
      </c>
      <c r="F21" s="10">
        <f>+'IS-PBC'!E68+'IS-PBC'!E69+'IS-PBC'!E70+'IS-PBC'!E71+'IS-PBC'!E72+'IS-PBC'!E73</f>
        <v>57781.11</v>
      </c>
      <c r="G21" s="10">
        <f>+'IS-PBC'!F68+'IS-PBC'!F69+'IS-PBC'!F70+'IS-PBC'!F71+'IS-PBC'!F72+'IS-PBC'!F73</f>
        <v>62619.229999999996</v>
      </c>
      <c r="H21" s="10">
        <f>+'IS-PBC'!G68+'IS-PBC'!G69+'IS-PBC'!G70+'IS-PBC'!G71+'IS-PBC'!G72+'IS-PBC'!G73</f>
        <v>61042.82</v>
      </c>
      <c r="I21" s="10">
        <f>+'IS-PBC'!H68+'IS-PBC'!H69+'IS-PBC'!H70+'IS-PBC'!H71+'IS-PBC'!H72+'IS-PBC'!H73</f>
        <v>68117.239999999991</v>
      </c>
      <c r="J21" s="10">
        <f>+'IS-PBC'!I68+'IS-PBC'!I69+'IS-PBC'!I70+'IS-PBC'!I71+'IS-PBC'!I72+'IS-PBC'!I73</f>
        <v>58585.599999999999</v>
      </c>
      <c r="K21" s="10">
        <f>+'IS-PBC'!J68+'IS-PBC'!J69+'IS-PBC'!J70+'IS-PBC'!J71+'IS-PBC'!J72+'IS-PBC'!J73</f>
        <v>73324.01999999999</v>
      </c>
      <c r="L21" s="10">
        <f>+'IS-PBC'!K68+'IS-PBC'!K69+'IS-PBC'!K70+'IS-PBC'!K71+'IS-PBC'!K72+'IS-PBC'!K73</f>
        <v>67024.329999999987</v>
      </c>
      <c r="M21" s="10">
        <f>+'IS-PBC'!L68+'IS-PBC'!L69+'IS-PBC'!L70+'IS-PBC'!L71+'IS-PBC'!L72+'IS-PBC'!L73</f>
        <v>72218.19</v>
      </c>
      <c r="N21" s="10">
        <f>+'IS-PBC'!M68+'IS-PBC'!M69+'IS-PBC'!M70+'IS-PBC'!M71+'IS-PBC'!M72+'IS-PBC'!M73</f>
        <v>43843.5</v>
      </c>
      <c r="O21" s="10">
        <f t="shared" si="2"/>
        <v>716136.44</v>
      </c>
      <c r="P21" s="10"/>
      <c r="Q21" s="10">
        <f t="shared" si="0"/>
        <v>716136.44</v>
      </c>
      <c r="R21" s="10"/>
      <c r="S21" s="10">
        <f t="shared" si="3"/>
        <v>716136.44</v>
      </c>
      <c r="U21" s="523">
        <f>+Q21</f>
        <v>716136.44</v>
      </c>
    </row>
    <row r="22" spans="1:21" ht="15" customHeight="1">
      <c r="A22" s="23">
        <v>11</v>
      </c>
      <c r="B22" s="9" t="s">
        <v>781</v>
      </c>
      <c r="C22" s="10">
        <f>+'IS-PBC'!B74</f>
        <v>4452.75</v>
      </c>
      <c r="D22" s="10">
        <f>+'IS-PBC'!C74</f>
        <v>2520.9</v>
      </c>
      <c r="E22" s="10">
        <f>+'IS-PBC'!D74</f>
        <v>5550.1</v>
      </c>
      <c r="F22" s="10">
        <f>+'IS-PBC'!E74</f>
        <v>1968.3</v>
      </c>
      <c r="G22" s="10">
        <f>+'IS-PBC'!F74</f>
        <v>4614</v>
      </c>
      <c r="H22" s="10">
        <f>+'IS-PBC'!G74</f>
        <v>3504</v>
      </c>
      <c r="I22" s="10">
        <f>+'IS-PBC'!H74</f>
        <v>3106.5</v>
      </c>
      <c r="J22" s="10">
        <f>+'IS-PBC'!I74</f>
        <v>4256</v>
      </c>
      <c r="K22" s="10">
        <f>+'IS-PBC'!J74</f>
        <v>4321.3500000000004</v>
      </c>
      <c r="L22" s="10">
        <f>+'IS-PBC'!K74</f>
        <v>1700.04</v>
      </c>
      <c r="M22" s="10">
        <f>+'IS-PBC'!L74</f>
        <v>2873.25</v>
      </c>
      <c r="N22" s="10">
        <f>+'IS-PBC'!M74</f>
        <v>1597.65</v>
      </c>
      <c r="O22" s="10">
        <f t="shared" si="2"/>
        <v>40464.840000000004</v>
      </c>
      <c r="P22" s="10"/>
      <c r="Q22" s="10">
        <f t="shared" si="0"/>
        <v>40464.840000000004</v>
      </c>
      <c r="R22" s="10"/>
      <c r="S22" s="10">
        <f t="shared" si="3"/>
        <v>40464.840000000004</v>
      </c>
      <c r="U22" s="523"/>
    </row>
    <row r="23" spans="1:21" ht="15" customHeight="1">
      <c r="A23" s="23">
        <v>12</v>
      </c>
      <c r="B23" s="9" t="s">
        <v>782</v>
      </c>
      <c r="C23" s="10">
        <f>+'IS-PBC'!B75+'IS-PBC'!B78</f>
        <v>760.91</v>
      </c>
      <c r="D23" s="10">
        <f>+'IS-PBC'!C75+'IS-PBC'!C78</f>
        <v>787.91</v>
      </c>
      <c r="E23" s="10">
        <f>+'IS-PBC'!D75+'IS-PBC'!D78</f>
        <v>663.61999999999989</v>
      </c>
      <c r="F23" s="10">
        <f>+'IS-PBC'!E75+'IS-PBC'!E78</f>
        <v>683.9</v>
      </c>
      <c r="G23" s="10">
        <f>+'IS-PBC'!F75+'IS-PBC'!F78</f>
        <v>994.76</v>
      </c>
      <c r="H23" s="10">
        <f>+'IS-PBC'!G75+'IS-PBC'!G78</f>
        <v>866.21</v>
      </c>
      <c r="I23" s="10">
        <f>+'IS-PBC'!H75+'IS-PBC'!H78</f>
        <v>793.31999999999994</v>
      </c>
      <c r="J23" s="10">
        <f>+'IS-PBC'!I75+'IS-PBC'!I78</f>
        <v>844.31000000000006</v>
      </c>
      <c r="K23" s="10">
        <f>+'IS-PBC'!J75+'IS-PBC'!J78</f>
        <v>1005.69</v>
      </c>
      <c r="L23" s="10">
        <f>+'IS-PBC'!K75+'IS-PBC'!K78</f>
        <v>903.67000000000007</v>
      </c>
      <c r="M23" s="10">
        <f>+'IS-PBC'!L75+'IS-PBC'!L78</f>
        <v>1031.5899999999999</v>
      </c>
      <c r="N23" s="10">
        <f>+'IS-PBC'!M75+'IS-PBC'!M78</f>
        <v>996.78</v>
      </c>
      <c r="O23" s="10">
        <f t="shared" si="2"/>
        <v>10332.67</v>
      </c>
      <c r="P23" s="10"/>
      <c r="Q23" s="10">
        <f t="shared" si="0"/>
        <v>10332.67</v>
      </c>
      <c r="R23" s="10"/>
      <c r="S23" s="10">
        <f t="shared" si="3"/>
        <v>10332.67</v>
      </c>
      <c r="U23" s="523"/>
    </row>
    <row r="24" spans="1:21" ht="15" customHeight="1">
      <c r="A24" s="23">
        <v>13</v>
      </c>
      <c r="B24" s="9" t="s">
        <v>783</v>
      </c>
      <c r="C24" s="45">
        <f>+'IS-PBC'!B76+'IS-PBC'!B77</f>
        <v>122.58999999999999</v>
      </c>
      <c r="D24" s="45">
        <f>+'IS-PBC'!C76+'IS-PBC'!C77</f>
        <v>101.39</v>
      </c>
      <c r="E24" s="45">
        <f>+'IS-PBC'!D76+'IS-PBC'!D77</f>
        <v>75.16</v>
      </c>
      <c r="F24" s="45">
        <f>+'IS-PBC'!E76+'IS-PBC'!E77</f>
        <v>259.43</v>
      </c>
      <c r="G24" s="45">
        <f>+'IS-PBC'!F76+'IS-PBC'!F77</f>
        <v>148.18</v>
      </c>
      <c r="H24" s="45">
        <f>+'IS-PBC'!G76+'IS-PBC'!G77</f>
        <v>121.10000000000001</v>
      </c>
      <c r="I24" s="45">
        <f>+'IS-PBC'!H76+'IS-PBC'!H77</f>
        <v>89.23</v>
      </c>
      <c r="J24" s="45">
        <f>+'IS-PBC'!I76+'IS-PBC'!I77</f>
        <v>101.05</v>
      </c>
      <c r="K24" s="45">
        <f>+'IS-PBC'!J76+'IS-PBC'!J77</f>
        <v>80.33</v>
      </c>
      <c r="L24" s="45">
        <f>+'IS-PBC'!K76+'IS-PBC'!K77</f>
        <v>35.25</v>
      </c>
      <c r="M24" s="45">
        <f>+'IS-PBC'!L76+'IS-PBC'!L77</f>
        <v>57.03</v>
      </c>
      <c r="N24" s="45">
        <f>+'IS-PBC'!M76+'IS-PBC'!M77</f>
        <v>64.990000000000009</v>
      </c>
      <c r="O24" s="50">
        <f t="shared" si="2"/>
        <v>1255.73</v>
      </c>
      <c r="P24" s="45"/>
      <c r="Q24" s="45">
        <f>P24+O24</f>
        <v>1255.73</v>
      </c>
      <c r="R24" s="10"/>
      <c r="S24" s="50">
        <f t="shared" si="3"/>
        <v>1255.73</v>
      </c>
      <c r="U24" s="522">
        <f>+Q24</f>
        <v>1255.73</v>
      </c>
    </row>
    <row r="25" spans="1:21" ht="15" customHeight="1">
      <c r="B25" s="8"/>
      <c r="C25" s="242">
        <f>SUM(C13:C24)</f>
        <v>575892.57999999996</v>
      </c>
      <c r="D25" s="45">
        <f t="shared" ref="D25:Q25" si="4">SUM(D12:D24)</f>
        <v>783374.69000000006</v>
      </c>
      <c r="E25" s="45">
        <f t="shared" si="4"/>
        <v>930083.29</v>
      </c>
      <c r="F25" s="45">
        <f t="shared" si="4"/>
        <v>984071.11000000022</v>
      </c>
      <c r="G25" s="45">
        <f t="shared" si="4"/>
        <v>942436.42999999993</v>
      </c>
      <c r="H25" s="45">
        <f t="shared" si="4"/>
        <v>977870.27</v>
      </c>
      <c r="I25" s="45">
        <f t="shared" si="4"/>
        <v>975175.17</v>
      </c>
      <c r="J25" s="45">
        <f t="shared" si="4"/>
        <v>1028480.5400000002</v>
      </c>
      <c r="K25" s="45">
        <f t="shared" si="4"/>
        <v>1001304.26</v>
      </c>
      <c r="L25" s="45">
        <f t="shared" si="4"/>
        <v>1003690.6100000001</v>
      </c>
      <c r="M25" s="45">
        <f t="shared" si="4"/>
        <v>989833.50000000012</v>
      </c>
      <c r="N25" s="45">
        <f t="shared" si="4"/>
        <v>940598.46000000008</v>
      </c>
      <c r="O25" s="45">
        <f t="shared" si="4"/>
        <v>11348551.439999999</v>
      </c>
      <c r="P25" s="45">
        <f t="shared" si="4"/>
        <v>0</v>
      </c>
      <c r="Q25" s="45">
        <f t="shared" si="4"/>
        <v>11348551.439999999</v>
      </c>
      <c r="R25" s="10"/>
      <c r="S25" s="45">
        <f>SUM(S12:S24)</f>
        <v>11348551.439999999</v>
      </c>
      <c r="U25" s="232">
        <f>SUM(U12:U24)</f>
        <v>5335088.5300000012</v>
      </c>
    </row>
    <row r="26" spans="1:21" ht="15" customHeight="1">
      <c r="B26" s="8"/>
      <c r="C26" s="10"/>
      <c r="D26" s="10"/>
      <c r="E26" s="10"/>
      <c r="F26" s="10"/>
      <c r="G26" s="10"/>
      <c r="H26" s="10"/>
      <c r="I26" s="10"/>
      <c r="J26" s="10"/>
      <c r="K26" s="10"/>
      <c r="L26" s="10"/>
      <c r="M26" s="10"/>
      <c r="N26" s="10"/>
      <c r="O26" s="10"/>
      <c r="P26" s="10"/>
      <c r="Q26" s="10"/>
      <c r="R26" s="10"/>
      <c r="S26" s="10"/>
      <c r="U26" s="13">
        <f>+U25/S25</f>
        <v>0.47011185156155944</v>
      </c>
    </row>
    <row r="27" spans="1:21" ht="15" customHeight="1">
      <c r="B27" s="11" t="s">
        <v>14</v>
      </c>
      <c r="C27" s="10"/>
      <c r="D27" s="10"/>
      <c r="E27" s="10"/>
      <c r="F27" s="10"/>
      <c r="G27" s="10"/>
      <c r="H27" s="10"/>
      <c r="I27" s="10"/>
      <c r="J27" s="10"/>
      <c r="K27" s="10"/>
      <c r="L27" s="10"/>
      <c r="M27" s="10"/>
      <c r="N27" s="10"/>
      <c r="O27" s="10"/>
      <c r="P27" s="46"/>
      <c r="Q27" s="10"/>
      <c r="R27" s="10"/>
      <c r="S27" s="10"/>
    </row>
    <row r="28" spans="1:21" ht="15" customHeight="1">
      <c r="A28" s="23">
        <v>14</v>
      </c>
      <c r="B28" s="9" t="s">
        <v>789</v>
      </c>
      <c r="C28" s="10">
        <f>+'IS-PBC'!B107</f>
        <v>199889.08</v>
      </c>
      <c r="D28" s="10">
        <f>+'IS-PBC'!C107</f>
        <v>192808.04</v>
      </c>
      <c r="E28" s="10">
        <f>+'IS-PBC'!D107</f>
        <v>195134.37</v>
      </c>
      <c r="F28" s="10">
        <f>+'IS-PBC'!E107</f>
        <v>307338.15999999997</v>
      </c>
      <c r="G28" s="10">
        <f>+'IS-PBC'!F107</f>
        <v>204827.92</v>
      </c>
      <c r="H28" s="10">
        <f>+'IS-PBC'!G107</f>
        <v>210195.89</v>
      </c>
      <c r="I28" s="10">
        <f>+'IS-PBC'!H107</f>
        <v>206192.5</v>
      </c>
      <c r="J28" s="10">
        <f>+'IS-PBC'!I107</f>
        <v>205138.14</v>
      </c>
      <c r="K28" s="10">
        <f>+'IS-PBC'!J107</f>
        <v>210480.24</v>
      </c>
      <c r="L28" s="10">
        <f>+'IS-PBC'!K107</f>
        <v>313202.26</v>
      </c>
      <c r="M28" s="10">
        <f>+'IS-PBC'!L107</f>
        <v>239920.94</v>
      </c>
      <c r="N28" s="10">
        <f>+'IS-PBC'!M107</f>
        <v>159634.94</v>
      </c>
      <c r="O28" s="10">
        <f>SUM(C28:N28)</f>
        <v>2644762.48</v>
      </c>
      <c r="P28" s="10"/>
      <c r="Q28" s="10">
        <f t="shared" ref="Q28:Q50" si="5">O28+P28</f>
        <v>2644762.48</v>
      </c>
      <c r="R28" s="10"/>
      <c r="S28" s="10">
        <f t="shared" ref="S28:S67" si="6">Q28+R28</f>
        <v>2644762.48</v>
      </c>
    </row>
    <row r="29" spans="1:21" ht="15" customHeight="1">
      <c r="A29" s="23">
        <v>15</v>
      </c>
      <c r="B29" s="9" t="s">
        <v>807</v>
      </c>
      <c r="C29" s="10">
        <f>+'IS-PBC'!B191+'IS-PBC'!B192</f>
        <v>55912.39</v>
      </c>
      <c r="D29" s="10">
        <f>+'IS-PBC'!C191+'IS-PBC'!C192</f>
        <v>55001.54</v>
      </c>
      <c r="E29" s="10">
        <f>+'IS-PBC'!D191+'IS-PBC'!D192</f>
        <v>67429.66</v>
      </c>
      <c r="F29" s="10">
        <f>+'IS-PBC'!E191+'IS-PBC'!E192</f>
        <v>57679.7</v>
      </c>
      <c r="G29" s="10">
        <f>+'IS-PBC'!F191+'IS-PBC'!F192</f>
        <v>56663.11</v>
      </c>
      <c r="H29" s="10">
        <f>+'IS-PBC'!G191+'IS-PBC'!G192</f>
        <v>63380.76</v>
      </c>
      <c r="I29" s="10">
        <f>+'IS-PBC'!H191+'IS-PBC'!H192</f>
        <v>60357.93</v>
      </c>
      <c r="J29" s="10">
        <f>+'IS-PBC'!I191+'IS-PBC'!I192</f>
        <v>62767.11</v>
      </c>
      <c r="K29" s="10">
        <f>+'IS-PBC'!J191+'IS-PBC'!J192</f>
        <v>63931.69</v>
      </c>
      <c r="L29" s="10">
        <f>+'IS-PBC'!K191+'IS-PBC'!K192</f>
        <v>73718.78</v>
      </c>
      <c r="M29" s="10">
        <f>+'IS-PBC'!L191+'IS-PBC'!L192</f>
        <v>63035.25</v>
      </c>
      <c r="N29" s="10">
        <f>+'IS-PBC'!M191+'IS-PBC'!M192</f>
        <v>-142839.6</v>
      </c>
      <c r="O29" s="10">
        <f t="shared" ref="O29:O67" si="7">SUM(C29:N29)</f>
        <v>537038.31999999995</v>
      </c>
      <c r="P29" s="10"/>
      <c r="Q29" s="10">
        <f t="shared" si="5"/>
        <v>537038.31999999995</v>
      </c>
      <c r="R29" s="10"/>
      <c r="S29" s="10">
        <f t="shared" si="6"/>
        <v>537038.31999999995</v>
      </c>
    </row>
    <row r="30" spans="1:21" ht="15" customHeight="1">
      <c r="A30" s="23">
        <v>16</v>
      </c>
      <c r="B30" s="9" t="s">
        <v>349</v>
      </c>
      <c r="C30" s="10">
        <f>+'IS-PBC'!B200+'IS-PBC'!B201</f>
        <v>1299</v>
      </c>
      <c r="D30" s="10">
        <f>+'IS-PBC'!C200+'IS-PBC'!C201</f>
        <v>1669</v>
      </c>
      <c r="E30" s="10">
        <f>+'IS-PBC'!D200+'IS-PBC'!D201</f>
        <v>1489.49</v>
      </c>
      <c r="F30" s="10">
        <f>+'IS-PBC'!E200+'IS-PBC'!E201</f>
        <v>1963</v>
      </c>
      <c r="G30" s="10">
        <f>+'IS-PBC'!F200+'IS-PBC'!F201</f>
        <v>667.3</v>
      </c>
      <c r="H30" s="10">
        <f>+'IS-PBC'!G200+'IS-PBC'!G201</f>
        <v>2414.13</v>
      </c>
      <c r="I30" s="10">
        <f>+'IS-PBC'!H200+'IS-PBC'!H201</f>
        <v>3710</v>
      </c>
      <c r="J30" s="10">
        <f>+'IS-PBC'!I200+'IS-PBC'!I201</f>
        <v>2035</v>
      </c>
      <c r="K30" s="10">
        <f>+'IS-PBC'!J200+'IS-PBC'!J201</f>
        <v>2279.1800000000003</v>
      </c>
      <c r="L30" s="10">
        <f>+'IS-PBC'!K200+'IS-PBC'!K201</f>
        <v>1873.1599999999999</v>
      </c>
      <c r="M30" s="10">
        <f>+'IS-PBC'!L200+'IS-PBC'!L201</f>
        <v>2124.09</v>
      </c>
      <c r="N30" s="10">
        <f>+'IS-PBC'!M200+'IS-PBC'!M201</f>
        <v>1234</v>
      </c>
      <c r="O30" s="10">
        <f t="shared" si="7"/>
        <v>22757.35</v>
      </c>
      <c r="P30" s="10"/>
      <c r="Q30" s="10">
        <f t="shared" si="5"/>
        <v>22757.35</v>
      </c>
      <c r="R30" s="10"/>
      <c r="S30" s="10">
        <f t="shared" si="6"/>
        <v>22757.35</v>
      </c>
    </row>
    <row r="31" spans="1:21" ht="15" customHeight="1">
      <c r="A31" s="23">
        <v>17</v>
      </c>
      <c r="B31" s="9" t="s">
        <v>71</v>
      </c>
      <c r="C31" s="10">
        <f>+'IS-PBC'!B208+'IS-PBC'!B209+'IS-PBC'!B210</f>
        <v>-291599.63</v>
      </c>
      <c r="D31" s="10">
        <f>+'IS-PBC'!C208+'IS-PBC'!C209+'IS-PBC'!C210</f>
        <v>-233.64</v>
      </c>
      <c r="E31" s="10">
        <f>+'IS-PBC'!D208+'IS-PBC'!D209+'IS-PBC'!D210</f>
        <v>-217.45</v>
      </c>
      <c r="F31" s="10">
        <f>+'IS-PBC'!E208+'IS-PBC'!E209+'IS-PBC'!E210</f>
        <v>-321.83</v>
      </c>
      <c r="G31" s="10">
        <f>+'IS-PBC'!F208+'IS-PBC'!F209+'IS-PBC'!F210</f>
        <v>-135.22999999999999</v>
      </c>
      <c r="H31" s="10">
        <f>+'IS-PBC'!G208+'IS-PBC'!G209+'IS-PBC'!G210</f>
        <v>0</v>
      </c>
      <c r="I31" s="10">
        <f>+'IS-PBC'!H208+'IS-PBC'!H209+'IS-PBC'!H210</f>
        <v>-47.51</v>
      </c>
      <c r="J31" s="10">
        <f>+'IS-PBC'!I208+'IS-PBC'!I209+'IS-PBC'!I210</f>
        <v>-116.78</v>
      </c>
      <c r="K31" s="10">
        <f>+'IS-PBC'!J208+'IS-PBC'!J209+'IS-PBC'!J210</f>
        <v>-130.97</v>
      </c>
      <c r="L31" s="10">
        <f>+'IS-PBC'!K208+'IS-PBC'!K209+'IS-PBC'!K210</f>
        <v>-47.41</v>
      </c>
      <c r="M31" s="10">
        <f>+'IS-PBC'!L208+'IS-PBC'!L209+'IS-PBC'!L210</f>
        <v>-77.929999999999993</v>
      </c>
      <c r="N31" s="10">
        <f>+'IS-PBC'!M208+'IS-PBC'!M209+'IS-PBC'!M210</f>
        <v>216705.11</v>
      </c>
      <c r="O31" s="10">
        <f t="shared" si="7"/>
        <v>-76223.270000000019</v>
      </c>
      <c r="P31" s="10"/>
      <c r="Q31" s="10">
        <f t="shared" si="5"/>
        <v>-76223.270000000019</v>
      </c>
      <c r="R31" s="10"/>
      <c r="S31" s="10">
        <f t="shared" si="6"/>
        <v>-76223.270000000019</v>
      </c>
    </row>
    <row r="32" spans="1:21" ht="15" customHeight="1">
      <c r="A32" s="23">
        <v>18</v>
      </c>
      <c r="B32" s="9" t="s">
        <v>808</v>
      </c>
      <c r="C32" s="10">
        <f>+'IS-PBC'!B206+'IS-PBC'!B207</f>
        <v>436.62</v>
      </c>
      <c r="D32" s="10">
        <f>+'IS-PBC'!C206+'IS-PBC'!C207</f>
        <v>501.13</v>
      </c>
      <c r="E32" s="10">
        <f>+'IS-PBC'!D206+'IS-PBC'!D207</f>
        <v>185.03</v>
      </c>
      <c r="F32" s="10">
        <f>+'IS-PBC'!E206+'IS-PBC'!E207</f>
        <v>202.13</v>
      </c>
      <c r="G32" s="10">
        <f>+'IS-PBC'!F206+'IS-PBC'!F207</f>
        <v>530.49</v>
      </c>
      <c r="H32" s="10">
        <f>+'IS-PBC'!G206+'IS-PBC'!G207</f>
        <v>90.63</v>
      </c>
      <c r="I32" s="10">
        <f>+'IS-PBC'!H206+'IS-PBC'!H207</f>
        <v>90.63</v>
      </c>
      <c r="J32" s="10">
        <f>+'IS-PBC'!I206+'IS-PBC'!I207</f>
        <v>1140.8600000000001</v>
      </c>
      <c r="K32" s="10">
        <f>+'IS-PBC'!J206+'IS-PBC'!J207</f>
        <v>1663.37</v>
      </c>
      <c r="L32" s="10">
        <f>+'IS-PBC'!K206+'IS-PBC'!K207</f>
        <v>292.23</v>
      </c>
      <c r="M32" s="10">
        <f>+'IS-PBC'!L206+'IS-PBC'!L207</f>
        <v>1092.75</v>
      </c>
      <c r="N32" s="10">
        <f>+'IS-PBC'!M206+'IS-PBC'!M207</f>
        <v>226.67</v>
      </c>
      <c r="O32" s="10">
        <f t="shared" si="7"/>
        <v>6452.5399999999991</v>
      </c>
      <c r="P32" s="10"/>
      <c r="Q32" s="10">
        <f t="shared" si="5"/>
        <v>6452.5399999999991</v>
      </c>
      <c r="R32" s="10"/>
      <c r="S32" s="10">
        <f t="shared" si="6"/>
        <v>6452.5399999999991</v>
      </c>
    </row>
    <row r="33" spans="1:19" ht="15" customHeight="1">
      <c r="A33" s="23">
        <v>19</v>
      </c>
      <c r="B33" s="9" t="s">
        <v>350</v>
      </c>
      <c r="C33" s="10">
        <f>+'IS-PBC'!B211</f>
        <v>4636.6899999999996</v>
      </c>
      <c r="D33" s="10">
        <f>+'IS-PBC'!C211</f>
        <v>5218.75</v>
      </c>
      <c r="E33" s="10">
        <f>+'IS-PBC'!D211</f>
        <v>4567.9399999999996</v>
      </c>
      <c r="F33" s="10">
        <f>+'IS-PBC'!E211</f>
        <v>5191.34</v>
      </c>
      <c r="G33" s="10">
        <f>+'IS-PBC'!F211</f>
        <v>5393.06</v>
      </c>
      <c r="H33" s="10">
        <f>+'IS-PBC'!G211</f>
        <v>5785.94</v>
      </c>
      <c r="I33" s="10">
        <f>+'IS-PBC'!H211</f>
        <v>5097.8999999999996</v>
      </c>
      <c r="J33" s="10">
        <f>+'IS-PBC'!I211</f>
        <v>6772.64</v>
      </c>
      <c r="K33" s="10">
        <f>+'IS-PBC'!J211</f>
        <v>4274.87</v>
      </c>
      <c r="L33" s="10">
        <f>+'IS-PBC'!K211</f>
        <v>5721.18</v>
      </c>
      <c r="M33" s="10">
        <f>+'IS-PBC'!L211</f>
        <v>6512.1</v>
      </c>
      <c r="N33" s="10">
        <f>+'IS-PBC'!M211</f>
        <v>5378.01</v>
      </c>
      <c r="O33" s="10">
        <f t="shared" si="7"/>
        <v>64550.42</v>
      </c>
      <c r="P33" s="10"/>
      <c r="Q33" s="10">
        <f t="shared" si="5"/>
        <v>64550.42</v>
      </c>
      <c r="R33" s="10"/>
      <c r="S33" s="10">
        <f t="shared" si="6"/>
        <v>64550.42</v>
      </c>
    </row>
    <row r="34" spans="1:19" ht="15" customHeight="1">
      <c r="A34" s="23">
        <v>20</v>
      </c>
      <c r="B34" s="9" t="s">
        <v>803</v>
      </c>
      <c r="C34" s="10">
        <f>+'IS-PBC'!B172</f>
        <v>0</v>
      </c>
      <c r="D34" s="10">
        <f>+'IS-PBC'!C172</f>
        <v>5789.21</v>
      </c>
      <c r="E34" s="10">
        <f>+'IS-PBC'!D172</f>
        <v>0</v>
      </c>
      <c r="F34" s="10">
        <f>+'IS-PBC'!E172</f>
        <v>2345.04</v>
      </c>
      <c r="G34" s="10">
        <f>+'IS-PBC'!F172</f>
        <v>121.93</v>
      </c>
      <c r="H34" s="10">
        <f>+'IS-PBC'!G172</f>
        <v>0</v>
      </c>
      <c r="I34" s="10">
        <f>+'IS-PBC'!H172</f>
        <v>0</v>
      </c>
      <c r="J34" s="10">
        <f>+'IS-PBC'!I172</f>
        <v>1923.57</v>
      </c>
      <c r="K34" s="10">
        <f>+'IS-PBC'!J172</f>
        <v>496.67</v>
      </c>
      <c r="L34" s="10">
        <f>+'IS-PBC'!K172</f>
        <v>0</v>
      </c>
      <c r="M34" s="10">
        <f>+'IS-PBC'!L172</f>
        <v>108.38</v>
      </c>
      <c r="N34" s="10">
        <f>+'IS-PBC'!M172</f>
        <v>570.11</v>
      </c>
      <c r="O34" s="10">
        <f t="shared" si="7"/>
        <v>11354.91</v>
      </c>
      <c r="P34" s="10"/>
      <c r="Q34" s="10">
        <f t="shared" si="5"/>
        <v>11354.91</v>
      </c>
      <c r="R34" s="10"/>
      <c r="S34" s="10">
        <f t="shared" si="6"/>
        <v>11354.91</v>
      </c>
    </row>
    <row r="35" spans="1:19" ht="15" customHeight="1">
      <c r="A35" s="23">
        <v>21</v>
      </c>
      <c r="B35" s="9" t="s">
        <v>351</v>
      </c>
      <c r="C35" s="10">
        <f>+'IS-PBC'!B213</f>
        <v>0</v>
      </c>
      <c r="D35" s="10">
        <f>+'IS-PBC'!C213</f>
        <v>125</v>
      </c>
      <c r="E35" s="10">
        <f>+'IS-PBC'!D213</f>
        <v>0</v>
      </c>
      <c r="F35" s="10">
        <f>+'IS-PBC'!E213</f>
        <v>350</v>
      </c>
      <c r="G35" s="10">
        <f>+'IS-PBC'!F213</f>
        <v>200</v>
      </c>
      <c r="H35" s="10">
        <f>+'IS-PBC'!G213</f>
        <v>0</v>
      </c>
      <c r="I35" s="10">
        <f>+'IS-PBC'!H213</f>
        <v>0</v>
      </c>
      <c r="J35" s="10">
        <f>+'IS-PBC'!I213</f>
        <v>0</v>
      </c>
      <c r="K35" s="10">
        <f>+'IS-PBC'!J213</f>
        <v>0</v>
      </c>
      <c r="L35" s="10">
        <f>+'IS-PBC'!K213</f>
        <v>0</v>
      </c>
      <c r="M35" s="10">
        <f>+'IS-PBC'!L213</f>
        <v>0</v>
      </c>
      <c r="N35" s="10">
        <f>+'IS-PBC'!M213</f>
        <v>0</v>
      </c>
      <c r="O35" s="10">
        <f t="shared" si="7"/>
        <v>675</v>
      </c>
      <c r="P35" s="10"/>
      <c r="Q35" s="10">
        <f t="shared" si="5"/>
        <v>675</v>
      </c>
      <c r="R35" s="10"/>
      <c r="S35" s="10">
        <f t="shared" si="6"/>
        <v>675</v>
      </c>
    </row>
    <row r="36" spans="1:19" ht="15" customHeight="1">
      <c r="A36" s="23">
        <v>22</v>
      </c>
      <c r="B36" s="9" t="s">
        <v>792</v>
      </c>
      <c r="C36" s="10">
        <f>+'IS-PBC'!B204+'IS-PBC'!B205</f>
        <v>2027.5</v>
      </c>
      <c r="D36" s="10">
        <f>+'IS-PBC'!C204+'IS-PBC'!C205</f>
        <v>1606</v>
      </c>
      <c r="E36" s="10">
        <f>+'IS-PBC'!D204+'IS-PBC'!D205</f>
        <v>3550</v>
      </c>
      <c r="F36" s="10">
        <f>+'IS-PBC'!E204+'IS-PBC'!E205</f>
        <v>1718</v>
      </c>
      <c r="G36" s="10">
        <f>+'IS-PBC'!F204+'IS-PBC'!F205</f>
        <v>2387</v>
      </c>
      <c r="H36" s="10">
        <f>+'IS-PBC'!G204+'IS-PBC'!G205</f>
        <v>1785</v>
      </c>
      <c r="I36" s="10">
        <f>+'IS-PBC'!H204+'IS-PBC'!H205</f>
        <v>9070</v>
      </c>
      <c r="J36" s="10">
        <f>+'IS-PBC'!I204+'IS-PBC'!I205</f>
        <v>450</v>
      </c>
      <c r="K36" s="10">
        <f>+'IS-PBC'!J204+'IS-PBC'!J205</f>
        <v>2650</v>
      </c>
      <c r="L36" s="10">
        <f>+'IS-PBC'!K204+'IS-PBC'!K205</f>
        <v>1652.26</v>
      </c>
      <c r="M36" s="10">
        <f>+'IS-PBC'!L204+'IS-PBC'!L205</f>
        <v>1750</v>
      </c>
      <c r="N36" s="10">
        <f>+'IS-PBC'!M204+'IS-PBC'!M205</f>
        <v>-3750</v>
      </c>
      <c r="O36" s="10">
        <f t="shared" si="7"/>
        <v>24895.759999999998</v>
      </c>
      <c r="P36" s="10"/>
      <c r="Q36" s="10">
        <f t="shared" si="5"/>
        <v>24895.759999999998</v>
      </c>
      <c r="R36" s="10"/>
      <c r="S36" s="10">
        <f t="shared" si="6"/>
        <v>24895.759999999998</v>
      </c>
    </row>
    <row r="37" spans="1:19" ht="15" customHeight="1">
      <c r="A37" s="23">
        <v>23</v>
      </c>
      <c r="B37" s="9" t="s">
        <v>786</v>
      </c>
      <c r="C37" s="10">
        <f>+'IS-PBC'!B135</f>
        <v>1236.8900000000001</v>
      </c>
      <c r="D37" s="10">
        <f>+'IS-PBC'!C135</f>
        <v>920.53</v>
      </c>
      <c r="E37" s="10">
        <f>+'IS-PBC'!D135</f>
        <v>1506.5</v>
      </c>
      <c r="F37" s="10">
        <f>+'IS-PBC'!E135</f>
        <v>779.29</v>
      </c>
      <c r="G37" s="10">
        <f>+'IS-PBC'!F135</f>
        <v>971.57</v>
      </c>
      <c r="H37" s="10">
        <f>+'IS-PBC'!G135</f>
        <v>837.11</v>
      </c>
      <c r="I37" s="10">
        <f>+'IS-PBC'!H135</f>
        <v>989.57</v>
      </c>
      <c r="J37" s="10">
        <f>+'IS-PBC'!I135</f>
        <v>1489.15</v>
      </c>
      <c r="K37" s="10">
        <f>+'IS-PBC'!J135</f>
        <v>692.57</v>
      </c>
      <c r="L37" s="10">
        <f>+'IS-PBC'!K135</f>
        <v>928.5</v>
      </c>
      <c r="M37" s="10">
        <f>+'IS-PBC'!L135</f>
        <v>1793.38</v>
      </c>
      <c r="N37" s="10">
        <f>+'IS-PBC'!M135</f>
        <v>1037.03</v>
      </c>
      <c r="O37" s="10">
        <f t="shared" si="7"/>
        <v>13182.089999999998</v>
      </c>
      <c r="P37" s="10"/>
      <c r="Q37" s="10">
        <f t="shared" si="5"/>
        <v>13182.089999999998</v>
      </c>
      <c r="R37" s="10"/>
      <c r="S37" s="10">
        <f t="shared" si="6"/>
        <v>13182.089999999998</v>
      </c>
    </row>
    <row r="38" spans="1:19" ht="15" customHeight="1">
      <c r="A38" s="23">
        <v>24</v>
      </c>
      <c r="B38" s="9" t="s">
        <v>58</v>
      </c>
      <c r="C38" s="10">
        <f>+'IS-PBC'!B130+'IS-PBC'!B131+'IS-PBC'!B132+'IS-PBC'!B133+'IS-PBC'!B134+'IS-PBC'!B136+'IS-PBC'!B137+'IS-PBC'!B138+'IS-PBC'!B139+'IS-PBC'!B140</f>
        <v>161126.33000000002</v>
      </c>
      <c r="D38" s="10">
        <f>+'IS-PBC'!C130+'IS-PBC'!C131+'IS-PBC'!C132+'IS-PBC'!C133+'IS-PBC'!C134+'IS-PBC'!C136+'IS-PBC'!C137+'IS-PBC'!C138+'IS-PBC'!C139+'IS-PBC'!C140</f>
        <v>141069.41999999998</v>
      </c>
      <c r="E38" s="10">
        <f>+'IS-PBC'!D130+'IS-PBC'!D131+'IS-PBC'!D132+'IS-PBC'!D133+'IS-PBC'!D134+'IS-PBC'!D136+'IS-PBC'!D137+'IS-PBC'!D138+'IS-PBC'!D139+'IS-PBC'!D140</f>
        <v>310198.42000000004</v>
      </c>
      <c r="F38" s="10">
        <f>+'IS-PBC'!E130+'IS-PBC'!E131+'IS-PBC'!E132+'IS-PBC'!E133+'IS-PBC'!E134+'IS-PBC'!E136+'IS-PBC'!E137+'IS-PBC'!E138+'IS-PBC'!E139+'IS-PBC'!E140</f>
        <v>337585.57</v>
      </c>
      <c r="G38" s="10">
        <f>+'IS-PBC'!F130+'IS-PBC'!F131+'IS-PBC'!F132+'IS-PBC'!F133+'IS-PBC'!F134+'IS-PBC'!F136+'IS-PBC'!F137+'IS-PBC'!F138+'IS-PBC'!F139+'IS-PBC'!F140</f>
        <v>284961.53999999998</v>
      </c>
      <c r="H38" s="10">
        <f>+'IS-PBC'!G130+'IS-PBC'!G131+'IS-PBC'!G132+'IS-PBC'!G133+'IS-PBC'!G134+'IS-PBC'!G136+'IS-PBC'!G137+'IS-PBC'!G138+'IS-PBC'!G139+'IS-PBC'!G140</f>
        <v>336190.25999999995</v>
      </c>
      <c r="I38" s="10">
        <f>+'IS-PBC'!H130+'IS-PBC'!H131+'IS-PBC'!H132+'IS-PBC'!H133+'IS-PBC'!H134+'IS-PBC'!H136+'IS-PBC'!H137+'IS-PBC'!H138+'IS-PBC'!H139+'IS-PBC'!H140</f>
        <v>316950.13</v>
      </c>
      <c r="J38" s="10">
        <f>+'IS-PBC'!I130+'IS-PBC'!I131+'IS-PBC'!I132+'IS-PBC'!I133+'IS-PBC'!I134+'IS-PBC'!I136+'IS-PBC'!I137+'IS-PBC'!I138+'IS-PBC'!I139+'IS-PBC'!I140</f>
        <v>335179.13</v>
      </c>
      <c r="K38" s="10">
        <f>+'IS-PBC'!J130+'IS-PBC'!J131+'IS-PBC'!J132+'IS-PBC'!J133+'IS-PBC'!J134+'IS-PBC'!J136+'IS-PBC'!J137+'IS-PBC'!J138+'IS-PBC'!J139+'IS-PBC'!J140</f>
        <v>330441.26</v>
      </c>
      <c r="L38" s="10">
        <f>+'IS-PBC'!K130+'IS-PBC'!K131+'IS-PBC'!K132+'IS-PBC'!K133+'IS-PBC'!K134+'IS-PBC'!K136+'IS-PBC'!K137+'IS-PBC'!K138+'IS-PBC'!K139+'IS-PBC'!K140</f>
        <v>297875.64</v>
      </c>
      <c r="M38" s="10">
        <f>+'IS-PBC'!L130+'IS-PBC'!L131+'IS-PBC'!L132+'IS-PBC'!L133+'IS-PBC'!L134+'IS-PBC'!L136+'IS-PBC'!L137+'IS-PBC'!L138+'IS-PBC'!L139+'IS-PBC'!L140</f>
        <v>325010.43999999994</v>
      </c>
      <c r="N38" s="10">
        <f>+'IS-PBC'!M130+'IS-PBC'!M131+'IS-PBC'!M132+'IS-PBC'!M133+'IS-PBC'!M134+'IS-PBC'!M136+'IS-PBC'!M137+'IS-PBC'!M138+'IS-PBC'!M139+'IS-PBC'!M140</f>
        <v>255064.77000000002</v>
      </c>
      <c r="O38" s="10">
        <f t="shared" si="7"/>
        <v>3431652.9099999997</v>
      </c>
      <c r="P38" s="10"/>
      <c r="Q38" s="10">
        <f t="shared" si="5"/>
        <v>3431652.9099999997</v>
      </c>
      <c r="R38" s="10"/>
      <c r="S38" s="10">
        <f t="shared" si="6"/>
        <v>3431652.9099999997</v>
      </c>
    </row>
    <row r="39" spans="1:19" ht="15" customHeight="1">
      <c r="A39" s="23">
        <v>25</v>
      </c>
      <c r="B39" s="9" t="s">
        <v>102</v>
      </c>
      <c r="C39" s="10">
        <f>+'IS-PBC'!B128+'IS-PBC'!B129</f>
        <v>31815.07</v>
      </c>
      <c r="D39" s="10">
        <f>+'IS-PBC'!C128+'IS-PBC'!C129</f>
        <v>67898.460000000006</v>
      </c>
      <c r="E39" s="10">
        <f>+'IS-PBC'!D128+'IS-PBC'!D129</f>
        <v>73763.63</v>
      </c>
      <c r="F39" s="10">
        <f>+'IS-PBC'!E128+'IS-PBC'!E129</f>
        <v>70259.13</v>
      </c>
      <c r="G39" s="10">
        <f>+'IS-PBC'!F128+'IS-PBC'!F129</f>
        <v>73085.94</v>
      </c>
      <c r="H39" s="10">
        <f>+'IS-PBC'!G128+'IS-PBC'!G129</f>
        <v>58269.119999999995</v>
      </c>
      <c r="I39" s="10">
        <f>+'IS-PBC'!H128+'IS-PBC'!H129</f>
        <v>74716.78</v>
      </c>
      <c r="J39" s="10">
        <f>+'IS-PBC'!I128+'IS-PBC'!I129</f>
        <v>89841.17</v>
      </c>
      <c r="K39" s="10">
        <f>+'IS-PBC'!J128+'IS-PBC'!J129</f>
        <v>78027.3</v>
      </c>
      <c r="L39" s="10">
        <f>+'IS-PBC'!K128+'IS-PBC'!K129</f>
        <v>59298.1</v>
      </c>
      <c r="M39" s="10">
        <f>+'IS-PBC'!L128+'IS-PBC'!L129</f>
        <v>136414.66</v>
      </c>
      <c r="N39" s="10">
        <f>+'IS-PBC'!M128+'IS-PBC'!M129</f>
        <v>50878.429999999993</v>
      </c>
      <c r="O39" s="10">
        <f t="shared" si="7"/>
        <v>864267.79</v>
      </c>
      <c r="P39" s="10"/>
      <c r="Q39" s="10">
        <f t="shared" si="5"/>
        <v>864267.79</v>
      </c>
      <c r="R39" s="10"/>
      <c r="S39" s="10">
        <f t="shared" si="6"/>
        <v>864267.79</v>
      </c>
    </row>
    <row r="40" spans="1:19" ht="15" customHeight="1">
      <c r="A40" s="23">
        <v>26</v>
      </c>
      <c r="B40" s="9" t="s">
        <v>12</v>
      </c>
      <c r="C40" s="10">
        <v>0</v>
      </c>
      <c r="D40" s="10">
        <v>0</v>
      </c>
      <c r="E40" s="10">
        <v>0</v>
      </c>
      <c r="F40" s="10">
        <v>0</v>
      </c>
      <c r="G40" s="10">
        <v>0</v>
      </c>
      <c r="H40" s="10">
        <v>0</v>
      </c>
      <c r="I40" s="10">
        <v>0</v>
      </c>
      <c r="J40" s="10">
        <v>0</v>
      </c>
      <c r="K40" s="10">
        <v>0</v>
      </c>
      <c r="L40" s="10">
        <v>0</v>
      </c>
      <c r="M40" s="10">
        <v>0</v>
      </c>
      <c r="N40" s="10">
        <v>0</v>
      </c>
      <c r="O40" s="10">
        <f t="shared" si="7"/>
        <v>0</v>
      </c>
      <c r="P40" s="10"/>
      <c r="Q40" s="10">
        <f t="shared" si="5"/>
        <v>0</v>
      </c>
      <c r="R40" s="10"/>
      <c r="S40" s="10">
        <f t="shared" si="6"/>
        <v>0</v>
      </c>
    </row>
    <row r="41" spans="1:19" ht="15" customHeight="1">
      <c r="A41" s="23">
        <v>27</v>
      </c>
      <c r="B41" s="9" t="s">
        <v>801</v>
      </c>
      <c r="C41" s="10">
        <f>+'IS-PBC'!B149+'IS-PBC'!B150+'IS-PBC'!B151+'IS-PBC'!B152+'IS-PBC'!B153+'IS-PBC'!B154+'IS-PBC'!B155+'IS-PBC'!B156+'IS-PBC'!B157+'IS-PBC'!B158+'IS-PBC'!B159+'IS-PBC'!B160+'IS-PBC'!B161+'IS-PBC'!B162+'IS-PBC'!B163+'IS-PBC'!B164+'IS-PBC'!B165+'IS-PBC'!B187+'IS-PBC'!B188+'IS-PBC'!B189</f>
        <v>0</v>
      </c>
      <c r="D41" s="10">
        <f>+'IS-PBC'!C149+'IS-PBC'!C150+'IS-PBC'!C151+'IS-PBC'!C152+'IS-PBC'!C153+'IS-PBC'!C154+'IS-PBC'!C155+'IS-PBC'!C156+'IS-PBC'!C157+'IS-PBC'!C158+'IS-PBC'!C159+'IS-PBC'!C160+'IS-PBC'!C161+'IS-PBC'!C162+'IS-PBC'!C163+'IS-PBC'!C164+'IS-PBC'!C165+'IS-PBC'!C187+'IS-PBC'!C188+'IS-PBC'!C189</f>
        <v>26440.249999999996</v>
      </c>
      <c r="E41" s="10">
        <f>+'IS-PBC'!D149+'IS-PBC'!D150+'IS-PBC'!D151+'IS-PBC'!D152+'IS-PBC'!D153+'IS-PBC'!D154+'IS-PBC'!D155+'IS-PBC'!D156+'IS-PBC'!D157+'IS-PBC'!D158+'IS-PBC'!D159+'IS-PBC'!D160+'IS-PBC'!D161+'IS-PBC'!D162+'IS-PBC'!D163+'IS-PBC'!D164+'IS-PBC'!D165+'IS-PBC'!D187+'IS-PBC'!D188+'IS-PBC'!D189</f>
        <v>15451.759999999997</v>
      </c>
      <c r="F41" s="10">
        <f>+'IS-PBC'!E149+'IS-PBC'!E150+'IS-PBC'!E151+'IS-PBC'!E152+'IS-PBC'!E153+'IS-PBC'!E154+'IS-PBC'!E155+'IS-PBC'!E156+'IS-PBC'!E157+'IS-PBC'!E158+'IS-PBC'!E159+'IS-PBC'!E160+'IS-PBC'!E161+'IS-PBC'!E162+'IS-PBC'!E163+'IS-PBC'!E164+'IS-PBC'!E165+'IS-PBC'!E187+'IS-PBC'!E188+'IS-PBC'!E189</f>
        <v>16486.199999999997</v>
      </c>
      <c r="G41" s="10">
        <f>+'IS-PBC'!F149+'IS-PBC'!F150+'IS-PBC'!F151+'IS-PBC'!F152+'IS-PBC'!F153+'IS-PBC'!F154+'IS-PBC'!F155+'IS-PBC'!F156+'IS-PBC'!F157+'IS-PBC'!F158+'IS-PBC'!F159+'IS-PBC'!F160+'IS-PBC'!F161+'IS-PBC'!F162+'IS-PBC'!F163+'IS-PBC'!F164+'IS-PBC'!F165+'IS-PBC'!F187+'IS-PBC'!F188+'IS-PBC'!F189</f>
        <v>15689.289999999997</v>
      </c>
      <c r="H41" s="10">
        <f>+'IS-PBC'!G149+'IS-PBC'!G150+'IS-PBC'!G151+'IS-PBC'!G152+'IS-PBC'!G153+'IS-PBC'!G154+'IS-PBC'!G155+'IS-PBC'!G156+'IS-PBC'!G157+'IS-PBC'!G158+'IS-PBC'!G159+'IS-PBC'!G160+'IS-PBC'!G161+'IS-PBC'!G162+'IS-PBC'!G163+'IS-PBC'!G164+'IS-PBC'!G165+'IS-PBC'!G187+'IS-PBC'!G188+'IS-PBC'!G189</f>
        <v>16336.23</v>
      </c>
      <c r="I41" s="10">
        <f>+'IS-PBC'!H149+'IS-PBC'!H150+'IS-PBC'!H151+'IS-PBC'!H152+'IS-PBC'!H153+'IS-PBC'!H154+'IS-PBC'!H155+'IS-PBC'!H156+'IS-PBC'!H157+'IS-PBC'!H158+'IS-PBC'!H159+'IS-PBC'!H160+'IS-PBC'!H161+'IS-PBC'!H162+'IS-PBC'!H163+'IS-PBC'!H164+'IS-PBC'!H165+'IS-PBC'!H187+'IS-PBC'!H188+'IS-PBC'!H189</f>
        <v>0</v>
      </c>
      <c r="J41" s="10">
        <f>+'IS-PBC'!I149+'IS-PBC'!I150+'IS-PBC'!I151+'IS-PBC'!I152+'IS-PBC'!I153+'IS-PBC'!I154+'IS-PBC'!I155+'IS-PBC'!I156+'IS-PBC'!I157+'IS-PBC'!I158+'IS-PBC'!I159+'IS-PBC'!I160+'IS-PBC'!I161+'IS-PBC'!I162+'IS-PBC'!I163+'IS-PBC'!I164+'IS-PBC'!I165+'IS-PBC'!I187+'IS-PBC'!I188+'IS-PBC'!I189</f>
        <v>33437.530000000006</v>
      </c>
      <c r="K41" s="10">
        <f>+'IS-PBC'!J149+'IS-PBC'!J150+'IS-PBC'!J151+'IS-PBC'!J152+'IS-PBC'!J153+'IS-PBC'!J154+'IS-PBC'!J155+'IS-PBC'!J156+'IS-PBC'!J157+'IS-PBC'!J158+'IS-PBC'!J159+'IS-PBC'!J160+'IS-PBC'!J161+'IS-PBC'!J162+'IS-PBC'!J163+'IS-PBC'!J164+'IS-PBC'!J165+'IS-PBC'!J187+'IS-PBC'!J188+'IS-PBC'!J189</f>
        <v>16565.439999999999</v>
      </c>
      <c r="L41" s="10">
        <f>+'IS-PBC'!K149+'IS-PBC'!K150+'IS-PBC'!K151+'IS-PBC'!K152+'IS-PBC'!K153+'IS-PBC'!K154+'IS-PBC'!K155+'IS-PBC'!K156+'IS-PBC'!K157+'IS-PBC'!K158+'IS-PBC'!K159+'IS-PBC'!K160+'IS-PBC'!K161+'IS-PBC'!K162+'IS-PBC'!K163+'IS-PBC'!K164+'IS-PBC'!K165+'IS-PBC'!K187+'IS-PBC'!K188+'IS-PBC'!K189</f>
        <v>16684.239999999998</v>
      </c>
      <c r="M41" s="10">
        <f>+'IS-PBC'!L149+'IS-PBC'!L150+'IS-PBC'!L151+'IS-PBC'!L152+'IS-PBC'!L153+'IS-PBC'!L154+'IS-PBC'!L155+'IS-PBC'!L156+'IS-PBC'!L157+'IS-PBC'!L158+'IS-PBC'!L159+'IS-PBC'!L160+'IS-PBC'!L161+'IS-PBC'!L162+'IS-PBC'!L163+'IS-PBC'!L164+'IS-PBC'!L165+'IS-PBC'!L187+'IS-PBC'!L188+'IS-PBC'!L189</f>
        <v>16388.68</v>
      </c>
      <c r="N41" s="10">
        <f>+'IS-PBC'!M149+'IS-PBC'!M150+'IS-PBC'!M151+'IS-PBC'!M152+'IS-PBC'!M153+'IS-PBC'!M154+'IS-PBC'!M155+'IS-PBC'!M156+'IS-PBC'!M157+'IS-PBC'!M158+'IS-PBC'!M159+'IS-PBC'!M160+'IS-PBC'!M161+'IS-PBC'!M162+'IS-PBC'!M163+'IS-PBC'!M164+'IS-PBC'!M165+'IS-PBC'!M187+'IS-PBC'!M188+'IS-PBC'!M189</f>
        <v>15884.039999999999</v>
      </c>
      <c r="O41" s="10">
        <f t="shared" si="7"/>
        <v>189363.65999999997</v>
      </c>
      <c r="P41" s="10"/>
      <c r="Q41" s="10">
        <f>O41+P41</f>
        <v>189363.65999999997</v>
      </c>
      <c r="R41" s="10"/>
      <c r="S41" s="10">
        <f>Q41+R41</f>
        <v>189363.65999999997</v>
      </c>
    </row>
    <row r="42" spans="1:19" ht="15" customHeight="1">
      <c r="A42" s="23">
        <v>28</v>
      </c>
      <c r="B42" s="9" t="s">
        <v>29</v>
      </c>
      <c r="C42" s="10">
        <f>+'IS-PBC'!B146+'IS-PBC'!B147+'IS-PBC'!B148+'IS-PBC'!B173</f>
        <v>0</v>
      </c>
      <c r="D42" s="10">
        <f>+'IS-PBC'!C146+'IS-PBC'!C147+'IS-PBC'!C148+'IS-PBC'!C173</f>
        <v>22830.32</v>
      </c>
      <c r="E42" s="10">
        <f>+'IS-PBC'!D146+'IS-PBC'!D147+'IS-PBC'!D148+'IS-PBC'!D173</f>
        <v>0</v>
      </c>
      <c r="F42" s="10">
        <f>+'IS-PBC'!E146+'IS-PBC'!E147+'IS-PBC'!E148+'IS-PBC'!E173</f>
        <v>0</v>
      </c>
      <c r="G42" s="10">
        <f>+'IS-PBC'!F146+'IS-PBC'!F147+'IS-PBC'!F148+'IS-PBC'!F173</f>
        <v>0</v>
      </c>
      <c r="H42" s="10">
        <f>+'IS-PBC'!G146+'IS-PBC'!G147+'IS-PBC'!G148+'IS-PBC'!G173</f>
        <v>-37019.040000000001</v>
      </c>
      <c r="I42" s="10">
        <f>+'IS-PBC'!H146+'IS-PBC'!H147+'IS-PBC'!H148+'IS-PBC'!H173</f>
        <v>0</v>
      </c>
      <c r="J42" s="10">
        <f>+'IS-PBC'!I146+'IS-PBC'!I147+'IS-PBC'!I148+'IS-PBC'!I173</f>
        <v>0</v>
      </c>
      <c r="K42" s="10">
        <f>+'IS-PBC'!J146+'IS-PBC'!J147+'IS-PBC'!J148+'IS-PBC'!J173</f>
        <v>23047.82</v>
      </c>
      <c r="L42" s="10">
        <f>+'IS-PBC'!K146+'IS-PBC'!K147+'IS-PBC'!K148+'IS-PBC'!K173</f>
        <v>0</v>
      </c>
      <c r="M42" s="10">
        <f>+'IS-PBC'!L146+'IS-PBC'!L147+'IS-PBC'!L148+'IS-PBC'!L173</f>
        <v>18880.66</v>
      </c>
      <c r="N42" s="10">
        <f>+'IS-PBC'!M146+'IS-PBC'!M147+'IS-PBC'!M148+'IS-PBC'!M173</f>
        <v>206905.81</v>
      </c>
      <c r="O42" s="10">
        <f t="shared" si="7"/>
        <v>234645.57</v>
      </c>
      <c r="P42" s="10"/>
      <c r="Q42" s="10">
        <f t="shared" si="5"/>
        <v>234645.57</v>
      </c>
      <c r="R42" s="10"/>
      <c r="S42" s="10">
        <f t="shared" si="6"/>
        <v>234645.57</v>
      </c>
    </row>
    <row r="43" spans="1:19">
      <c r="A43" s="23">
        <v>29</v>
      </c>
      <c r="B43" s="9" t="s">
        <v>804</v>
      </c>
      <c r="C43" s="10">
        <f>+'IS-PBC'!B143</f>
        <v>13407.5</v>
      </c>
      <c r="D43" s="10">
        <f>+'IS-PBC'!C143</f>
        <v>1617.25</v>
      </c>
      <c r="E43" s="10">
        <f>+'IS-PBC'!D143</f>
        <v>2080</v>
      </c>
      <c r="F43" s="10">
        <f>+'IS-PBC'!E143</f>
        <v>3980</v>
      </c>
      <c r="G43" s="10">
        <f>+'IS-PBC'!F143</f>
        <v>4391</v>
      </c>
      <c r="H43" s="10">
        <f>+'IS-PBC'!G143</f>
        <v>960</v>
      </c>
      <c r="I43" s="10">
        <f>+'IS-PBC'!H143</f>
        <v>1191</v>
      </c>
      <c r="J43" s="10">
        <f>+'IS-PBC'!I143</f>
        <v>7408.25</v>
      </c>
      <c r="K43" s="10">
        <f>+'IS-PBC'!J143</f>
        <v>7198.75</v>
      </c>
      <c r="L43" s="10">
        <f>+'IS-PBC'!K143</f>
        <v>0</v>
      </c>
      <c r="M43" s="10">
        <f>+'IS-PBC'!L143</f>
        <v>10287</v>
      </c>
      <c r="N43" s="10">
        <f>+'IS-PBC'!M143</f>
        <v>2781</v>
      </c>
      <c r="O43" s="10">
        <f t="shared" si="7"/>
        <v>55301.75</v>
      </c>
      <c r="Q43" s="10">
        <f t="shared" si="5"/>
        <v>55301.75</v>
      </c>
      <c r="S43" s="10">
        <f t="shared" si="6"/>
        <v>55301.75</v>
      </c>
    </row>
    <row r="44" spans="1:19" ht="15" customHeight="1">
      <c r="A44" s="23">
        <v>30</v>
      </c>
      <c r="B44" s="9" t="s">
        <v>790</v>
      </c>
      <c r="C44" s="10">
        <f>+'IS-PBC'!B142</f>
        <v>43232.09</v>
      </c>
      <c r="D44" s="10">
        <f>+'IS-PBC'!C142</f>
        <v>45261.34</v>
      </c>
      <c r="E44" s="10">
        <f>+'IS-PBC'!D142</f>
        <v>45261.34</v>
      </c>
      <c r="F44" s="10">
        <f>+'IS-PBC'!E142</f>
        <v>45261.34</v>
      </c>
      <c r="G44" s="10">
        <f>+'IS-PBC'!F142</f>
        <v>45261.34</v>
      </c>
      <c r="H44" s="10">
        <f>+'IS-PBC'!G142</f>
        <v>45261.34</v>
      </c>
      <c r="I44" s="10">
        <f>+'IS-PBC'!H142</f>
        <v>46275.96</v>
      </c>
      <c r="J44" s="10">
        <f>+'IS-PBC'!I142</f>
        <v>46275.96</v>
      </c>
      <c r="K44" s="10">
        <f>+'IS-PBC'!J142</f>
        <v>48305.21</v>
      </c>
      <c r="L44" s="10">
        <f>+'IS-PBC'!K142</f>
        <v>48305.21</v>
      </c>
      <c r="M44" s="10">
        <f>+'IS-PBC'!L142</f>
        <v>48305.21</v>
      </c>
      <c r="N44" s="10">
        <f>+'IS-PBC'!M142</f>
        <v>48305.21</v>
      </c>
      <c r="O44" s="10">
        <f>SUM(C44:N44)</f>
        <v>555311.55000000005</v>
      </c>
      <c r="P44" s="10"/>
      <c r="Q44" s="10">
        <f t="shared" si="5"/>
        <v>555311.55000000005</v>
      </c>
      <c r="R44" s="10"/>
      <c r="S44" s="10">
        <f t="shared" si="6"/>
        <v>555311.55000000005</v>
      </c>
    </row>
    <row r="45" spans="1:19" ht="15" customHeight="1">
      <c r="A45" s="23">
        <v>31</v>
      </c>
      <c r="B45" s="9" t="s">
        <v>787</v>
      </c>
      <c r="C45" s="10">
        <f>+'IS-PBC'!B116+'IS-PBC'!B117+'IS-PBC'!B118+'IS-PBC'!B195+'IS-PBC'!B218</f>
        <v>6705.29</v>
      </c>
      <c r="D45" s="10">
        <f>+'IS-PBC'!C116+'IS-PBC'!C117+'IS-PBC'!C118+'IS-PBC'!C195+'IS-PBC'!C218</f>
        <v>4284.07</v>
      </c>
      <c r="E45" s="10">
        <f>+'IS-PBC'!D116+'IS-PBC'!D117+'IS-PBC'!D118+'IS-PBC'!D195+'IS-PBC'!D218</f>
        <v>6345.35</v>
      </c>
      <c r="F45" s="10">
        <f>+'IS-PBC'!E116+'IS-PBC'!E117+'IS-PBC'!E118+'IS-PBC'!E195+'IS-PBC'!E218</f>
        <v>4570.55</v>
      </c>
      <c r="G45" s="10">
        <f>+'IS-PBC'!F116+'IS-PBC'!F117+'IS-PBC'!F118+'IS-PBC'!F195+'IS-PBC'!F218</f>
        <v>7346.8</v>
      </c>
      <c r="H45" s="10">
        <f>+'IS-PBC'!G116+'IS-PBC'!G117+'IS-PBC'!G118+'IS-PBC'!G195+'IS-PBC'!G218</f>
        <v>4965.43</v>
      </c>
      <c r="I45" s="10">
        <f>+'IS-PBC'!H116+'IS-PBC'!H117+'IS-PBC'!H118+'IS-PBC'!H195+'IS-PBC'!H218</f>
        <v>3571.51</v>
      </c>
      <c r="J45" s="10">
        <f>+'IS-PBC'!I116+'IS-PBC'!I117+'IS-PBC'!I118+'IS-PBC'!I195+'IS-PBC'!I218</f>
        <v>4557.74</v>
      </c>
      <c r="K45" s="10">
        <f>+'IS-PBC'!J116+'IS-PBC'!J117+'IS-PBC'!J118+'IS-PBC'!J195+'IS-PBC'!J218</f>
        <v>462.29999999999995</v>
      </c>
      <c r="L45" s="10">
        <f>+'IS-PBC'!K116+'IS-PBC'!K117+'IS-PBC'!K118+'IS-PBC'!K195+'IS-PBC'!K218</f>
        <v>705.8</v>
      </c>
      <c r="M45" s="10">
        <f>+'IS-PBC'!L116+'IS-PBC'!L117+'IS-PBC'!L118+'IS-PBC'!L195+'IS-PBC'!L218</f>
        <v>3312.57</v>
      </c>
      <c r="N45" s="10">
        <f>+'IS-PBC'!M116+'IS-PBC'!M117+'IS-PBC'!M118+'IS-PBC'!M195+'IS-PBC'!M218</f>
        <v>17951.05</v>
      </c>
      <c r="O45" s="10">
        <f t="shared" ref="O45:O46" si="8">SUM(C45:N45)</f>
        <v>64778.460000000006</v>
      </c>
      <c r="P45" s="10"/>
      <c r="Q45" s="10">
        <f t="shared" si="5"/>
        <v>64778.460000000006</v>
      </c>
      <c r="R45" s="10"/>
      <c r="S45" s="10">
        <f t="shared" si="6"/>
        <v>64778.460000000006</v>
      </c>
    </row>
    <row r="46" spans="1:19" ht="15" customHeight="1">
      <c r="A46" s="23">
        <v>32</v>
      </c>
      <c r="B46" s="9" t="s">
        <v>800</v>
      </c>
      <c r="C46" s="10">
        <f>+'IS-PBC'!B185</f>
        <v>23185.32</v>
      </c>
      <c r="D46" s="10">
        <f>+'IS-PBC'!C185</f>
        <v>23049.32</v>
      </c>
      <c r="E46" s="10">
        <f>+'IS-PBC'!D185</f>
        <v>0</v>
      </c>
      <c r="F46" s="10">
        <f>+'IS-PBC'!E185</f>
        <v>0</v>
      </c>
      <c r="G46" s="10">
        <f>+'IS-PBC'!F185</f>
        <v>37653.879999999997</v>
      </c>
      <c r="H46" s="10">
        <f>+'IS-PBC'!G185</f>
        <v>25903.23</v>
      </c>
      <c r="I46" s="10">
        <f>+'IS-PBC'!H185</f>
        <v>26635.48</v>
      </c>
      <c r="J46" s="10">
        <f>+'IS-PBC'!I185</f>
        <v>26635.49</v>
      </c>
      <c r="K46" s="10">
        <f>+'IS-PBC'!J185</f>
        <v>27040.33</v>
      </c>
      <c r="L46" s="10">
        <f>+'IS-PBC'!K185</f>
        <v>27206.52</v>
      </c>
      <c r="M46" s="10">
        <f>+'IS-PBC'!L185</f>
        <v>27206.53</v>
      </c>
      <c r="N46" s="10">
        <f>+'IS-PBC'!M185</f>
        <v>-9071.93</v>
      </c>
      <c r="O46" s="10">
        <f t="shared" si="8"/>
        <v>235444.16999999998</v>
      </c>
      <c r="P46" s="10"/>
      <c r="Q46" s="10">
        <f t="shared" si="5"/>
        <v>235444.16999999998</v>
      </c>
      <c r="R46" s="10"/>
      <c r="S46" s="10">
        <f t="shared" si="6"/>
        <v>235444.16999999998</v>
      </c>
    </row>
    <row r="47" spans="1:19" ht="15" customHeight="1">
      <c r="A47" s="23">
        <v>33</v>
      </c>
      <c r="B47" s="9" t="s">
        <v>799</v>
      </c>
      <c r="C47" s="10">
        <f>+'IS-PBC'!B171+'IS-PBC'!B174+'IS-PBC'!B175+'IS-PBC'!B176+'IS-PBC'!B177+'IS-PBC'!B178+'IS-PBC'!B179+'IS-PBC'!B180+'IS-PBC'!B181+'IS-PBC'!B183+'IS-PBC'!B184</f>
        <v>0</v>
      </c>
      <c r="D47" s="10">
        <f>+'IS-PBC'!C171+'IS-PBC'!C174+'IS-PBC'!C175+'IS-PBC'!C176+'IS-PBC'!C177+'IS-PBC'!C178+'IS-PBC'!C179+'IS-PBC'!C180+'IS-PBC'!C181+'IS-PBC'!C183+'IS-PBC'!C184</f>
        <v>420</v>
      </c>
      <c r="E47" s="10">
        <f>+'IS-PBC'!D171+'IS-PBC'!D174+'IS-PBC'!D175+'IS-PBC'!D176+'IS-PBC'!D177+'IS-PBC'!D178+'IS-PBC'!D179+'IS-PBC'!D180+'IS-PBC'!D181+'IS-PBC'!D183+'IS-PBC'!D184</f>
        <v>0</v>
      </c>
      <c r="F47" s="10">
        <f>+'IS-PBC'!E171+'IS-PBC'!E174+'IS-PBC'!E175+'IS-PBC'!E176+'IS-PBC'!E177+'IS-PBC'!E178+'IS-PBC'!E179+'IS-PBC'!E180+'IS-PBC'!E181+'IS-PBC'!E183+'IS-PBC'!E184</f>
        <v>0</v>
      </c>
      <c r="G47" s="10">
        <f>+'IS-PBC'!F171+'IS-PBC'!F174+'IS-PBC'!F175+'IS-PBC'!F176+'IS-PBC'!F177+'IS-PBC'!F178+'IS-PBC'!F179+'IS-PBC'!F180+'IS-PBC'!F181+'IS-PBC'!F183+'IS-PBC'!F184</f>
        <v>3098</v>
      </c>
      <c r="H47" s="10">
        <f>+'IS-PBC'!G171+'IS-PBC'!G174+'IS-PBC'!G175+'IS-PBC'!G176+'IS-PBC'!G177+'IS-PBC'!G178+'IS-PBC'!G179+'IS-PBC'!G180+'IS-PBC'!G181+'IS-PBC'!G183+'IS-PBC'!G184</f>
        <v>0</v>
      </c>
      <c r="I47" s="10">
        <f>+'IS-PBC'!H171+'IS-PBC'!H174+'IS-PBC'!H175+'IS-PBC'!H176+'IS-PBC'!H177+'IS-PBC'!H178+'IS-PBC'!H179+'IS-PBC'!H180+'IS-PBC'!H181+'IS-PBC'!H183+'IS-PBC'!H184</f>
        <v>1050</v>
      </c>
      <c r="J47" s="10">
        <f>+'IS-PBC'!I171+'IS-PBC'!I174+'IS-PBC'!I175+'IS-PBC'!I176+'IS-PBC'!I177+'IS-PBC'!I178+'IS-PBC'!I179+'IS-PBC'!I180+'IS-PBC'!I181+'IS-PBC'!I183+'IS-PBC'!I184</f>
        <v>0</v>
      </c>
      <c r="K47" s="10">
        <f>+'IS-PBC'!J171+'IS-PBC'!J174+'IS-PBC'!J175+'IS-PBC'!J176+'IS-PBC'!J177+'IS-PBC'!J178+'IS-PBC'!J179+'IS-PBC'!J180+'IS-PBC'!J181+'IS-PBC'!J183+'IS-PBC'!J184</f>
        <v>0</v>
      </c>
      <c r="L47" s="10">
        <f>+'IS-PBC'!K171+'IS-PBC'!K174+'IS-PBC'!K175+'IS-PBC'!K176+'IS-PBC'!K177+'IS-PBC'!K178+'IS-PBC'!K179+'IS-PBC'!K180+'IS-PBC'!K181+'IS-PBC'!K183+'IS-PBC'!K184</f>
        <v>630</v>
      </c>
      <c r="M47" s="10">
        <f>+'IS-PBC'!L171+'IS-PBC'!L174+'IS-PBC'!L175+'IS-PBC'!L176+'IS-PBC'!L177+'IS-PBC'!L178+'IS-PBC'!L179+'IS-PBC'!L180+'IS-PBC'!L181+'IS-PBC'!L183+'IS-PBC'!L184</f>
        <v>0</v>
      </c>
      <c r="N47" s="10">
        <f>+'IS-PBC'!M171+'IS-PBC'!M174+'IS-PBC'!M175+'IS-PBC'!M176+'IS-PBC'!M177+'IS-PBC'!M178+'IS-PBC'!M179+'IS-PBC'!M180+'IS-PBC'!M181+'IS-PBC'!M183+'IS-PBC'!M184</f>
        <v>0</v>
      </c>
      <c r="O47" s="10">
        <f t="shared" si="7"/>
        <v>5198</v>
      </c>
      <c r="P47" s="10"/>
      <c r="Q47" s="10">
        <f t="shared" si="5"/>
        <v>5198</v>
      </c>
      <c r="R47" s="10"/>
      <c r="S47" s="10">
        <f t="shared" si="6"/>
        <v>5198</v>
      </c>
    </row>
    <row r="48" spans="1:19" ht="15" customHeight="1">
      <c r="A48" s="23">
        <v>34</v>
      </c>
      <c r="B48" s="9" t="s">
        <v>797</v>
      </c>
      <c r="C48" s="10">
        <f>+'IS-PBC'!B193+'IS-PBC'!B194</f>
        <v>11979.95</v>
      </c>
      <c r="D48" s="10">
        <f>+'IS-PBC'!C193+'IS-PBC'!C194</f>
        <v>8621.32</v>
      </c>
      <c r="E48" s="10">
        <f>+'IS-PBC'!D193+'IS-PBC'!D194</f>
        <v>14963.560000000001</v>
      </c>
      <c r="F48" s="10">
        <f>+'IS-PBC'!E193+'IS-PBC'!E194</f>
        <v>8194.66</v>
      </c>
      <c r="G48" s="10">
        <f>+'IS-PBC'!F193+'IS-PBC'!F194</f>
        <v>12645.34</v>
      </c>
      <c r="H48" s="10">
        <f>+'IS-PBC'!G193+'IS-PBC'!G194</f>
        <v>14194.91</v>
      </c>
      <c r="I48" s="10">
        <f>+'IS-PBC'!H193+'IS-PBC'!H194</f>
        <v>8708.9499999999989</v>
      </c>
      <c r="J48" s="10">
        <f>+'IS-PBC'!I193+'IS-PBC'!I194</f>
        <v>9598.7199999999993</v>
      </c>
      <c r="K48" s="10">
        <f>+'IS-PBC'!J193+'IS-PBC'!J194</f>
        <v>12944.49</v>
      </c>
      <c r="L48" s="10">
        <f>+'IS-PBC'!K193+'IS-PBC'!K194</f>
        <v>12258.62</v>
      </c>
      <c r="M48" s="10">
        <f>+'IS-PBC'!L193+'IS-PBC'!L194</f>
        <v>16291.29</v>
      </c>
      <c r="N48" s="10">
        <f>+'IS-PBC'!M193+'IS-PBC'!M194</f>
        <v>79033.740000000005</v>
      </c>
      <c r="O48" s="10">
        <f t="shared" si="7"/>
        <v>209435.55</v>
      </c>
      <c r="P48" s="10"/>
      <c r="Q48" s="10">
        <f t="shared" si="5"/>
        <v>209435.55</v>
      </c>
      <c r="R48" s="10"/>
      <c r="S48" s="10">
        <f t="shared" si="6"/>
        <v>209435.55</v>
      </c>
    </row>
    <row r="49" spans="1:19" ht="15" customHeight="1">
      <c r="A49" s="23">
        <v>35</v>
      </c>
      <c r="B49" s="9" t="s">
        <v>810</v>
      </c>
      <c r="C49" s="10">
        <f>+'IS-PBC'!B169+'IS-PBC'!B170</f>
        <v>110</v>
      </c>
      <c r="D49" s="10">
        <f>+'IS-PBC'!C169+'IS-PBC'!C170</f>
        <v>0</v>
      </c>
      <c r="E49" s="10">
        <f>+'IS-PBC'!D169+'IS-PBC'!D170</f>
        <v>0</v>
      </c>
      <c r="F49" s="10">
        <f>+'IS-PBC'!E169+'IS-PBC'!E170</f>
        <v>0</v>
      </c>
      <c r="G49" s="10">
        <f>+'IS-PBC'!F169+'IS-PBC'!F170</f>
        <v>0</v>
      </c>
      <c r="H49" s="10">
        <f>+'IS-PBC'!G169+'IS-PBC'!G170</f>
        <v>0</v>
      </c>
      <c r="I49" s="10">
        <f>+'IS-PBC'!H169+'IS-PBC'!H170</f>
        <v>0</v>
      </c>
      <c r="J49" s="10">
        <f>+'IS-PBC'!I169+'IS-PBC'!I170</f>
        <v>0</v>
      </c>
      <c r="K49" s="10">
        <f>+'IS-PBC'!J169+'IS-PBC'!J170</f>
        <v>0</v>
      </c>
      <c r="L49" s="10">
        <f>+'IS-PBC'!K169+'IS-PBC'!K170</f>
        <v>0</v>
      </c>
      <c r="M49" s="10">
        <f>+'IS-PBC'!L169+'IS-PBC'!L170</f>
        <v>0</v>
      </c>
      <c r="N49" s="10">
        <f>+'IS-PBC'!M169+'IS-PBC'!M170</f>
        <v>0</v>
      </c>
      <c r="O49" s="10">
        <f t="shared" si="7"/>
        <v>110</v>
      </c>
      <c r="P49" s="10"/>
      <c r="Q49" s="10">
        <f t="shared" si="5"/>
        <v>110</v>
      </c>
      <c r="R49" s="10"/>
      <c r="S49" s="10">
        <f t="shared" si="6"/>
        <v>110</v>
      </c>
    </row>
    <row r="50" spans="1:19" ht="15" customHeight="1">
      <c r="A50" s="23">
        <v>36</v>
      </c>
      <c r="B50" s="9" t="s">
        <v>802</v>
      </c>
      <c r="C50" s="10">
        <f>+'IS-PBC'!B186</f>
        <v>7779.33</v>
      </c>
      <c r="D50" s="10">
        <f>+'IS-PBC'!C186</f>
        <v>0</v>
      </c>
      <c r="E50" s="10">
        <f>+'IS-PBC'!D186</f>
        <v>83204.929999999993</v>
      </c>
      <c r="F50" s="10">
        <f>+'IS-PBC'!E186</f>
        <v>367.19</v>
      </c>
      <c r="G50" s="10">
        <f>+'IS-PBC'!F186</f>
        <v>5308.24</v>
      </c>
      <c r="H50" s="10">
        <f>+'IS-PBC'!G186</f>
        <v>4303.51</v>
      </c>
      <c r="I50" s="10">
        <f>+'IS-PBC'!H186</f>
        <v>6574.57</v>
      </c>
      <c r="J50" s="10">
        <f>+'IS-PBC'!I186</f>
        <v>0</v>
      </c>
      <c r="K50" s="10">
        <f>+'IS-PBC'!J186</f>
        <v>5500</v>
      </c>
      <c r="L50" s="10">
        <f>+'IS-PBC'!K186</f>
        <v>0</v>
      </c>
      <c r="M50" s="10">
        <f>+'IS-PBC'!L186</f>
        <v>6098.66</v>
      </c>
      <c r="N50" s="10">
        <f>+'IS-PBC'!M186</f>
        <v>-82790.460000000006</v>
      </c>
      <c r="O50" s="10">
        <f t="shared" si="7"/>
        <v>36345.969999999987</v>
      </c>
      <c r="P50" s="10"/>
      <c r="Q50" s="10">
        <f t="shared" si="5"/>
        <v>36345.969999999987</v>
      </c>
      <c r="R50" s="10"/>
      <c r="S50" s="10">
        <f t="shared" si="6"/>
        <v>36345.969999999987</v>
      </c>
    </row>
    <row r="51" spans="1:19" ht="15" customHeight="1">
      <c r="A51" s="23">
        <v>37</v>
      </c>
      <c r="B51" s="9" t="s">
        <v>791</v>
      </c>
      <c r="C51" s="10">
        <f>+'IS-PBC'!B144+'IS-PBC'!B145</f>
        <v>0</v>
      </c>
      <c r="D51" s="10">
        <f>+'IS-PBC'!C144+'IS-PBC'!C145</f>
        <v>0</v>
      </c>
      <c r="E51" s="10">
        <f>+'IS-PBC'!D144+'IS-PBC'!D145</f>
        <v>47944.2</v>
      </c>
      <c r="F51" s="10">
        <f>+'IS-PBC'!E144+'IS-PBC'!E145</f>
        <v>0</v>
      </c>
      <c r="G51" s="10">
        <f>+'IS-PBC'!F144+'IS-PBC'!F145</f>
        <v>0</v>
      </c>
      <c r="H51" s="10">
        <f>+'IS-PBC'!G144+'IS-PBC'!G145</f>
        <v>0</v>
      </c>
      <c r="I51" s="10">
        <f>+'IS-PBC'!H144+'IS-PBC'!H145</f>
        <v>0</v>
      </c>
      <c r="J51" s="10">
        <f>+'IS-PBC'!I144+'IS-PBC'!I145</f>
        <v>0</v>
      </c>
      <c r="K51" s="10">
        <f>+'IS-PBC'!J144+'IS-PBC'!J145</f>
        <v>0</v>
      </c>
      <c r="L51" s="10">
        <f>+'IS-PBC'!K144+'IS-PBC'!K145</f>
        <v>0</v>
      </c>
      <c r="M51" s="10">
        <f>+'IS-PBC'!L144+'IS-PBC'!L145</f>
        <v>0</v>
      </c>
      <c r="N51" s="10">
        <f>+'IS-PBC'!M144+'IS-PBC'!M145</f>
        <v>0</v>
      </c>
      <c r="O51" s="10">
        <f t="shared" si="7"/>
        <v>47944.2</v>
      </c>
      <c r="P51" s="10"/>
      <c r="Q51" s="10">
        <f t="shared" ref="Q51:Q68" si="9">O51+P51</f>
        <v>47944.2</v>
      </c>
      <c r="R51" s="10"/>
      <c r="S51" s="10">
        <f t="shared" si="6"/>
        <v>47944.2</v>
      </c>
    </row>
    <row r="52" spans="1:19" ht="15" customHeight="1">
      <c r="A52" s="23">
        <v>38</v>
      </c>
      <c r="B52" s="9" t="s">
        <v>805</v>
      </c>
      <c r="C52" s="10">
        <f>+'IS-PBC'!B168</f>
        <v>0</v>
      </c>
      <c r="D52" s="10">
        <f>+'IS-PBC'!C168</f>
        <v>0</v>
      </c>
      <c r="E52" s="10">
        <f>+'IS-PBC'!D168</f>
        <v>0</v>
      </c>
      <c r="F52" s="10">
        <f>+'IS-PBC'!E168</f>
        <v>0</v>
      </c>
      <c r="G52" s="10">
        <f>+'IS-PBC'!F168</f>
        <v>0</v>
      </c>
      <c r="H52" s="10">
        <f>+'IS-PBC'!G168</f>
        <v>0</v>
      </c>
      <c r="I52" s="10">
        <f>+'IS-PBC'!H168</f>
        <v>12726.4</v>
      </c>
      <c r="J52" s="10">
        <f>+'IS-PBC'!I168</f>
        <v>0</v>
      </c>
      <c r="K52" s="10">
        <f>+'IS-PBC'!J168</f>
        <v>0</v>
      </c>
      <c r="L52" s="10">
        <f>+'IS-PBC'!K168</f>
        <v>0</v>
      </c>
      <c r="M52" s="10">
        <f>+'IS-PBC'!L168</f>
        <v>0</v>
      </c>
      <c r="N52" s="10">
        <f>+'IS-PBC'!M168</f>
        <v>-12726.4</v>
      </c>
      <c r="O52" s="10">
        <f t="shared" si="7"/>
        <v>0</v>
      </c>
      <c r="P52" s="10"/>
      <c r="Q52" s="10">
        <f t="shared" si="9"/>
        <v>0</v>
      </c>
      <c r="R52" s="10"/>
      <c r="S52" s="10">
        <f t="shared" si="6"/>
        <v>0</v>
      </c>
    </row>
    <row r="53" spans="1:19" ht="15" customHeight="1">
      <c r="A53" s="23">
        <v>39</v>
      </c>
      <c r="B53" s="9" t="s">
        <v>796</v>
      </c>
      <c r="C53" s="10">
        <f>+'IS-PBC'!B196+'IS-PBC'!B197+'IS-PBC'!B198+'IS-PBC'!B199</f>
        <v>6207.1399999999994</v>
      </c>
      <c r="D53" s="10">
        <f>+'IS-PBC'!C196+'IS-PBC'!C197+'IS-PBC'!C198+'IS-PBC'!C199</f>
        <v>5657.82</v>
      </c>
      <c r="E53" s="10">
        <f>+'IS-PBC'!D196+'IS-PBC'!D197+'IS-PBC'!D198+'IS-PBC'!D199</f>
        <v>6334.44</v>
      </c>
      <c r="F53" s="10">
        <f>+'IS-PBC'!E196+'IS-PBC'!E197+'IS-PBC'!E198+'IS-PBC'!E199</f>
        <v>4771.55</v>
      </c>
      <c r="G53" s="10">
        <f>+'IS-PBC'!F196+'IS-PBC'!F197+'IS-PBC'!F198+'IS-PBC'!F199</f>
        <v>4925.05</v>
      </c>
      <c r="H53" s="10">
        <f>+'IS-PBC'!G196+'IS-PBC'!G197+'IS-PBC'!G198+'IS-PBC'!G199</f>
        <v>6007.3099999999995</v>
      </c>
      <c r="I53" s="10">
        <f>+'IS-PBC'!H196+'IS-PBC'!H197+'IS-PBC'!H198+'IS-PBC'!H199</f>
        <v>4208.42</v>
      </c>
      <c r="J53" s="10">
        <f>+'IS-PBC'!I196+'IS-PBC'!I197+'IS-PBC'!I198+'IS-PBC'!I199</f>
        <v>4186.29</v>
      </c>
      <c r="K53" s="10">
        <f>+'IS-PBC'!J196+'IS-PBC'!J197+'IS-PBC'!J198+'IS-PBC'!J199</f>
        <v>4308.3</v>
      </c>
      <c r="L53" s="10">
        <f>+'IS-PBC'!K196+'IS-PBC'!K197+'IS-PBC'!K198+'IS-PBC'!K199</f>
        <v>3952.82</v>
      </c>
      <c r="M53" s="10">
        <f>+'IS-PBC'!L196+'IS-PBC'!L197+'IS-PBC'!L198+'IS-PBC'!L199</f>
        <v>4962.2999999999993</v>
      </c>
      <c r="N53" s="10">
        <f>+'IS-PBC'!M196+'IS-PBC'!M197+'IS-PBC'!M198+'IS-PBC'!M199</f>
        <v>4968.3100000000004</v>
      </c>
      <c r="O53" s="10">
        <f t="shared" si="7"/>
        <v>60489.75</v>
      </c>
      <c r="P53" s="10"/>
      <c r="Q53" s="10">
        <f t="shared" si="9"/>
        <v>60489.75</v>
      </c>
      <c r="R53" s="10"/>
      <c r="S53" s="10">
        <f t="shared" si="6"/>
        <v>60489.75</v>
      </c>
    </row>
    <row r="54" spans="1:19" ht="15" customHeight="1">
      <c r="A54" s="23">
        <v>40</v>
      </c>
      <c r="B54" s="9" t="s">
        <v>352</v>
      </c>
      <c r="C54" s="10">
        <f>+'IS-PBC'!B202</f>
        <v>0</v>
      </c>
      <c r="D54" s="10">
        <f>+'IS-PBC'!C202</f>
        <v>2435.6</v>
      </c>
      <c r="E54" s="10">
        <f>+'IS-PBC'!D202</f>
        <v>1471.3</v>
      </c>
      <c r="F54" s="10">
        <f>+'IS-PBC'!E202</f>
        <v>0</v>
      </c>
      <c r="G54" s="10">
        <f>+'IS-PBC'!F202</f>
        <v>6470.2</v>
      </c>
      <c r="H54" s="10">
        <f>+'IS-PBC'!G202</f>
        <v>0</v>
      </c>
      <c r="I54" s="10">
        <f>+'IS-PBC'!H202</f>
        <v>36</v>
      </c>
      <c r="J54" s="10">
        <f>+'IS-PBC'!I202</f>
        <v>104</v>
      </c>
      <c r="K54" s="10">
        <f>+'IS-PBC'!J202</f>
        <v>0</v>
      </c>
      <c r="L54" s="10">
        <f>+'IS-PBC'!K202</f>
        <v>1183.9000000000001</v>
      </c>
      <c r="M54" s="10">
        <f>+'IS-PBC'!L202</f>
        <v>5896.4</v>
      </c>
      <c r="N54" s="10">
        <f>+'IS-PBC'!M202</f>
        <v>681</v>
      </c>
      <c r="O54" s="10">
        <f t="shared" si="7"/>
        <v>18278.399999999998</v>
      </c>
      <c r="P54" s="10"/>
      <c r="Q54" s="10">
        <f t="shared" si="9"/>
        <v>18278.399999999998</v>
      </c>
      <c r="R54" s="10"/>
      <c r="S54" s="10">
        <f t="shared" si="6"/>
        <v>18278.399999999998</v>
      </c>
    </row>
    <row r="55" spans="1:19" ht="15" customHeight="1">
      <c r="A55" s="23">
        <v>41</v>
      </c>
      <c r="B55" s="9" t="s">
        <v>811</v>
      </c>
      <c r="C55" s="10">
        <f>+'IS-PBC'!B212</f>
        <v>0</v>
      </c>
      <c r="D55" s="10">
        <f>+'IS-PBC'!C212</f>
        <v>0</v>
      </c>
      <c r="E55" s="10">
        <f>+'IS-PBC'!D212</f>
        <v>0</v>
      </c>
      <c r="F55" s="10">
        <f>+'IS-PBC'!E212</f>
        <v>28213.08</v>
      </c>
      <c r="G55" s="10">
        <f>+'IS-PBC'!F212</f>
        <v>0</v>
      </c>
      <c r="H55" s="10">
        <f>+'IS-PBC'!G212</f>
        <v>0</v>
      </c>
      <c r="I55" s="10">
        <f>+'IS-PBC'!H212</f>
        <v>0</v>
      </c>
      <c r="J55" s="10">
        <f>+'IS-PBC'!I212</f>
        <v>0</v>
      </c>
      <c r="K55" s="10">
        <f>+'IS-PBC'!J212</f>
        <v>0</v>
      </c>
      <c r="L55" s="10">
        <f>+'IS-PBC'!K212</f>
        <v>0</v>
      </c>
      <c r="M55" s="10">
        <f>+'IS-PBC'!L212</f>
        <v>0</v>
      </c>
      <c r="N55" s="10">
        <f>+'IS-PBC'!M212</f>
        <v>0</v>
      </c>
      <c r="O55" s="10">
        <f t="shared" si="7"/>
        <v>28213.08</v>
      </c>
      <c r="P55" s="10"/>
      <c r="Q55" s="10">
        <f t="shared" si="9"/>
        <v>28213.08</v>
      </c>
      <c r="R55" s="10"/>
      <c r="S55" s="10">
        <f t="shared" si="6"/>
        <v>28213.08</v>
      </c>
    </row>
    <row r="56" spans="1:19" ht="15" customHeight="1">
      <c r="A56" s="23">
        <v>42</v>
      </c>
      <c r="B56" s="9" t="s">
        <v>785</v>
      </c>
      <c r="C56" s="10">
        <f>+'IS-PBC'!B108+'IS-PBC'!B109+'IS-PBC'!B110+'IS-PBC'!B111+'IS-PBC'!B113+'IS-PBC'!B114</f>
        <v>17610.57</v>
      </c>
      <c r="D56" s="10">
        <f>+'IS-PBC'!C108+'IS-PBC'!C109+'IS-PBC'!C110+'IS-PBC'!C111+'IS-PBC'!C113+'IS-PBC'!C114</f>
        <v>27457.300000000003</v>
      </c>
      <c r="E56" s="10">
        <f>+'IS-PBC'!D108+'IS-PBC'!D109+'IS-PBC'!D110+'IS-PBC'!D111+'IS-PBC'!D113+'IS-PBC'!D114</f>
        <v>39269.69</v>
      </c>
      <c r="F56" s="10">
        <f>+'IS-PBC'!E108+'IS-PBC'!E109+'IS-PBC'!E110+'IS-PBC'!E111+'IS-PBC'!E113+'IS-PBC'!E114</f>
        <v>28024.69</v>
      </c>
      <c r="G56" s="10">
        <f>+'IS-PBC'!F108+'IS-PBC'!F109+'IS-PBC'!F110+'IS-PBC'!F111+'IS-PBC'!F113+'IS-PBC'!F114</f>
        <v>27243.52</v>
      </c>
      <c r="H56" s="10">
        <f>+'IS-PBC'!G108+'IS-PBC'!G109+'IS-PBC'!G110+'IS-PBC'!G111+'IS-PBC'!G113+'IS-PBC'!G114</f>
        <v>51002.609999999993</v>
      </c>
      <c r="I56" s="10">
        <f>+'IS-PBC'!H108+'IS-PBC'!H109+'IS-PBC'!H110+'IS-PBC'!H111+'IS-PBC'!H113+'IS-PBC'!H114</f>
        <v>33260.729999999996</v>
      </c>
      <c r="J56" s="10">
        <f>+'IS-PBC'!I108+'IS-PBC'!I109+'IS-PBC'!I110+'IS-PBC'!I111+'IS-PBC'!I113+'IS-PBC'!I114</f>
        <v>37619.890000000007</v>
      </c>
      <c r="K56" s="10">
        <f>+'IS-PBC'!J108+'IS-PBC'!J109+'IS-PBC'!J110+'IS-PBC'!J111+'IS-PBC'!J113+'IS-PBC'!J114</f>
        <v>16845.98</v>
      </c>
      <c r="L56" s="10">
        <f>+'IS-PBC'!K108+'IS-PBC'!K109+'IS-PBC'!K110+'IS-PBC'!K111+'IS-PBC'!K113+'IS-PBC'!K114</f>
        <v>36687.82</v>
      </c>
      <c r="M56" s="10">
        <f>+'IS-PBC'!L108+'IS-PBC'!L109+'IS-PBC'!L110+'IS-PBC'!L111+'IS-PBC'!L113+'IS-PBC'!L114</f>
        <v>33293.65</v>
      </c>
      <c r="N56" s="10">
        <f>+'IS-PBC'!M108+'IS-PBC'!M109+'IS-PBC'!M110+'IS-PBC'!M111+'IS-PBC'!M113+'IS-PBC'!M114</f>
        <v>-24708.59</v>
      </c>
      <c r="O56" s="10">
        <f t="shared" si="7"/>
        <v>323607.86</v>
      </c>
      <c r="P56" s="10"/>
      <c r="Q56" s="10">
        <f t="shared" si="9"/>
        <v>323607.86</v>
      </c>
      <c r="R56" s="10"/>
      <c r="S56" s="10">
        <f t="shared" si="6"/>
        <v>323607.86</v>
      </c>
    </row>
    <row r="57" spans="1:19" ht="15" customHeight="1">
      <c r="A57" s="23">
        <v>43</v>
      </c>
      <c r="B57" s="9" t="s">
        <v>784</v>
      </c>
      <c r="C57" s="10">
        <f>+'IS-PBC'!B106+'IS-PBC'!B115</f>
        <v>3804.56</v>
      </c>
      <c r="D57" s="10">
        <f>+'IS-PBC'!C106+'IS-PBC'!C115</f>
        <v>1680.4</v>
      </c>
      <c r="E57" s="10">
        <f>+'IS-PBC'!D106+'IS-PBC'!D115</f>
        <v>102</v>
      </c>
      <c r="F57" s="10">
        <f>+'IS-PBC'!E106+'IS-PBC'!E115</f>
        <v>0</v>
      </c>
      <c r="G57" s="10">
        <f>+'IS-PBC'!F106+'IS-PBC'!F115</f>
        <v>86.4</v>
      </c>
      <c r="H57" s="10">
        <f>+'IS-PBC'!G106+'IS-PBC'!G115</f>
        <v>639.34</v>
      </c>
      <c r="I57" s="10">
        <f>+'IS-PBC'!H106+'IS-PBC'!H115</f>
        <v>3219.07</v>
      </c>
      <c r="J57" s="10">
        <f>+'IS-PBC'!I106+'IS-PBC'!I115</f>
        <v>172.8</v>
      </c>
      <c r="K57" s="10">
        <f>+'IS-PBC'!J106+'IS-PBC'!J115</f>
        <v>3948.23</v>
      </c>
      <c r="L57" s="10">
        <f>+'IS-PBC'!K106+'IS-PBC'!K115</f>
        <v>518.4</v>
      </c>
      <c r="M57" s="10">
        <f>+'IS-PBC'!L106+'IS-PBC'!L115</f>
        <v>0</v>
      </c>
      <c r="N57" s="10">
        <f>+'IS-PBC'!M106+'IS-PBC'!M115</f>
        <v>3800</v>
      </c>
      <c r="O57" s="10">
        <f t="shared" si="7"/>
        <v>17971.199999999997</v>
      </c>
      <c r="P57" s="10"/>
      <c r="Q57" s="10">
        <f t="shared" si="9"/>
        <v>17971.199999999997</v>
      </c>
      <c r="R57" s="10"/>
      <c r="S57" s="10">
        <f t="shared" si="6"/>
        <v>17971.199999999997</v>
      </c>
    </row>
    <row r="58" spans="1:19" ht="15" customHeight="1">
      <c r="A58" s="23">
        <v>44</v>
      </c>
      <c r="B58" s="9" t="s">
        <v>354</v>
      </c>
      <c r="C58" s="10">
        <f>+'IS-PBC'!B141</f>
        <v>500</v>
      </c>
      <c r="D58" s="10">
        <f>+'IS-PBC'!C141</f>
        <v>500</v>
      </c>
      <c r="E58" s="10">
        <f>+'IS-PBC'!D141</f>
        <v>0</v>
      </c>
      <c r="F58" s="10">
        <f>+'IS-PBC'!E141</f>
        <v>0</v>
      </c>
      <c r="G58" s="10">
        <f>+'IS-PBC'!F141</f>
        <v>1500</v>
      </c>
      <c r="H58" s="10">
        <f>+'IS-PBC'!G141</f>
        <v>500</v>
      </c>
      <c r="I58" s="10">
        <f>+'IS-PBC'!H141</f>
        <v>500</v>
      </c>
      <c r="J58" s="10">
        <f>+'IS-PBC'!I141</f>
        <v>500</v>
      </c>
      <c r="K58" s="10">
        <f>+'IS-PBC'!J141</f>
        <v>500</v>
      </c>
      <c r="L58" s="10">
        <f>+'IS-PBC'!K141</f>
        <v>500</v>
      </c>
      <c r="M58" s="10">
        <f>+'IS-PBC'!L141</f>
        <v>0</v>
      </c>
      <c r="N58" s="10">
        <f>+'IS-PBC'!M141</f>
        <v>0</v>
      </c>
      <c r="O58" s="10">
        <f t="shared" si="7"/>
        <v>5000</v>
      </c>
      <c r="P58" s="10"/>
      <c r="Q58" s="10">
        <f t="shared" si="9"/>
        <v>5000</v>
      </c>
      <c r="R58" s="10"/>
      <c r="S58" s="10">
        <f t="shared" si="6"/>
        <v>5000</v>
      </c>
    </row>
    <row r="59" spans="1:19" ht="15" customHeight="1">
      <c r="A59" s="23">
        <v>45</v>
      </c>
      <c r="B59" s="9" t="s">
        <v>794</v>
      </c>
      <c r="C59" s="10">
        <f>+'IS-PBC'!B214</f>
        <v>0</v>
      </c>
      <c r="D59" s="10">
        <f>+'IS-PBC'!C214</f>
        <v>0</v>
      </c>
      <c r="E59" s="10">
        <f>+'IS-PBC'!D214</f>
        <v>0</v>
      </c>
      <c r="F59" s="10">
        <f>+'IS-PBC'!E214</f>
        <v>0</v>
      </c>
      <c r="G59" s="10">
        <f>+'IS-PBC'!F214</f>
        <v>0</v>
      </c>
      <c r="H59" s="10">
        <f>+'IS-PBC'!G214</f>
        <v>0</v>
      </c>
      <c r="I59" s="10">
        <f>+'IS-PBC'!H214</f>
        <v>0</v>
      </c>
      <c r="J59" s="10">
        <f>+'IS-PBC'!I214</f>
        <v>0</v>
      </c>
      <c r="K59" s="10">
        <f>+'IS-PBC'!J214</f>
        <v>0</v>
      </c>
      <c r="L59" s="10">
        <f>+'IS-PBC'!K214</f>
        <v>0</v>
      </c>
      <c r="M59" s="10">
        <f>+'IS-PBC'!L214</f>
        <v>0</v>
      </c>
      <c r="N59" s="10">
        <f>+'IS-PBC'!M214</f>
        <v>149273.60000000001</v>
      </c>
      <c r="O59" s="10">
        <f t="shared" si="7"/>
        <v>149273.60000000001</v>
      </c>
      <c r="P59" s="10"/>
      <c r="Q59" s="10">
        <f t="shared" si="9"/>
        <v>149273.60000000001</v>
      </c>
      <c r="R59" s="10"/>
      <c r="S59" s="10">
        <f t="shared" si="6"/>
        <v>149273.60000000001</v>
      </c>
    </row>
    <row r="60" spans="1:19" ht="15" customHeight="1">
      <c r="A60" s="23">
        <v>46</v>
      </c>
      <c r="B60" s="9" t="s">
        <v>788</v>
      </c>
      <c r="C60" s="10">
        <f>+'IS-PBC'!B112</f>
        <v>10979</v>
      </c>
      <c r="D60" s="10">
        <f>+'IS-PBC'!C112</f>
        <v>8701</v>
      </c>
      <c r="E60" s="10">
        <f>+'IS-PBC'!D112</f>
        <v>27129.759999999998</v>
      </c>
      <c r="F60" s="10">
        <f>+'IS-PBC'!E112</f>
        <v>19006.07</v>
      </c>
      <c r="G60" s="10">
        <f>+'IS-PBC'!F112</f>
        <v>22248.07</v>
      </c>
      <c r="H60" s="10">
        <f>+'IS-PBC'!G112</f>
        <v>12160.56</v>
      </c>
      <c r="I60" s="10">
        <f>+'IS-PBC'!H112</f>
        <v>13489.34</v>
      </c>
      <c r="J60" s="10">
        <f>+'IS-PBC'!I112</f>
        <v>15036.09</v>
      </c>
      <c r="K60" s="10">
        <f>+'IS-PBC'!J112</f>
        <v>20781.84</v>
      </c>
      <c r="L60" s="10">
        <f>+'IS-PBC'!K112</f>
        <v>10440.43</v>
      </c>
      <c r="M60" s="10">
        <f>+'IS-PBC'!L112</f>
        <v>18586.23</v>
      </c>
      <c r="N60" s="10">
        <f>+'IS-PBC'!M112</f>
        <v>2328</v>
      </c>
      <c r="O60" s="10">
        <f t="shared" si="7"/>
        <v>180886.38999999998</v>
      </c>
      <c r="P60" s="10"/>
      <c r="Q60" s="10">
        <f t="shared" si="9"/>
        <v>180886.38999999998</v>
      </c>
      <c r="R60" s="10"/>
      <c r="S60" s="10">
        <f t="shared" si="6"/>
        <v>180886.38999999998</v>
      </c>
    </row>
    <row r="61" spans="1:19" ht="15" customHeight="1">
      <c r="A61" s="23">
        <v>47</v>
      </c>
      <c r="B61" s="9" t="s">
        <v>806</v>
      </c>
      <c r="C61" s="10">
        <f>+'IS-PBC'!B166+'IS-PBC'!B167</f>
        <v>160.19999999999999</v>
      </c>
      <c r="D61" s="10">
        <f>+'IS-PBC'!C166+'IS-PBC'!C167</f>
        <v>161.56</v>
      </c>
      <c r="E61" s="10">
        <f>+'IS-PBC'!D166+'IS-PBC'!D167</f>
        <v>0</v>
      </c>
      <c r="F61" s="10">
        <f>+'IS-PBC'!E166+'IS-PBC'!E167</f>
        <v>0</v>
      </c>
      <c r="G61" s="10">
        <f>+'IS-PBC'!F166+'IS-PBC'!F167</f>
        <v>0</v>
      </c>
      <c r="H61" s="10">
        <f>+'IS-PBC'!G166+'IS-PBC'!G167</f>
        <v>0</v>
      </c>
      <c r="I61" s="10">
        <f>+'IS-PBC'!H166+'IS-PBC'!H167</f>
        <v>0</v>
      </c>
      <c r="J61" s="10">
        <f>+'IS-PBC'!I166+'IS-PBC'!I167</f>
        <v>0</v>
      </c>
      <c r="K61" s="10">
        <f>+'IS-PBC'!J166+'IS-PBC'!J167</f>
        <v>0</v>
      </c>
      <c r="L61" s="10">
        <f>+'IS-PBC'!K166+'IS-PBC'!K167</f>
        <v>161.76</v>
      </c>
      <c r="M61" s="10">
        <f>+'IS-PBC'!L166+'IS-PBC'!L167</f>
        <v>0</v>
      </c>
      <c r="N61" s="10">
        <f>+'IS-PBC'!M166+'IS-PBC'!M167</f>
        <v>0</v>
      </c>
      <c r="O61" s="10">
        <f t="shared" si="7"/>
        <v>483.52</v>
      </c>
      <c r="P61" s="10"/>
      <c r="Q61" s="10">
        <f t="shared" si="9"/>
        <v>483.52</v>
      </c>
      <c r="R61" s="10"/>
      <c r="S61" s="10">
        <f t="shared" si="6"/>
        <v>483.52</v>
      </c>
    </row>
    <row r="62" spans="1:19" ht="15" customHeight="1">
      <c r="A62" s="23">
        <v>48</v>
      </c>
      <c r="B62" s="9" t="s">
        <v>798</v>
      </c>
      <c r="C62" s="10">
        <f>+'IS-PBC'!B203</f>
        <v>3181.38</v>
      </c>
      <c r="D62" s="10">
        <f>+'IS-PBC'!C203</f>
        <v>228</v>
      </c>
      <c r="E62" s="10">
        <f>+'IS-PBC'!D203</f>
        <v>0</v>
      </c>
      <c r="F62" s="10">
        <f>+'IS-PBC'!E203</f>
        <v>1371.92</v>
      </c>
      <c r="G62" s="10">
        <f>+'IS-PBC'!F203</f>
        <v>228</v>
      </c>
      <c r="H62" s="10">
        <f>+'IS-PBC'!G203</f>
        <v>652.5</v>
      </c>
      <c r="I62" s="10">
        <f>+'IS-PBC'!H203</f>
        <v>1527.96</v>
      </c>
      <c r="J62" s="10">
        <f>+'IS-PBC'!I203</f>
        <v>382</v>
      </c>
      <c r="K62" s="10">
        <f>+'IS-PBC'!J203</f>
        <v>282.5</v>
      </c>
      <c r="L62" s="10">
        <f>+'IS-PBC'!K203</f>
        <v>1379.1</v>
      </c>
      <c r="M62" s="10">
        <f>+'IS-PBC'!L203</f>
        <v>535</v>
      </c>
      <c r="N62" s="10">
        <f>+'IS-PBC'!M203</f>
        <v>372</v>
      </c>
      <c r="O62" s="10">
        <f t="shared" si="7"/>
        <v>10140.36</v>
      </c>
      <c r="P62" s="10"/>
      <c r="Q62" s="10">
        <f t="shared" si="9"/>
        <v>10140.36</v>
      </c>
      <c r="R62" s="10"/>
      <c r="S62" s="10">
        <f t="shared" si="6"/>
        <v>10140.36</v>
      </c>
    </row>
    <row r="63" spans="1:19" ht="15" customHeight="1">
      <c r="A63" s="23">
        <v>49</v>
      </c>
      <c r="B63" s="9" t="s">
        <v>812</v>
      </c>
      <c r="C63" s="10">
        <f>+'IS-PBC'!B217</f>
        <v>0</v>
      </c>
      <c r="D63" s="10">
        <f>+'IS-PBC'!C217</f>
        <v>0</v>
      </c>
      <c r="E63" s="10">
        <f>+'IS-PBC'!D217</f>
        <v>0</v>
      </c>
      <c r="F63" s="10">
        <f>+'IS-PBC'!E217</f>
        <v>0</v>
      </c>
      <c r="G63" s="10">
        <f>+'IS-PBC'!F217</f>
        <v>0</v>
      </c>
      <c r="H63" s="10">
        <f>+'IS-PBC'!G217</f>
        <v>0</v>
      </c>
      <c r="I63" s="10">
        <f>+'IS-PBC'!H217</f>
        <v>0</v>
      </c>
      <c r="J63" s="10">
        <f>+'IS-PBC'!I217</f>
        <v>0</v>
      </c>
      <c r="K63" s="10">
        <f>+'IS-PBC'!J217</f>
        <v>0</v>
      </c>
      <c r="L63" s="10">
        <f>+'IS-PBC'!K217</f>
        <v>0</v>
      </c>
      <c r="M63" s="10">
        <f>+'IS-PBC'!L217</f>
        <v>0</v>
      </c>
      <c r="N63" s="10">
        <f>+'IS-PBC'!M217</f>
        <v>-4063.66</v>
      </c>
      <c r="O63" s="10">
        <f t="shared" si="7"/>
        <v>-4063.66</v>
      </c>
      <c r="P63" s="10"/>
      <c r="Q63" s="10">
        <f t="shared" si="9"/>
        <v>-4063.66</v>
      </c>
      <c r="R63" s="10"/>
      <c r="S63" s="10">
        <f t="shared" si="6"/>
        <v>-4063.66</v>
      </c>
    </row>
    <row r="64" spans="1:19" ht="15" customHeight="1">
      <c r="A64" s="23">
        <v>50</v>
      </c>
      <c r="B64" s="9" t="s">
        <v>793</v>
      </c>
      <c r="C64" s="10">
        <f>+'IS-PBC'!B216</f>
        <v>0</v>
      </c>
      <c r="D64" s="10">
        <f>+'IS-PBC'!C216</f>
        <v>0</v>
      </c>
      <c r="E64" s="10">
        <f>+'IS-PBC'!D216</f>
        <v>0</v>
      </c>
      <c r="F64" s="10">
        <f>+'IS-PBC'!E216</f>
        <v>0</v>
      </c>
      <c r="G64" s="10">
        <f>+'IS-PBC'!F216</f>
        <v>0</v>
      </c>
      <c r="H64" s="10">
        <f>+'IS-PBC'!G216</f>
        <v>0</v>
      </c>
      <c r="I64" s="10">
        <f>+'IS-PBC'!H216</f>
        <v>0</v>
      </c>
      <c r="J64" s="10">
        <f>+'IS-PBC'!I216</f>
        <v>0</v>
      </c>
      <c r="K64" s="10">
        <f>+'IS-PBC'!J216</f>
        <v>0</v>
      </c>
      <c r="L64" s="10">
        <f>+'IS-PBC'!K216</f>
        <v>0</v>
      </c>
      <c r="M64" s="10">
        <f>+'IS-PBC'!L216</f>
        <v>0</v>
      </c>
      <c r="N64" s="10">
        <f>+'IS-PBC'!M216</f>
        <v>10708.82</v>
      </c>
      <c r="O64" s="10">
        <f t="shared" si="7"/>
        <v>10708.82</v>
      </c>
      <c r="P64" s="10"/>
      <c r="Q64" s="10">
        <f t="shared" si="9"/>
        <v>10708.82</v>
      </c>
      <c r="R64" s="10"/>
      <c r="S64" s="10">
        <f t="shared" si="6"/>
        <v>10708.82</v>
      </c>
    </row>
    <row r="65" spans="1:27" ht="15" customHeight="1">
      <c r="A65" s="23">
        <v>51</v>
      </c>
      <c r="B65" s="9" t="s">
        <v>809</v>
      </c>
      <c r="C65" s="10">
        <f>+'IS-PBC'!B215</f>
        <v>0</v>
      </c>
      <c r="D65" s="10">
        <f>+'IS-PBC'!C215</f>
        <v>0</v>
      </c>
      <c r="E65" s="10">
        <f>+'IS-PBC'!D215</f>
        <v>0</v>
      </c>
      <c r="F65" s="10">
        <f>+'IS-PBC'!E215</f>
        <v>0</v>
      </c>
      <c r="G65" s="10">
        <f>+'IS-PBC'!F215</f>
        <v>-0.45</v>
      </c>
      <c r="H65" s="10">
        <f>+'IS-PBC'!G215</f>
        <v>-0.01</v>
      </c>
      <c r="I65" s="10">
        <f>+'IS-PBC'!H215</f>
        <v>0.18</v>
      </c>
      <c r="J65" s="10">
        <f>+'IS-PBC'!I215</f>
        <v>-0.66</v>
      </c>
      <c r="K65" s="10">
        <f>+'IS-PBC'!J215</f>
        <v>0</v>
      </c>
      <c r="L65" s="10">
        <f>+'IS-PBC'!K215</f>
        <v>1</v>
      </c>
      <c r="M65" s="10">
        <f>+'IS-PBC'!L215</f>
        <v>-0.3</v>
      </c>
      <c r="N65" s="10">
        <f>+'IS-PBC'!M215</f>
        <v>-0.04</v>
      </c>
      <c r="O65" s="10">
        <f t="shared" si="7"/>
        <v>-0.28000000000000003</v>
      </c>
      <c r="P65" s="10"/>
      <c r="Q65" s="10">
        <f t="shared" si="9"/>
        <v>-0.28000000000000003</v>
      </c>
      <c r="R65" s="10"/>
      <c r="S65" s="10">
        <f t="shared" si="6"/>
        <v>-0.28000000000000003</v>
      </c>
    </row>
    <row r="66" spans="1:27" ht="15" customHeight="1">
      <c r="A66" s="23">
        <v>52</v>
      </c>
      <c r="B66" s="9" t="s">
        <v>30</v>
      </c>
      <c r="C66" s="10">
        <f>+'IS-PBC'!B122</f>
        <v>0</v>
      </c>
      <c r="D66" s="10">
        <f>+'IS-PBC'!C122</f>
        <v>0</v>
      </c>
      <c r="E66" s="10">
        <f>+'IS-PBC'!D122</f>
        <v>0</v>
      </c>
      <c r="F66" s="10">
        <f>+'IS-PBC'!E122</f>
        <v>0</v>
      </c>
      <c r="G66" s="10">
        <f>+'IS-PBC'!F122</f>
        <v>0</v>
      </c>
      <c r="H66" s="10">
        <f>+'IS-PBC'!G122</f>
        <v>0</v>
      </c>
      <c r="I66" s="10">
        <f>+'IS-PBC'!H122</f>
        <v>0</v>
      </c>
      <c r="J66" s="10">
        <f>+'IS-PBC'!I122</f>
        <v>0</v>
      </c>
      <c r="K66" s="10">
        <f>+'IS-PBC'!J122</f>
        <v>0</v>
      </c>
      <c r="L66" s="10">
        <f>+'IS-PBC'!K122</f>
        <v>0</v>
      </c>
      <c r="M66" s="10">
        <f>+'IS-PBC'!L122</f>
        <v>0</v>
      </c>
      <c r="N66" s="10">
        <f>+'IS-PBC'!M122</f>
        <v>193.45</v>
      </c>
      <c r="O66" s="10">
        <f t="shared" si="7"/>
        <v>193.45</v>
      </c>
      <c r="P66" s="10"/>
      <c r="Q66" s="10">
        <f t="shared" si="9"/>
        <v>193.45</v>
      </c>
      <c r="R66" s="10"/>
      <c r="S66" s="10">
        <f t="shared" si="6"/>
        <v>193.45</v>
      </c>
    </row>
    <row r="67" spans="1:27" ht="15" customHeight="1">
      <c r="A67" s="23">
        <v>53</v>
      </c>
      <c r="B67" s="9" t="s">
        <v>93</v>
      </c>
      <c r="C67" s="10">
        <f>+'IS-PBC'!B190</f>
        <v>3675.99</v>
      </c>
      <c r="D67" s="10">
        <f>+'IS-PBC'!C190</f>
        <v>15685.79</v>
      </c>
      <c r="E67" s="10">
        <f>+'IS-PBC'!D190</f>
        <v>23976.38</v>
      </c>
      <c r="F67" s="10">
        <f>+'IS-PBC'!E190</f>
        <v>14442.5</v>
      </c>
      <c r="G67" s="10">
        <f>+'IS-PBC'!F190</f>
        <v>3359.38</v>
      </c>
      <c r="H67" s="10">
        <f>+'IS-PBC'!G190</f>
        <v>24799.52</v>
      </c>
      <c r="I67" s="10">
        <f>+'IS-PBC'!H190</f>
        <v>14317</v>
      </c>
      <c r="J67" s="10">
        <f>+'IS-PBC'!I190</f>
        <v>18683.21</v>
      </c>
      <c r="K67" s="10">
        <f>+'IS-PBC'!J190</f>
        <v>15853.99</v>
      </c>
      <c r="L67" s="10">
        <f>+'IS-PBC'!K190</f>
        <v>4967.78</v>
      </c>
      <c r="M67" s="10">
        <f>+'IS-PBC'!L190</f>
        <v>26004.080000000002</v>
      </c>
      <c r="N67" s="10">
        <f>+'IS-PBC'!M190</f>
        <v>14774.71</v>
      </c>
      <c r="O67" s="10">
        <f t="shared" si="7"/>
        <v>180540.33</v>
      </c>
      <c r="P67" s="10"/>
      <c r="Q67" s="10">
        <f t="shared" si="9"/>
        <v>180540.33</v>
      </c>
      <c r="R67" s="10"/>
      <c r="S67" s="10">
        <f t="shared" si="6"/>
        <v>180540.33</v>
      </c>
    </row>
    <row r="68" spans="1:27" ht="15" customHeight="1">
      <c r="A68" s="23">
        <v>54</v>
      </c>
      <c r="B68" s="9" t="s">
        <v>40</v>
      </c>
      <c r="C68" s="50">
        <f>+'IS-PBC'!B119+'IS-PBC'!B120+'IS-PBC'!B121+'IS-PBC'!B123+'IS-PBC'!B124+'IS-PBC'!B125+'IS-PBC'!B126+'IS-PBC'!B127</f>
        <v>0</v>
      </c>
      <c r="D68" s="50">
        <f>+'IS-PBC'!C119+'IS-PBC'!C120+'IS-PBC'!C121+'IS-PBC'!C123+'IS-PBC'!C124+'IS-PBC'!C125+'IS-PBC'!C126+'IS-PBC'!C127</f>
        <v>0</v>
      </c>
      <c r="E68" s="50">
        <f>+'IS-PBC'!D119+'IS-PBC'!D120+'IS-PBC'!D121+'IS-PBC'!D123+'IS-PBC'!D124+'IS-PBC'!D125+'IS-PBC'!D126+'IS-PBC'!D127</f>
        <v>0</v>
      </c>
      <c r="F68" s="50">
        <f>+'IS-PBC'!E119+'IS-PBC'!E120+'IS-PBC'!E121+'IS-PBC'!E123+'IS-PBC'!E124+'IS-PBC'!E125+'IS-PBC'!E126+'IS-PBC'!E127</f>
        <v>0</v>
      </c>
      <c r="G68" s="50">
        <f>+'IS-PBC'!F119+'IS-PBC'!F120+'IS-PBC'!F121+'IS-PBC'!F123+'IS-PBC'!F124+'IS-PBC'!F125+'IS-PBC'!F126+'IS-PBC'!F127</f>
        <v>0</v>
      </c>
      <c r="H68" s="50">
        <f>+'IS-PBC'!G119+'IS-PBC'!G120+'IS-PBC'!G121+'IS-PBC'!G123+'IS-PBC'!G124+'IS-PBC'!G125+'IS-PBC'!G126+'IS-PBC'!G127</f>
        <v>0</v>
      </c>
      <c r="I68" s="50">
        <f>+'IS-PBC'!H119+'IS-PBC'!H120+'IS-PBC'!H121+'IS-PBC'!H123+'IS-PBC'!H124+'IS-PBC'!H125+'IS-PBC'!H126+'IS-PBC'!H127</f>
        <v>0</v>
      </c>
      <c r="J68" s="50">
        <f>+'IS-PBC'!I119+'IS-PBC'!I120+'IS-PBC'!I121+'IS-PBC'!I123+'IS-PBC'!I124+'IS-PBC'!I125+'IS-PBC'!I126+'IS-PBC'!I127</f>
        <v>0</v>
      </c>
      <c r="K68" s="50">
        <f>+'IS-PBC'!J119+'IS-PBC'!J120+'IS-PBC'!J121+'IS-PBC'!J123+'IS-PBC'!J124+'IS-PBC'!J125+'IS-PBC'!J126+'IS-PBC'!J127</f>
        <v>0</v>
      </c>
      <c r="L68" s="50">
        <f>+'IS-PBC'!K119+'IS-PBC'!K120+'IS-PBC'!K121+'IS-PBC'!K123+'IS-PBC'!K124+'IS-PBC'!K125+'IS-PBC'!K126+'IS-PBC'!K127</f>
        <v>0</v>
      </c>
      <c r="M68" s="50">
        <f>+'IS-PBC'!L119+'IS-PBC'!L120+'IS-PBC'!L121+'IS-PBC'!L123+'IS-PBC'!L124+'IS-PBC'!L125+'IS-PBC'!L126+'IS-PBC'!L127</f>
        <v>0</v>
      </c>
      <c r="N68" s="50">
        <f>+'IS-PBC'!M119+'IS-PBC'!M120+'IS-PBC'!M121+'IS-PBC'!M123+'IS-PBC'!M124+'IS-PBC'!M125+'IS-PBC'!M126+'IS-PBC'!M127</f>
        <v>1104909.8</v>
      </c>
      <c r="O68" s="50">
        <f>SUM(C68:N68)</f>
        <v>1104909.8</v>
      </c>
      <c r="P68" s="50"/>
      <c r="Q68" s="50">
        <f t="shared" si="9"/>
        <v>1104909.8</v>
      </c>
      <c r="R68" s="10"/>
      <c r="S68" s="10">
        <f>Q68+R68</f>
        <v>1104909.8</v>
      </c>
    </row>
    <row r="69" spans="1:27" ht="15" customHeight="1">
      <c r="B69" s="8"/>
      <c r="C69" s="10">
        <f t="shared" ref="C69:N69" si="10">SUM(C28:C68)</f>
        <v>319298.26000000007</v>
      </c>
      <c r="D69" s="10">
        <f t="shared" si="10"/>
        <v>667404.78</v>
      </c>
      <c r="E69" s="10">
        <f t="shared" si="10"/>
        <v>971142.29999999993</v>
      </c>
      <c r="F69" s="10">
        <f t="shared" si="10"/>
        <v>959779.2799999998</v>
      </c>
      <c r="G69" s="10">
        <f t="shared" si="10"/>
        <v>827128.69</v>
      </c>
      <c r="H69" s="10">
        <f t="shared" si="10"/>
        <v>849616.28</v>
      </c>
      <c r="I69" s="10">
        <f t="shared" si="10"/>
        <v>854420.49999999988</v>
      </c>
      <c r="J69" s="10">
        <f t="shared" si="10"/>
        <v>911217.3</v>
      </c>
      <c r="K69" s="10">
        <f t="shared" si="10"/>
        <v>898391.35999999987</v>
      </c>
      <c r="L69" s="10">
        <f t="shared" si="10"/>
        <v>920098.10000000009</v>
      </c>
      <c r="M69" s="10">
        <f t="shared" si="10"/>
        <v>1013732.02</v>
      </c>
      <c r="N69" s="10">
        <f t="shared" si="10"/>
        <v>2073648.93</v>
      </c>
      <c r="O69" s="10">
        <f>SUM(C69:N69)</f>
        <v>11265877.799999999</v>
      </c>
      <c r="P69" s="45">
        <f>SUM(P28:P68)</f>
        <v>0</v>
      </c>
      <c r="Q69" s="10">
        <f>SUM(Q28:Q68)</f>
        <v>11265877.800000001</v>
      </c>
      <c r="R69" s="10"/>
      <c r="S69" s="10">
        <f>Q69+R69</f>
        <v>11265877.800000001</v>
      </c>
      <c r="W69" s="514"/>
    </row>
    <row r="70" spans="1:27" ht="15" customHeight="1">
      <c r="B70" s="11" t="s">
        <v>15</v>
      </c>
      <c r="C70" s="47">
        <f t="shared" ref="C70:S70" si="11">C25-C69</f>
        <v>256594.31999999989</v>
      </c>
      <c r="D70" s="47">
        <f t="shared" si="11"/>
        <v>115969.91000000003</v>
      </c>
      <c r="E70" s="47">
        <f t="shared" si="11"/>
        <v>-41059.009999999893</v>
      </c>
      <c r="F70" s="47">
        <f t="shared" si="11"/>
        <v>24291.830000000424</v>
      </c>
      <c r="G70" s="47">
        <f t="shared" si="11"/>
        <v>115307.73999999999</v>
      </c>
      <c r="H70" s="47">
        <f t="shared" si="11"/>
        <v>128253.98999999999</v>
      </c>
      <c r="I70" s="47">
        <f t="shared" si="11"/>
        <v>120754.67000000016</v>
      </c>
      <c r="J70" s="47">
        <f t="shared" si="11"/>
        <v>117263.24000000011</v>
      </c>
      <c r="K70" s="47">
        <f t="shared" si="11"/>
        <v>102912.90000000014</v>
      </c>
      <c r="L70" s="47">
        <f t="shared" si="11"/>
        <v>83592.510000000009</v>
      </c>
      <c r="M70" s="47">
        <f t="shared" si="11"/>
        <v>-23898.519999999902</v>
      </c>
      <c r="N70" s="47">
        <f t="shared" si="11"/>
        <v>-1133050.4699999997</v>
      </c>
      <c r="O70" s="47">
        <f t="shared" si="11"/>
        <v>82673.640000000596</v>
      </c>
      <c r="P70" s="47">
        <f t="shared" si="11"/>
        <v>0</v>
      </c>
      <c r="Q70" s="47">
        <f t="shared" si="11"/>
        <v>82673.639999998733</v>
      </c>
      <c r="R70" s="10"/>
      <c r="S70" s="10">
        <f t="shared" si="11"/>
        <v>82673.639999998733</v>
      </c>
    </row>
    <row r="71" spans="1:27" ht="15" customHeight="1">
      <c r="B71" s="8"/>
      <c r="C71" s="10"/>
      <c r="D71" s="10"/>
      <c r="E71" s="10"/>
      <c r="F71" s="10"/>
      <c r="G71" s="10"/>
      <c r="H71" s="10"/>
      <c r="I71" s="10"/>
      <c r="J71" s="10"/>
      <c r="K71" s="10"/>
      <c r="L71" s="10"/>
      <c r="M71" s="10"/>
      <c r="N71" s="10"/>
      <c r="O71" s="244"/>
      <c r="P71" s="10"/>
      <c r="Q71" s="10"/>
      <c r="R71" s="10"/>
      <c r="S71" s="10"/>
    </row>
    <row r="72" spans="1:27" ht="15" customHeight="1">
      <c r="B72" s="11" t="s">
        <v>41</v>
      </c>
      <c r="C72" s="10"/>
      <c r="D72" s="10"/>
      <c r="E72" s="10"/>
      <c r="F72" s="10"/>
      <c r="G72" s="10"/>
      <c r="H72" s="10"/>
      <c r="I72" s="10"/>
      <c r="J72" s="10"/>
      <c r="K72" s="10"/>
      <c r="L72" s="10"/>
      <c r="M72" s="10"/>
      <c r="N72" s="10"/>
      <c r="O72" s="10"/>
      <c r="P72" s="10"/>
      <c r="Q72" s="10"/>
      <c r="R72" s="10"/>
      <c r="S72" s="10"/>
      <c r="Z72" s="243"/>
      <c r="AA72" s="243"/>
    </row>
    <row r="74" spans="1:27">
      <c r="A74" s="23">
        <v>55</v>
      </c>
      <c r="B74" s="9" t="s">
        <v>795</v>
      </c>
      <c r="C74" s="10">
        <f>+'IS-PBC'!B99</f>
        <v>0</v>
      </c>
      <c r="D74" s="10">
        <f>+'IS-PBC'!C99</f>
        <v>0</v>
      </c>
      <c r="E74" s="10">
        <f>+'IS-PBC'!D99</f>
        <v>4000</v>
      </c>
      <c r="F74" s="10">
        <f>+'IS-PBC'!E99</f>
        <v>0</v>
      </c>
      <c r="G74" s="10">
        <f>+'IS-PBC'!F99</f>
        <v>0</v>
      </c>
      <c r="H74" s="10">
        <f>+'IS-PBC'!G99</f>
        <v>0</v>
      </c>
      <c r="I74" s="10">
        <f>+'IS-PBC'!H99</f>
        <v>0</v>
      </c>
      <c r="J74" s="10">
        <f>+'IS-PBC'!I99</f>
        <v>0</v>
      </c>
      <c r="K74" s="10">
        <f>+'IS-PBC'!J99</f>
        <v>0</v>
      </c>
      <c r="L74" s="10">
        <f>+'IS-PBC'!K99</f>
        <v>0</v>
      </c>
      <c r="M74" s="10">
        <f>+'IS-PBC'!L99</f>
        <v>0</v>
      </c>
      <c r="N74" s="10">
        <f>+'IS-PBC'!M99</f>
        <v>0</v>
      </c>
      <c r="O74" s="10">
        <f>SUM(C74:N74)</f>
        <v>4000</v>
      </c>
      <c r="Q74" s="10">
        <f>O74+P74</f>
        <v>4000</v>
      </c>
    </row>
    <row r="75" spans="1:27" ht="15" customHeight="1">
      <c r="A75" s="23">
        <v>56</v>
      </c>
      <c r="B75" s="9" t="s">
        <v>353</v>
      </c>
      <c r="C75" s="50">
        <v>0</v>
      </c>
      <c r="D75" s="50">
        <v>0</v>
      </c>
      <c r="E75" s="50">
        <v>0</v>
      </c>
      <c r="F75" s="50">
        <v>0</v>
      </c>
      <c r="G75" s="50">
        <v>0</v>
      </c>
      <c r="H75" s="50">
        <v>0</v>
      </c>
      <c r="I75" s="50">
        <v>0</v>
      </c>
      <c r="J75" s="50">
        <v>0</v>
      </c>
      <c r="K75" s="50">
        <v>0</v>
      </c>
      <c r="L75" s="50">
        <v>0</v>
      </c>
      <c r="M75" s="50">
        <v>0</v>
      </c>
      <c r="N75" s="50">
        <v>0</v>
      </c>
      <c r="O75" s="10">
        <f>SUM(C75:N75)</f>
        <v>0</v>
      </c>
      <c r="P75" s="45"/>
      <c r="Q75" s="45">
        <f>O75+P75</f>
        <v>0</v>
      </c>
      <c r="R75" s="10"/>
      <c r="S75" s="10"/>
    </row>
    <row r="76" spans="1:27" ht="15" customHeight="1">
      <c r="B76" s="8"/>
      <c r="C76" s="10"/>
      <c r="D76" s="10"/>
      <c r="E76" s="10"/>
      <c r="F76" s="10"/>
      <c r="G76" s="10"/>
      <c r="H76" s="10"/>
      <c r="I76" s="10"/>
      <c r="J76" s="10"/>
      <c r="K76" s="10"/>
      <c r="L76" s="10"/>
      <c r="M76" s="10"/>
      <c r="N76" s="10"/>
      <c r="O76" s="245"/>
      <c r="P76" s="10"/>
      <c r="Q76" s="10"/>
      <c r="R76" s="10"/>
      <c r="S76" s="10"/>
    </row>
    <row r="77" spans="1:27" ht="15" customHeight="1" thickBot="1">
      <c r="B77" s="11" t="s">
        <v>115</v>
      </c>
      <c r="C77" s="48">
        <f>C74+C75+C70</f>
        <v>256594.31999999989</v>
      </c>
      <c r="D77" s="48">
        <f t="shared" ref="D77:N77" si="12">D74+D75+D70</f>
        <v>115969.91000000003</v>
      </c>
      <c r="E77" s="48">
        <f t="shared" si="12"/>
        <v>-37059.009999999893</v>
      </c>
      <c r="F77" s="48">
        <f t="shared" si="12"/>
        <v>24291.830000000424</v>
      </c>
      <c r="G77" s="48">
        <f t="shared" si="12"/>
        <v>115307.73999999999</v>
      </c>
      <c r="H77" s="48">
        <f t="shared" si="12"/>
        <v>128253.98999999999</v>
      </c>
      <c r="I77" s="48">
        <f t="shared" si="12"/>
        <v>120754.67000000016</v>
      </c>
      <c r="J77" s="48">
        <f t="shared" si="12"/>
        <v>117263.24000000011</v>
      </c>
      <c r="K77" s="48">
        <f t="shared" si="12"/>
        <v>102912.90000000014</v>
      </c>
      <c r="L77" s="48">
        <f t="shared" si="12"/>
        <v>83592.510000000009</v>
      </c>
      <c r="M77" s="48">
        <f t="shared" si="12"/>
        <v>-23898.519999999902</v>
      </c>
      <c r="N77" s="48">
        <f t="shared" si="12"/>
        <v>-1133050.4699999997</v>
      </c>
      <c r="O77" s="48">
        <f>O75+O70</f>
        <v>82673.640000000596</v>
      </c>
      <c r="P77" s="48">
        <f>P75+P70</f>
        <v>0</v>
      </c>
      <c r="Q77" s="48">
        <f>Q74+Q75+Q70</f>
        <v>86673.639999998733</v>
      </c>
      <c r="R77" s="10"/>
      <c r="S77" s="10"/>
    </row>
    <row r="78" spans="1:27" ht="15" customHeight="1" thickTop="1">
      <c r="C78" s="10"/>
      <c r="D78" s="10"/>
      <c r="E78" s="10"/>
      <c r="F78" s="10"/>
      <c r="G78" s="10"/>
      <c r="H78" s="10"/>
      <c r="I78" s="10"/>
      <c r="J78" s="10"/>
      <c r="K78" s="10"/>
      <c r="L78" s="10"/>
      <c r="M78" s="10"/>
      <c r="N78" s="10"/>
      <c r="O78" s="244"/>
      <c r="P78" s="49"/>
      <c r="Q78" s="10"/>
      <c r="R78" s="10"/>
      <c r="S78" s="10"/>
    </row>
    <row r="79" spans="1:27" ht="15" customHeight="1">
      <c r="C79" s="10"/>
      <c r="D79" s="10"/>
      <c r="E79" s="10"/>
      <c r="F79" s="10"/>
      <c r="G79" s="10"/>
      <c r="H79" s="10"/>
      <c r="I79" s="10"/>
      <c r="J79" s="10"/>
      <c r="K79" s="10"/>
      <c r="L79" s="10"/>
      <c r="M79" s="10"/>
      <c r="N79" s="10"/>
      <c r="O79" s="246"/>
      <c r="P79" s="49"/>
      <c r="Q79" s="10"/>
      <c r="R79" s="10"/>
      <c r="S79" s="10"/>
    </row>
    <row r="80" spans="1:27" ht="15" customHeight="1">
      <c r="C80" s="10"/>
      <c r="D80" s="10"/>
      <c r="E80" s="10"/>
      <c r="F80" s="10"/>
      <c r="G80" s="10"/>
      <c r="H80" s="10"/>
      <c r="I80" s="10"/>
      <c r="J80" s="10"/>
      <c r="K80" s="10"/>
      <c r="L80" s="10"/>
      <c r="M80" s="10"/>
      <c r="N80" s="10"/>
      <c r="O80" s="10"/>
      <c r="P80" s="49"/>
      <c r="Q80" s="10"/>
      <c r="R80" s="10"/>
      <c r="S80" s="10"/>
    </row>
    <row r="81" spans="3:19" ht="15" customHeight="1">
      <c r="C81" s="10"/>
      <c r="D81" s="10"/>
      <c r="E81" s="10"/>
      <c r="F81" s="10"/>
      <c r="G81" s="10"/>
      <c r="H81" s="10"/>
      <c r="I81" s="10"/>
      <c r="J81" s="10"/>
      <c r="K81" s="10"/>
      <c r="L81" s="10"/>
      <c r="M81" s="10"/>
      <c r="N81" s="10"/>
      <c r="O81" s="10"/>
      <c r="P81" s="10"/>
      <c r="Q81" s="10"/>
      <c r="R81" s="10"/>
      <c r="S81" s="10"/>
    </row>
    <row r="82" spans="3:19" ht="15" customHeight="1">
      <c r="C82" s="10"/>
      <c r="D82" s="10"/>
      <c r="E82" s="10"/>
      <c r="F82" s="10"/>
      <c r="G82" s="10"/>
      <c r="H82" s="10"/>
      <c r="I82" s="10"/>
      <c r="J82" s="10"/>
      <c r="K82" s="10"/>
      <c r="L82" s="10"/>
      <c r="M82" s="10"/>
      <c r="N82" s="10"/>
      <c r="O82" s="10"/>
      <c r="P82" s="10"/>
      <c r="Q82" s="10"/>
      <c r="R82" s="10"/>
      <c r="S82" s="10"/>
    </row>
    <row r="83" spans="3:19" ht="15" customHeight="1">
      <c r="C83" s="10"/>
      <c r="D83" s="10"/>
      <c r="E83" s="10"/>
      <c r="F83" s="10"/>
      <c r="G83" s="10"/>
      <c r="H83" s="10"/>
      <c r="I83" s="10"/>
      <c r="J83" s="10"/>
      <c r="K83" s="10"/>
      <c r="L83" s="10"/>
      <c r="M83" s="10"/>
      <c r="N83" s="10"/>
      <c r="O83" s="10"/>
      <c r="P83" s="10"/>
      <c r="Q83" s="10"/>
      <c r="R83" s="10"/>
      <c r="S83" s="10"/>
    </row>
    <row r="84" spans="3:19" ht="15" customHeight="1">
      <c r="C84" s="10"/>
      <c r="D84" s="10"/>
      <c r="E84" s="10"/>
      <c r="F84" s="10"/>
      <c r="G84" s="10"/>
      <c r="H84" s="10"/>
      <c r="I84" s="10"/>
      <c r="J84" s="10"/>
      <c r="K84" s="10"/>
      <c r="L84" s="10"/>
      <c r="M84" s="10"/>
      <c r="N84" s="10"/>
      <c r="O84" s="10"/>
      <c r="P84" s="10"/>
      <c r="Q84" s="10"/>
      <c r="R84" s="10"/>
      <c r="S84" s="10"/>
    </row>
    <row r="85" spans="3:19" ht="15" customHeight="1">
      <c r="C85" s="10"/>
      <c r="D85" s="10"/>
      <c r="E85" s="10"/>
      <c r="F85" s="10"/>
      <c r="G85" s="10"/>
      <c r="H85" s="10"/>
      <c r="I85" s="10"/>
      <c r="J85" s="10"/>
      <c r="K85" s="10"/>
      <c r="L85" s="10"/>
      <c r="M85" s="10"/>
      <c r="N85" s="10"/>
      <c r="O85" s="10"/>
      <c r="P85" s="10"/>
      <c r="Q85" s="10"/>
      <c r="R85" s="10"/>
      <c r="S85" s="10"/>
    </row>
    <row r="86" spans="3:19" ht="15" customHeight="1">
      <c r="C86" s="10"/>
      <c r="D86" s="10"/>
      <c r="E86" s="10"/>
      <c r="F86" s="10"/>
      <c r="G86" s="10"/>
      <c r="H86" s="10"/>
      <c r="I86" s="10"/>
      <c r="J86" s="10"/>
      <c r="K86" s="10"/>
      <c r="L86" s="10"/>
      <c r="M86" s="10"/>
      <c r="N86" s="10"/>
      <c r="O86" s="10"/>
      <c r="P86" s="10"/>
      <c r="Q86" s="10"/>
      <c r="R86" s="10"/>
      <c r="S86" s="10"/>
    </row>
    <row r="87" spans="3:19" ht="15" customHeight="1">
      <c r="C87" s="10"/>
      <c r="D87" s="10"/>
      <c r="E87" s="10"/>
      <c r="F87" s="10"/>
      <c r="G87" s="10"/>
      <c r="H87" s="10"/>
      <c r="I87" s="10"/>
      <c r="J87" s="10"/>
      <c r="K87" s="10"/>
      <c r="L87" s="10"/>
      <c r="M87" s="10"/>
      <c r="N87" s="10"/>
      <c r="O87" s="10"/>
      <c r="P87" s="10"/>
      <c r="Q87" s="10"/>
      <c r="R87" s="10"/>
      <c r="S87" s="10"/>
    </row>
    <row r="88" spans="3:19" ht="15" customHeight="1">
      <c r="C88" s="10"/>
      <c r="D88" s="10"/>
      <c r="E88" s="10"/>
      <c r="F88" s="10"/>
      <c r="G88" s="10"/>
      <c r="H88" s="10"/>
      <c r="I88" s="10"/>
      <c r="J88" s="10"/>
      <c r="K88" s="10"/>
      <c r="L88" s="10"/>
      <c r="M88" s="10"/>
      <c r="N88" s="10"/>
      <c r="O88" s="10"/>
      <c r="P88" s="10"/>
      <c r="Q88" s="10"/>
      <c r="R88" s="10"/>
      <c r="S88" s="10"/>
    </row>
    <row r="89" spans="3:19" ht="15" customHeight="1">
      <c r="C89" s="10"/>
      <c r="D89" s="10"/>
      <c r="E89" s="10"/>
      <c r="F89" s="10"/>
      <c r="G89" s="10"/>
      <c r="H89" s="10"/>
      <c r="I89" s="10"/>
      <c r="J89" s="10"/>
      <c r="K89" s="10"/>
      <c r="L89" s="10"/>
      <c r="M89" s="10"/>
      <c r="N89" s="10"/>
      <c r="O89" s="10"/>
      <c r="P89" s="10"/>
      <c r="Q89" s="10"/>
      <c r="R89" s="10"/>
      <c r="S89" s="10"/>
    </row>
    <row r="90" spans="3:19" ht="15" customHeight="1">
      <c r="C90" s="10"/>
      <c r="D90" s="10"/>
      <c r="E90" s="10"/>
      <c r="F90" s="10"/>
      <c r="G90" s="10"/>
      <c r="H90" s="10"/>
      <c r="I90" s="10"/>
      <c r="J90" s="10"/>
      <c r="K90" s="10"/>
      <c r="L90" s="10"/>
      <c r="M90" s="10"/>
      <c r="N90" s="10"/>
      <c r="O90" s="10"/>
      <c r="P90" s="10"/>
      <c r="Q90" s="10"/>
      <c r="R90" s="10"/>
      <c r="S90" s="10"/>
    </row>
    <row r="91" spans="3:19" ht="15" customHeight="1">
      <c r="C91" s="10"/>
      <c r="D91" s="10"/>
      <c r="E91" s="10"/>
      <c r="F91" s="10"/>
      <c r="G91" s="10"/>
      <c r="H91" s="10"/>
      <c r="I91" s="10"/>
      <c r="J91" s="10"/>
      <c r="K91" s="10"/>
      <c r="L91" s="10"/>
      <c r="M91" s="10"/>
      <c r="N91" s="10"/>
      <c r="O91" s="10"/>
      <c r="P91" s="10"/>
      <c r="Q91" s="10"/>
      <c r="R91" s="10"/>
      <c r="S91" s="10"/>
    </row>
    <row r="92" spans="3:19" ht="15" customHeight="1">
      <c r="C92" s="10"/>
      <c r="D92" s="10"/>
      <c r="E92" s="10"/>
      <c r="F92" s="10"/>
      <c r="G92" s="10"/>
      <c r="H92" s="10"/>
      <c r="I92" s="10"/>
      <c r="J92" s="10"/>
      <c r="K92" s="10"/>
      <c r="L92" s="10"/>
      <c r="M92" s="10"/>
      <c r="N92" s="10"/>
      <c r="O92" s="10"/>
      <c r="P92" s="10"/>
      <c r="Q92" s="10"/>
      <c r="R92" s="10"/>
      <c r="S92" s="10"/>
    </row>
    <row r="93" spans="3:19" ht="15" customHeight="1">
      <c r="C93" s="10"/>
      <c r="D93" s="10"/>
      <c r="E93" s="10"/>
      <c r="F93" s="10"/>
      <c r="G93" s="10"/>
      <c r="H93" s="10"/>
      <c r="I93" s="10"/>
      <c r="J93" s="10"/>
      <c r="K93" s="10"/>
      <c r="L93" s="10"/>
      <c r="M93" s="10"/>
      <c r="N93" s="10"/>
      <c r="O93" s="10"/>
      <c r="P93" s="10"/>
      <c r="Q93" s="10"/>
      <c r="R93" s="10"/>
      <c r="S93" s="10"/>
    </row>
    <row r="94" spans="3:19" ht="15" customHeight="1">
      <c r="C94" s="10"/>
      <c r="D94" s="10"/>
      <c r="E94" s="10"/>
      <c r="F94" s="10"/>
      <c r="G94" s="10"/>
      <c r="H94" s="10"/>
      <c r="I94" s="10"/>
      <c r="J94" s="10"/>
      <c r="K94" s="10"/>
      <c r="L94" s="10"/>
      <c r="M94" s="10"/>
      <c r="N94" s="10"/>
      <c r="O94" s="10"/>
      <c r="P94" s="10"/>
      <c r="Q94" s="10"/>
      <c r="R94" s="10"/>
      <c r="S94" s="10"/>
    </row>
    <row r="95" spans="3:19" ht="15" customHeight="1">
      <c r="C95" s="10"/>
      <c r="D95" s="10"/>
      <c r="E95" s="10"/>
      <c r="F95" s="10"/>
      <c r="G95" s="10"/>
      <c r="H95" s="10"/>
      <c r="I95" s="10"/>
      <c r="J95" s="10"/>
      <c r="K95" s="10"/>
      <c r="L95" s="10"/>
      <c r="M95" s="10"/>
      <c r="N95" s="10"/>
      <c r="O95" s="10"/>
      <c r="P95" s="10"/>
      <c r="Q95" s="10"/>
      <c r="R95" s="10"/>
      <c r="S95" s="10"/>
    </row>
    <row r="96" spans="3:19" ht="15" customHeight="1">
      <c r="C96" s="10"/>
      <c r="D96" s="10"/>
      <c r="E96" s="10"/>
      <c r="F96" s="10"/>
      <c r="G96" s="10"/>
      <c r="H96" s="10"/>
      <c r="I96" s="10"/>
      <c r="J96" s="10"/>
      <c r="K96" s="10"/>
      <c r="L96" s="10"/>
      <c r="M96" s="10"/>
      <c r="N96" s="10"/>
      <c r="O96" s="10"/>
      <c r="P96" s="10"/>
      <c r="Q96" s="10"/>
      <c r="R96" s="10"/>
      <c r="S96" s="10"/>
    </row>
    <row r="97" spans="3:19" ht="15" customHeight="1">
      <c r="C97" s="10"/>
      <c r="D97" s="10"/>
      <c r="E97" s="10"/>
      <c r="F97" s="10"/>
      <c r="G97" s="10"/>
      <c r="H97" s="10"/>
      <c r="I97" s="10"/>
      <c r="J97" s="10"/>
      <c r="K97" s="10"/>
      <c r="L97" s="10"/>
      <c r="M97" s="10"/>
      <c r="N97" s="10"/>
      <c r="O97" s="10"/>
      <c r="P97" s="10"/>
      <c r="Q97" s="10"/>
      <c r="R97" s="10"/>
      <c r="S97" s="10"/>
    </row>
    <row r="98" spans="3:19" ht="15" customHeight="1">
      <c r="C98" s="10"/>
      <c r="D98" s="10"/>
      <c r="E98" s="10"/>
      <c r="F98" s="10"/>
      <c r="G98" s="10"/>
      <c r="H98" s="10"/>
      <c r="I98" s="10"/>
      <c r="J98" s="10"/>
      <c r="K98" s="10"/>
      <c r="L98" s="10"/>
      <c r="M98" s="10"/>
      <c r="N98" s="10"/>
      <c r="O98" s="10"/>
      <c r="P98" s="10"/>
      <c r="Q98" s="10"/>
      <c r="R98" s="10"/>
      <c r="S98" s="10"/>
    </row>
    <row r="99" spans="3:19" ht="15" customHeight="1">
      <c r="C99" s="10"/>
      <c r="D99" s="10"/>
      <c r="E99" s="10"/>
      <c r="F99" s="10"/>
      <c r="G99" s="10"/>
      <c r="H99" s="10"/>
      <c r="I99" s="10"/>
      <c r="J99" s="10"/>
      <c r="K99" s="10"/>
      <c r="L99" s="10"/>
      <c r="M99" s="10"/>
      <c r="N99" s="10"/>
      <c r="O99" s="10"/>
      <c r="P99" s="10"/>
      <c r="Q99" s="10"/>
      <c r="R99" s="10"/>
      <c r="S99" s="10"/>
    </row>
    <row r="100" spans="3:19" ht="15" customHeight="1">
      <c r="C100" s="10"/>
      <c r="D100" s="10"/>
      <c r="E100" s="10"/>
      <c r="F100" s="10"/>
      <c r="G100" s="10"/>
      <c r="H100" s="10"/>
      <c r="I100" s="10"/>
      <c r="J100" s="10"/>
      <c r="K100" s="10"/>
      <c r="L100" s="10"/>
      <c r="M100" s="10"/>
      <c r="N100" s="10"/>
      <c r="O100" s="10"/>
      <c r="P100" s="10"/>
      <c r="Q100" s="10"/>
      <c r="R100" s="10"/>
      <c r="S100" s="10"/>
    </row>
    <row r="101" spans="3:19" ht="15" customHeight="1">
      <c r="C101" s="10"/>
      <c r="D101" s="10"/>
      <c r="E101" s="10"/>
      <c r="F101" s="10"/>
      <c r="G101" s="10"/>
      <c r="H101" s="10"/>
      <c r="I101" s="10"/>
      <c r="J101" s="10"/>
      <c r="K101" s="10"/>
      <c r="L101" s="10"/>
      <c r="M101" s="10"/>
      <c r="N101" s="10"/>
      <c r="O101" s="10"/>
      <c r="P101" s="10"/>
      <c r="Q101" s="10"/>
      <c r="R101" s="10"/>
      <c r="S101" s="10"/>
    </row>
    <row r="102" spans="3:19" ht="15" customHeight="1">
      <c r="C102" s="10"/>
      <c r="D102" s="10"/>
      <c r="E102" s="10"/>
      <c r="F102" s="10"/>
      <c r="G102" s="10"/>
      <c r="H102" s="10"/>
      <c r="I102" s="10"/>
      <c r="J102" s="10"/>
      <c r="K102" s="10"/>
      <c r="L102" s="10"/>
      <c r="M102" s="10"/>
      <c r="N102" s="10"/>
      <c r="O102" s="10"/>
      <c r="P102" s="10"/>
      <c r="Q102" s="10"/>
      <c r="R102" s="10"/>
      <c r="S102" s="10"/>
    </row>
    <row r="103" spans="3:19" ht="15" customHeight="1">
      <c r="C103" s="10"/>
      <c r="D103" s="10"/>
      <c r="E103" s="10"/>
      <c r="F103" s="10"/>
      <c r="G103" s="10"/>
      <c r="H103" s="10"/>
      <c r="I103" s="10"/>
      <c r="J103" s="10"/>
      <c r="K103" s="10"/>
      <c r="L103" s="10"/>
      <c r="M103" s="10"/>
      <c r="N103" s="10"/>
      <c r="O103" s="10"/>
      <c r="P103" s="10"/>
      <c r="Q103" s="10"/>
      <c r="R103" s="10"/>
      <c r="S103" s="10"/>
    </row>
    <row r="104" spans="3:19" ht="15" customHeight="1">
      <c r="C104" s="10"/>
      <c r="D104" s="10"/>
      <c r="E104" s="10"/>
      <c r="F104" s="10"/>
      <c r="G104" s="10"/>
      <c r="H104" s="10"/>
      <c r="I104" s="10"/>
      <c r="J104" s="10"/>
      <c r="K104" s="10"/>
      <c r="L104" s="10"/>
      <c r="M104" s="10"/>
      <c r="N104" s="10"/>
      <c r="O104" s="10"/>
      <c r="P104" s="10"/>
      <c r="Q104" s="10"/>
      <c r="R104" s="10"/>
      <c r="S104" s="10"/>
    </row>
    <row r="105" spans="3:19" ht="15" customHeight="1">
      <c r="C105" s="10"/>
      <c r="D105" s="10"/>
      <c r="E105" s="10"/>
      <c r="F105" s="10"/>
      <c r="G105" s="10"/>
      <c r="H105" s="10"/>
      <c r="I105" s="10"/>
      <c r="J105" s="10"/>
      <c r="K105" s="10"/>
      <c r="L105" s="10"/>
      <c r="M105" s="10"/>
      <c r="N105" s="10"/>
      <c r="O105" s="10"/>
      <c r="P105" s="10"/>
      <c r="Q105" s="10"/>
      <c r="R105" s="10"/>
      <c r="S105" s="10"/>
    </row>
    <row r="106" spans="3:19" ht="15" customHeight="1">
      <c r="C106" s="10"/>
      <c r="D106" s="10"/>
      <c r="E106" s="10"/>
      <c r="F106" s="10"/>
      <c r="G106" s="10"/>
      <c r="H106" s="10"/>
      <c r="I106" s="10"/>
      <c r="J106" s="10"/>
      <c r="K106" s="10"/>
      <c r="L106" s="10"/>
      <c r="M106" s="10"/>
      <c r="N106" s="10"/>
      <c r="O106" s="10"/>
      <c r="P106" s="10"/>
      <c r="Q106" s="10"/>
      <c r="R106" s="10"/>
      <c r="S106" s="10"/>
    </row>
    <row r="107" spans="3:19" ht="15" customHeight="1">
      <c r="C107" s="10"/>
      <c r="D107" s="10"/>
      <c r="E107" s="10"/>
      <c r="F107" s="10"/>
      <c r="G107" s="10"/>
      <c r="H107" s="10"/>
      <c r="I107" s="10"/>
      <c r="J107" s="10"/>
      <c r="K107" s="10"/>
      <c r="L107" s="10"/>
      <c r="M107" s="10"/>
      <c r="N107" s="10"/>
      <c r="O107" s="10"/>
      <c r="P107" s="10"/>
      <c r="Q107" s="10"/>
      <c r="R107" s="10"/>
      <c r="S107" s="10"/>
    </row>
    <row r="108" spans="3:19" ht="15" customHeight="1">
      <c r="C108" s="10"/>
      <c r="D108" s="10"/>
      <c r="E108" s="10"/>
      <c r="F108" s="10"/>
      <c r="G108" s="10"/>
      <c r="H108" s="10"/>
      <c r="I108" s="10"/>
      <c r="J108" s="10"/>
      <c r="K108" s="10"/>
      <c r="L108" s="10"/>
      <c r="M108" s="10"/>
      <c r="N108" s="10"/>
      <c r="O108" s="10"/>
      <c r="P108" s="10"/>
      <c r="Q108" s="10"/>
      <c r="R108" s="10"/>
      <c r="S108" s="10"/>
    </row>
    <row r="109" spans="3:19" ht="15" customHeight="1">
      <c r="C109" s="10"/>
      <c r="D109" s="10"/>
      <c r="E109" s="10"/>
      <c r="F109" s="10"/>
      <c r="G109" s="10"/>
      <c r="H109" s="10"/>
      <c r="I109" s="10"/>
      <c r="J109" s="10"/>
      <c r="K109" s="10"/>
      <c r="L109" s="10"/>
      <c r="M109" s="10"/>
      <c r="N109" s="10"/>
      <c r="O109" s="10"/>
      <c r="P109" s="10"/>
      <c r="Q109" s="10"/>
      <c r="R109" s="10"/>
      <c r="S109" s="10"/>
    </row>
    <row r="110" spans="3:19" ht="15" customHeight="1">
      <c r="C110" s="10"/>
      <c r="D110" s="10"/>
      <c r="E110" s="10"/>
      <c r="F110" s="10"/>
      <c r="G110" s="10"/>
      <c r="H110" s="10"/>
      <c r="I110" s="10"/>
      <c r="J110" s="10"/>
      <c r="K110" s="10"/>
      <c r="L110" s="10"/>
      <c r="M110" s="10"/>
      <c r="N110" s="10"/>
      <c r="O110" s="10"/>
      <c r="P110" s="10"/>
      <c r="Q110" s="10"/>
      <c r="R110" s="10"/>
      <c r="S110" s="10"/>
    </row>
    <row r="111" spans="3:19" ht="15" customHeight="1">
      <c r="C111" s="10"/>
      <c r="D111" s="10"/>
      <c r="E111" s="10"/>
      <c r="F111" s="10"/>
      <c r="G111" s="10"/>
      <c r="H111" s="10"/>
      <c r="I111" s="10"/>
      <c r="J111" s="10"/>
      <c r="K111" s="10"/>
      <c r="L111" s="10"/>
      <c r="M111" s="10"/>
      <c r="N111" s="10"/>
      <c r="O111" s="10"/>
      <c r="P111" s="10"/>
      <c r="Q111" s="10"/>
      <c r="R111" s="10"/>
      <c r="S111" s="10"/>
    </row>
    <row r="112" spans="3:19" ht="15" customHeight="1">
      <c r="C112" s="10"/>
      <c r="D112" s="10"/>
      <c r="E112" s="10"/>
      <c r="F112" s="10"/>
      <c r="G112" s="10"/>
      <c r="H112" s="10"/>
      <c r="I112" s="10"/>
      <c r="J112" s="10"/>
      <c r="K112" s="10"/>
      <c r="L112" s="10"/>
      <c r="M112" s="10"/>
      <c r="N112" s="10"/>
      <c r="O112" s="10"/>
      <c r="P112" s="10"/>
      <c r="Q112" s="10"/>
      <c r="R112" s="10"/>
      <c r="S112" s="10"/>
    </row>
    <row r="113" spans="3:19" ht="15" customHeight="1">
      <c r="C113" s="10"/>
      <c r="D113" s="10"/>
      <c r="E113" s="10"/>
      <c r="F113" s="10"/>
      <c r="G113" s="10"/>
      <c r="H113" s="10"/>
      <c r="I113" s="10"/>
      <c r="J113" s="10"/>
      <c r="K113" s="10"/>
      <c r="L113" s="10"/>
      <c r="M113" s="10"/>
      <c r="N113" s="10"/>
      <c r="O113" s="10"/>
      <c r="P113" s="10"/>
      <c r="Q113" s="10"/>
      <c r="R113" s="10"/>
      <c r="S113" s="10"/>
    </row>
    <row r="114" spans="3:19" ht="15" customHeight="1">
      <c r="C114" s="10"/>
      <c r="D114" s="10"/>
      <c r="E114" s="10"/>
      <c r="F114" s="10"/>
      <c r="G114" s="10"/>
      <c r="H114" s="10"/>
      <c r="I114" s="10"/>
      <c r="J114" s="10"/>
      <c r="K114" s="10"/>
      <c r="L114" s="10"/>
      <c r="M114" s="10"/>
      <c r="N114" s="10"/>
      <c r="O114" s="10"/>
      <c r="P114" s="10"/>
      <c r="Q114" s="10"/>
      <c r="R114" s="10"/>
      <c r="S114" s="10"/>
    </row>
    <row r="115" spans="3:19" ht="15" customHeight="1">
      <c r="C115" s="10"/>
      <c r="D115" s="10"/>
      <c r="E115" s="10"/>
      <c r="F115" s="10"/>
      <c r="G115" s="10"/>
      <c r="H115" s="10"/>
      <c r="I115" s="10"/>
      <c r="J115" s="10"/>
      <c r="K115" s="10"/>
      <c r="L115" s="10"/>
      <c r="M115" s="10"/>
      <c r="N115" s="10"/>
      <c r="O115" s="10"/>
      <c r="P115" s="10"/>
      <c r="Q115" s="10"/>
      <c r="R115" s="10"/>
      <c r="S115" s="10"/>
    </row>
    <row r="116" spans="3:19" ht="15" customHeight="1">
      <c r="C116" s="10"/>
      <c r="D116" s="10"/>
      <c r="E116" s="10"/>
      <c r="F116" s="10"/>
      <c r="G116" s="10"/>
      <c r="H116" s="10"/>
      <c r="I116" s="10"/>
      <c r="J116" s="10"/>
      <c r="K116" s="10"/>
      <c r="L116" s="10"/>
      <c r="M116" s="10"/>
      <c r="N116" s="10"/>
      <c r="O116" s="10"/>
      <c r="P116" s="10"/>
      <c r="Q116" s="10"/>
      <c r="R116" s="10"/>
      <c r="S116" s="10"/>
    </row>
    <row r="117" spans="3:19" ht="15" customHeight="1">
      <c r="C117" s="10"/>
      <c r="D117" s="10"/>
      <c r="E117" s="10"/>
      <c r="F117" s="10"/>
      <c r="G117" s="10"/>
      <c r="H117" s="10"/>
      <c r="I117" s="10"/>
      <c r="J117" s="10"/>
      <c r="K117" s="10"/>
      <c r="L117" s="10"/>
      <c r="M117" s="10"/>
      <c r="N117" s="10"/>
      <c r="O117" s="10"/>
      <c r="P117" s="10"/>
      <c r="Q117" s="10"/>
      <c r="R117" s="10"/>
      <c r="S117" s="10"/>
    </row>
    <row r="118" spans="3:19" ht="15" customHeight="1">
      <c r="C118" s="10"/>
      <c r="D118" s="10"/>
      <c r="E118" s="10"/>
      <c r="F118" s="10"/>
      <c r="G118" s="10"/>
      <c r="H118" s="10"/>
      <c r="I118" s="10"/>
      <c r="J118" s="10"/>
      <c r="K118" s="10"/>
      <c r="L118" s="10"/>
      <c r="M118" s="10"/>
      <c r="N118" s="10"/>
      <c r="O118" s="10"/>
      <c r="P118" s="10"/>
      <c r="Q118" s="10"/>
      <c r="R118" s="10"/>
      <c r="S118" s="10"/>
    </row>
    <row r="119" spans="3:19" ht="15" customHeight="1"/>
    <row r="120" spans="3:19" ht="15" customHeight="1"/>
    <row r="121" spans="3:19" ht="15" customHeight="1"/>
    <row r="122" spans="3:19" ht="15" customHeight="1"/>
    <row r="123" spans="3:19" ht="15" customHeight="1"/>
    <row r="124" spans="3:19" ht="15" customHeight="1"/>
    <row r="125" spans="3:19" ht="15" customHeight="1"/>
    <row r="126" spans="3:19" ht="15" customHeight="1"/>
    <row r="127" spans="3:19" ht="15" customHeight="1"/>
    <row r="128" spans="3:19"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sheetData>
  <mergeCells count="4">
    <mergeCell ref="B1:S1"/>
    <mergeCell ref="B3:S3"/>
    <mergeCell ref="B6:S6"/>
    <mergeCell ref="B5:S5"/>
  </mergeCells>
  <phoneticPr fontId="0" type="noConversion"/>
  <printOptions horizontalCentered="1"/>
  <pageMargins left="0.25" right="0.25" top="0.75" bottom="0.5" header="0" footer="0.25"/>
  <pageSetup scale="39" fitToHeight="3" orientation="landscape" horizontalDpi="300" verticalDpi="300" r:id="rId1"/>
  <headerFooter alignWithMargins="0">
    <oddFooter xml:space="preserve">&amp;C&amp;9
&amp;"Times New Roman,Regular"&amp;10See accompanying summary of significant forecast  assumptions. </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dimension ref="A1:H17"/>
  <sheetViews>
    <sheetView view="pageBreakPreview" zoomScale="60" zoomScaleNormal="100" workbookViewId="0">
      <selection activeCell="D30" sqref="D30"/>
    </sheetView>
  </sheetViews>
  <sheetFormatPr defaultRowHeight="15"/>
  <sheetData>
    <row r="1" spans="1:8" ht="15.75">
      <c r="D1" s="2"/>
    </row>
    <row r="2" spans="1:8" ht="15.75">
      <c r="C2" s="2"/>
    </row>
    <row r="3" spans="1:8" ht="15.75">
      <c r="C3" s="2"/>
    </row>
    <row r="4" spans="1:8" ht="15.75">
      <c r="C4" s="2"/>
    </row>
    <row r="5" spans="1:8" ht="15.75">
      <c r="C5" s="2"/>
    </row>
    <row r="6" spans="1:8" ht="15.75">
      <c r="C6" s="2"/>
    </row>
    <row r="7" spans="1:8" ht="15.75">
      <c r="C7" s="2"/>
    </row>
    <row r="8" spans="1:8" ht="15.75">
      <c r="C8" s="2"/>
    </row>
    <row r="9" spans="1:8" ht="15.75">
      <c r="C9" s="2"/>
    </row>
    <row r="10" spans="1:8" ht="15.75">
      <c r="C10" s="2"/>
    </row>
    <row r="11" spans="1:8" ht="15.75">
      <c r="C11" s="2"/>
    </row>
    <row r="12" spans="1:8" ht="15.75">
      <c r="C12" s="2"/>
    </row>
    <row r="13" spans="1:8" ht="15.75">
      <c r="C13" s="2"/>
    </row>
    <row r="14" spans="1:8" ht="15.75">
      <c r="C14" s="2"/>
    </row>
    <row r="15" spans="1:8" ht="29.25" customHeight="1">
      <c r="A15" s="851" t="s">
        <v>120</v>
      </c>
      <c r="B15" s="851"/>
      <c r="C15" s="851"/>
      <c r="D15" s="851"/>
      <c r="E15" s="851"/>
      <c r="F15" s="851"/>
      <c r="G15" s="851"/>
      <c r="H15" s="851"/>
    </row>
    <row r="16" spans="1:8" ht="16.5">
      <c r="C16" s="7"/>
    </row>
    <row r="17" spans="3:3" ht="16.5">
      <c r="C17" s="7"/>
    </row>
  </sheetData>
  <mergeCells count="1">
    <mergeCell ref="A15:H15"/>
  </mergeCells>
  <printOptions horizontalCentered="1"/>
  <pageMargins left="0.7" right="0.7" top="0.75" bottom="0.75" header="0.3" footer="0.3"/>
  <pageSetup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codeName="Sheet21"/>
  <dimension ref="A1:P55"/>
  <sheetViews>
    <sheetView zoomScale="85" zoomScaleNormal="85" workbookViewId="0">
      <selection activeCell="A6" sqref="A6"/>
    </sheetView>
  </sheetViews>
  <sheetFormatPr defaultColWidth="9.6640625" defaultRowHeight="15.75"/>
  <cols>
    <col min="1" max="1" width="20.6640625" style="317" customWidth="1"/>
    <col min="2" max="2" width="13" style="317" customWidth="1"/>
    <col min="3" max="3" width="0.88671875" style="317" customWidth="1"/>
    <col min="4" max="4" width="19.88671875" style="317" customWidth="1"/>
    <col min="5" max="5" width="0.88671875" style="317" customWidth="1"/>
    <col min="6" max="6" width="15.109375" style="317" customWidth="1"/>
    <col min="7" max="7" width="0.88671875" style="317" customWidth="1"/>
    <col min="8" max="8" width="12.88671875" style="317" bestFit="1" customWidth="1"/>
    <col min="9" max="9" width="0.88671875" style="317" customWidth="1"/>
    <col min="10" max="10" width="13.109375" style="317" bestFit="1" customWidth="1"/>
    <col min="11" max="11" width="0.88671875" style="317" customWidth="1"/>
    <col min="12" max="12" width="14.109375" style="317" bestFit="1" customWidth="1"/>
    <col min="13" max="13" width="0.88671875" style="317" customWidth="1"/>
    <col min="14" max="14" width="14.109375" style="317" bestFit="1" customWidth="1"/>
    <col min="15" max="15" width="0.88671875" style="317" customWidth="1"/>
    <col min="16" max="16" width="12.88671875" style="317" bestFit="1" customWidth="1"/>
    <col min="17" max="17" width="9.6640625" style="317" customWidth="1"/>
    <col min="18" max="16384" width="9.6640625" style="317"/>
  </cols>
  <sheetData>
    <row r="1" spans="1:16" ht="16.5" customHeight="1">
      <c r="A1" s="852" t="str">
        <f>+Assumptions!A1</f>
        <v>Consolidated Disposal Services, Inc.</v>
      </c>
      <c r="B1" s="852"/>
      <c r="C1" s="852"/>
      <c r="D1" s="852"/>
      <c r="E1" s="852"/>
      <c r="F1" s="852"/>
      <c r="G1" s="852"/>
      <c r="H1" s="852"/>
      <c r="I1" s="852"/>
      <c r="J1" s="852"/>
      <c r="K1" s="852"/>
      <c r="L1" s="852"/>
      <c r="M1" s="852"/>
      <c r="N1" s="852"/>
      <c r="O1" s="852"/>
      <c r="P1" s="852"/>
    </row>
    <row r="2" spans="1:16" ht="13.5" customHeight="1">
      <c r="A2" s="318"/>
      <c r="B2" s="319"/>
      <c r="C2" s="319"/>
      <c r="D2" s="319"/>
      <c r="E2" s="319"/>
      <c r="F2" s="319"/>
      <c r="G2" s="319"/>
      <c r="H2" s="319"/>
      <c r="I2" s="319"/>
      <c r="J2" s="319"/>
      <c r="K2" s="319"/>
      <c r="L2" s="319"/>
      <c r="M2" s="319"/>
      <c r="N2" s="319"/>
      <c r="O2" s="319"/>
      <c r="P2" s="319"/>
    </row>
    <row r="3" spans="1:16" ht="16.5" customHeight="1">
      <c r="A3" s="852" t="s">
        <v>209</v>
      </c>
      <c r="B3" s="852"/>
      <c r="C3" s="852"/>
      <c r="D3" s="852"/>
      <c r="E3" s="852"/>
      <c r="F3" s="852"/>
      <c r="G3" s="852"/>
      <c r="H3" s="852"/>
      <c r="I3" s="852"/>
      <c r="J3" s="852"/>
      <c r="K3" s="852"/>
      <c r="L3" s="852"/>
      <c r="M3" s="852"/>
      <c r="N3" s="852"/>
      <c r="O3" s="852"/>
      <c r="P3" s="852"/>
    </row>
    <row r="4" spans="1:16">
      <c r="A4" s="320"/>
      <c r="B4" s="320"/>
      <c r="C4" s="320"/>
      <c r="D4" s="320"/>
      <c r="E4" s="320"/>
      <c r="G4" s="320"/>
      <c r="H4" s="320"/>
      <c r="I4" s="320"/>
      <c r="J4" s="320"/>
      <c r="K4" s="320"/>
      <c r="L4" s="320"/>
      <c r="M4" s="320"/>
      <c r="N4" s="320"/>
      <c r="O4" s="320"/>
      <c r="P4" s="320"/>
    </row>
    <row r="5" spans="1:16" ht="16.5">
      <c r="A5" s="852" t="s">
        <v>1182</v>
      </c>
      <c r="B5" s="852"/>
      <c r="C5" s="852"/>
      <c r="D5" s="852"/>
      <c r="E5" s="852"/>
      <c r="F5" s="852"/>
      <c r="G5" s="852"/>
      <c r="H5" s="852"/>
      <c r="I5" s="852"/>
      <c r="J5" s="852"/>
      <c r="K5" s="852"/>
      <c r="L5" s="852"/>
      <c r="M5" s="852"/>
      <c r="N5" s="852"/>
      <c r="O5" s="852"/>
      <c r="P5" s="852"/>
    </row>
    <row r="7" spans="1:16" s="322" customFormat="1" ht="15" customHeight="1">
      <c r="A7" s="321"/>
      <c r="B7" s="321">
        <v>12</v>
      </c>
      <c r="C7" s="321"/>
      <c r="D7" s="321" t="s">
        <v>166</v>
      </c>
      <c r="E7" s="321"/>
      <c r="F7" s="321"/>
      <c r="G7" s="321"/>
      <c r="H7" s="321"/>
      <c r="I7" s="321"/>
      <c r="J7" s="321"/>
      <c r="K7" s="321"/>
      <c r="L7" s="321"/>
      <c r="M7" s="321"/>
      <c r="N7" s="321"/>
      <c r="O7" s="321"/>
      <c r="P7" s="321"/>
    </row>
    <row r="8" spans="1:16" s="322" customFormat="1" ht="15" customHeight="1">
      <c r="A8" s="321"/>
      <c r="B8" s="321">
        <v>0</v>
      </c>
      <c r="C8" s="321"/>
      <c r="D8" s="321" t="s">
        <v>165</v>
      </c>
      <c r="E8" s="321"/>
      <c r="F8" s="321"/>
      <c r="G8" s="321"/>
      <c r="H8" s="321"/>
      <c r="I8" s="321"/>
      <c r="J8" s="321"/>
      <c r="K8" s="321"/>
      <c r="L8" s="321"/>
      <c r="M8" s="321"/>
      <c r="N8" s="321"/>
      <c r="O8" s="321"/>
      <c r="P8" s="321"/>
    </row>
    <row r="9" spans="1:16" s="322" customFormat="1" ht="15" customHeight="1">
      <c r="A9" s="321"/>
      <c r="B9" s="734">
        <v>121</v>
      </c>
      <c r="C9" s="321"/>
      <c r="D9" s="321" t="s">
        <v>164</v>
      </c>
      <c r="E9" s="321"/>
      <c r="F9" s="321"/>
      <c r="G9" s="321"/>
      <c r="H9" s="321"/>
      <c r="I9" s="321"/>
      <c r="J9" s="321"/>
      <c r="K9" s="321"/>
      <c r="L9" s="321"/>
      <c r="M9" s="321"/>
      <c r="N9" s="321"/>
      <c r="O9" s="321"/>
      <c r="P9" s="321"/>
    </row>
    <row r="10" spans="1:16" s="322" customFormat="1" ht="15" customHeight="1">
      <c r="A10" s="321"/>
      <c r="B10" s="734">
        <v>122</v>
      </c>
      <c r="C10" s="321"/>
      <c r="D10" s="321" t="s">
        <v>161</v>
      </c>
      <c r="E10" s="321"/>
      <c r="F10" s="321"/>
      <c r="G10" s="321"/>
      <c r="H10" s="321"/>
      <c r="I10" s="321"/>
      <c r="J10" s="321"/>
      <c r="K10" s="323"/>
      <c r="L10" s="324" t="s">
        <v>160</v>
      </c>
      <c r="M10" s="323"/>
      <c r="N10" s="324" t="s">
        <v>159</v>
      </c>
      <c r="O10" s="323"/>
      <c r="P10" s="321"/>
    </row>
    <row r="11" spans="1:16" s="322" customFormat="1" ht="15" customHeight="1">
      <c r="A11" s="323"/>
      <c r="B11" s="321"/>
      <c r="C11" s="321"/>
      <c r="D11" s="321"/>
      <c r="E11" s="321"/>
      <c r="F11" s="321"/>
      <c r="G11" s="321"/>
      <c r="H11" s="321"/>
      <c r="I11" s="321"/>
      <c r="J11" s="324" t="s">
        <v>1045</v>
      </c>
      <c r="K11" s="323"/>
      <c r="L11" s="324" t="s">
        <v>153</v>
      </c>
      <c r="M11" s="323"/>
      <c r="N11" s="324" t="s">
        <v>153</v>
      </c>
      <c r="O11" s="323"/>
      <c r="P11" s="321"/>
    </row>
    <row r="12" spans="1:16" s="322" customFormat="1" ht="15" customHeight="1">
      <c r="A12" s="323"/>
      <c r="B12" s="323"/>
      <c r="C12" s="323"/>
      <c r="D12" s="323"/>
      <c r="E12" s="323"/>
      <c r="F12" s="324" t="s">
        <v>148</v>
      </c>
      <c r="G12" s="323"/>
      <c r="H12" s="324" t="s">
        <v>146</v>
      </c>
      <c r="I12" s="323"/>
      <c r="J12" s="324" t="s">
        <v>146</v>
      </c>
      <c r="K12" s="323"/>
      <c r="L12" s="324" t="s">
        <v>40</v>
      </c>
      <c r="M12" s="323"/>
      <c r="N12" s="324" t="s">
        <v>40</v>
      </c>
      <c r="O12" s="323"/>
      <c r="P12" s="324" t="s">
        <v>125</v>
      </c>
    </row>
    <row r="13" spans="1:16" s="322" customFormat="1" ht="15" customHeight="1">
      <c r="A13" s="325" t="s">
        <v>144</v>
      </c>
      <c r="B13" s="326" t="s">
        <v>141</v>
      </c>
      <c r="C13" s="323"/>
      <c r="D13" s="326" t="s">
        <v>139</v>
      </c>
      <c r="E13" s="323"/>
      <c r="F13" s="326" t="s">
        <v>40</v>
      </c>
      <c r="G13" s="323"/>
      <c r="H13" s="326" t="s">
        <v>40</v>
      </c>
      <c r="I13" s="323"/>
      <c r="J13" s="326" t="s">
        <v>40</v>
      </c>
      <c r="K13" s="323"/>
      <c r="L13" s="327">
        <v>44197</v>
      </c>
      <c r="M13" s="328"/>
      <c r="N13" s="329">
        <v>44561</v>
      </c>
      <c r="O13" s="328"/>
      <c r="P13" s="326" t="s">
        <v>131</v>
      </c>
    </row>
    <row r="14" spans="1:16" s="322" customFormat="1" ht="15" customHeight="1">
      <c r="A14" s="325"/>
      <c r="B14" s="326"/>
      <c r="C14" s="323"/>
      <c r="D14" s="326"/>
      <c r="E14" s="323"/>
      <c r="F14" s="326"/>
      <c r="G14" s="323"/>
      <c r="H14" s="326"/>
      <c r="I14" s="323"/>
      <c r="J14" s="326"/>
      <c r="K14" s="323"/>
      <c r="L14" s="327"/>
      <c r="M14" s="328"/>
      <c r="N14" s="329"/>
      <c r="O14" s="328"/>
      <c r="P14" s="326"/>
    </row>
    <row r="15" spans="1:16" s="322" customFormat="1" ht="15" customHeight="1">
      <c r="A15" s="321" t="s">
        <v>378</v>
      </c>
      <c r="B15" s="330">
        <f>+'WP-1, pg 2 - Depr'!L104</f>
        <v>9446532.0299999975</v>
      </c>
      <c r="C15" s="331"/>
      <c r="D15" s="330">
        <f>+'WP-1, pg 2 - Depr'!N104</f>
        <v>9036282.4299999997</v>
      </c>
      <c r="E15" s="331"/>
      <c r="F15" s="330">
        <f>+'WP-1, pg 2 - Depr'!O104</f>
        <v>111382.64911904756</v>
      </c>
      <c r="G15" s="331"/>
      <c r="H15" s="330">
        <f>+'WP-1, pg 2 - Depr'!P104</f>
        <v>829775.79040476202</v>
      </c>
      <c r="I15" s="331"/>
      <c r="J15" s="330">
        <f>+'WP-1, pg 2 - Depr'!T104</f>
        <v>390117.21140917816</v>
      </c>
      <c r="K15" s="331"/>
      <c r="L15" s="330">
        <f>+'WP-1, pg 2 - Depr'!X104</f>
        <v>2409675.2014359161</v>
      </c>
      <c r="M15" s="331"/>
      <c r="N15" s="330">
        <f>+'WP-1, pg 2 - Depr'!Y104</f>
        <v>2799792.4128450928</v>
      </c>
      <c r="O15" s="331"/>
      <c r="P15" s="330">
        <f>+'WP-1, pg 2 - Depr'!Z104</f>
        <v>3338610.1038442329</v>
      </c>
    </row>
    <row r="16" spans="1:16" s="322" customFormat="1" ht="15" customHeight="1">
      <c r="A16" s="321" t="s">
        <v>380</v>
      </c>
      <c r="B16" s="331">
        <f>+'WP-1, pg 2 - Depr'!L138</f>
        <v>4335408.8600000003</v>
      </c>
      <c r="C16" s="331"/>
      <c r="D16" s="331">
        <f>+'WP-1, pg 2 - Depr'!N138</f>
        <v>3983166.8600000003</v>
      </c>
      <c r="E16" s="331"/>
      <c r="F16" s="331">
        <f>+'WP-1, pg 2 - Depr'!O138</f>
        <v>9514.475316204851</v>
      </c>
      <c r="G16" s="331"/>
      <c r="H16" s="331">
        <f>+'WP-1, pg 2 - Depr'!P138</f>
        <v>114173.70379445824</v>
      </c>
      <c r="I16" s="331"/>
      <c r="J16" s="331">
        <f>+'WP-1, pg 2 - Depr'!T138</f>
        <v>45648.004510989158</v>
      </c>
      <c r="K16" s="331"/>
      <c r="L16" s="331">
        <f>+'WP-1, pg 2 - Depr'!X138</f>
        <v>389963.03830719495</v>
      </c>
      <c r="M16" s="331"/>
      <c r="N16" s="331">
        <f>+'WP-1, pg 2 - Depr'!Y138</f>
        <v>435611.04281818424</v>
      </c>
      <c r="O16" s="331"/>
      <c r="P16" s="331">
        <f>+'WP-1, pg 2 - Depr'!Z138</f>
        <v>1760628.210698578</v>
      </c>
    </row>
    <row r="17" spans="1:16" s="322" customFormat="1" ht="15" customHeight="1">
      <c r="A17" s="321" t="s">
        <v>382</v>
      </c>
      <c r="B17" s="331">
        <f>+'WP-1, pg 2 - Depr'!L152</f>
        <v>136403.65</v>
      </c>
      <c r="C17" s="331"/>
      <c r="D17" s="331">
        <f>+'WP-1, pg 2 - Depr'!N152</f>
        <v>136403.65</v>
      </c>
      <c r="E17" s="331"/>
      <c r="F17" s="331">
        <f>+'WP-1, pg 2 - Depr'!O152</f>
        <v>1623.8529761904763</v>
      </c>
      <c r="G17" s="331"/>
      <c r="H17" s="331">
        <f>+'WP-1, pg 2 - Depr'!P152</f>
        <v>17786.389761904764</v>
      </c>
      <c r="I17" s="331"/>
      <c r="J17" s="331">
        <f>+'WP-1, pg 2 - Depr'!T152</f>
        <v>8362.2309245324268</v>
      </c>
      <c r="K17" s="331"/>
      <c r="L17" s="331">
        <f>+'WP-1, pg 2 - Depr'!X152</f>
        <v>12748.627273756225</v>
      </c>
      <c r="M17" s="331"/>
      <c r="N17" s="331">
        <f>+'WP-1, pg 2 - Depr'!Y152</f>
        <v>21110.85819828865</v>
      </c>
      <c r="O17" s="331"/>
      <c r="P17" s="331">
        <f>+'WP-1, pg 2 - Depr'!Z152</f>
        <v>46551.541939303395</v>
      </c>
    </row>
    <row r="18" spans="1:16" s="322" customFormat="1" ht="15" customHeight="1">
      <c r="A18" s="321" t="s">
        <v>384</v>
      </c>
      <c r="B18" s="331">
        <f>+'WP-1, pg 2 - Depr'!L173</f>
        <v>538748.26</v>
      </c>
      <c r="C18" s="331"/>
      <c r="D18" s="331">
        <f>+'WP-1, pg 2 - Depr'!N173</f>
        <v>538748.26</v>
      </c>
      <c r="E18" s="331"/>
      <c r="F18" s="331">
        <f>+'WP-1, pg 2 - Depr'!O173</f>
        <v>6413.6697619047618</v>
      </c>
      <c r="G18" s="331"/>
      <c r="H18" s="331">
        <f>+'WP-1, pg 2 - Depr'!P173</f>
        <v>60734.099523809513</v>
      </c>
      <c r="I18" s="331"/>
      <c r="J18" s="331">
        <f>+'WP-1, pg 2 - Depr'!T173</f>
        <v>28553.999547418065</v>
      </c>
      <c r="K18" s="331"/>
      <c r="L18" s="331">
        <f>+'WP-1, pg 2 - Depr'!X173</f>
        <v>64962.092776323647</v>
      </c>
      <c r="M18" s="331"/>
      <c r="N18" s="331">
        <f>+'WP-1, pg 2 - Depr'!Y173</f>
        <v>93516.092323741716</v>
      </c>
      <c r="O18" s="331"/>
      <c r="P18" s="331">
        <f>+'WP-1, pg 2 - Depr'!Z173</f>
        <v>141851.71793519708</v>
      </c>
    </row>
    <row r="19" spans="1:16" s="322" customFormat="1" ht="15" customHeight="1">
      <c r="A19" s="321" t="s">
        <v>42</v>
      </c>
      <c r="B19" s="332">
        <f>+'WP-1, pg 2 - Depr'!L207</f>
        <v>2224264.1699999995</v>
      </c>
      <c r="C19" s="331"/>
      <c r="D19" s="332">
        <f>+'WP-1, pg 2 - Depr'!N207</f>
        <v>2224264.1699999995</v>
      </c>
      <c r="E19" s="331"/>
      <c r="F19" s="332">
        <f>+'WP-1, pg 2 - Depr'!O207</f>
        <v>26287.993023809518</v>
      </c>
      <c r="G19" s="331"/>
      <c r="H19" s="332">
        <f>+'WP-1, pg 2 - Depr'!P207</f>
        <v>269615.1162857142</v>
      </c>
      <c r="I19" s="331"/>
      <c r="J19" s="332">
        <f>+'WP-1, pg 2 - Depr'!T207</f>
        <v>126758.93721584338</v>
      </c>
      <c r="K19" s="331"/>
      <c r="L19" s="332">
        <f>+'WP-1, pg 2 - Depr'!X207</f>
        <v>471144.92442271195</v>
      </c>
      <c r="M19" s="331"/>
      <c r="N19" s="332">
        <f>+'WP-1, pg 2 - Depr'!Y207</f>
        <v>597903.8616385553</v>
      </c>
      <c r="O19" s="331"/>
      <c r="P19" s="332">
        <f>+'WP-1, pg 2 - Depr'!Z207</f>
        <v>379477.78511057858</v>
      </c>
    </row>
    <row r="20" spans="1:16" s="322" customFormat="1" ht="15" customHeight="1">
      <c r="A20" s="321"/>
      <c r="B20" s="331"/>
      <c r="C20" s="331"/>
      <c r="D20" s="331"/>
      <c r="E20" s="331"/>
      <c r="F20" s="331"/>
      <c r="G20" s="331"/>
      <c r="H20" s="331"/>
      <c r="I20" s="331"/>
      <c r="J20" s="331"/>
      <c r="K20" s="331"/>
      <c r="L20" s="331"/>
      <c r="M20" s="331"/>
      <c r="N20" s="331"/>
      <c r="O20" s="331"/>
      <c r="P20" s="331"/>
    </row>
    <row r="21" spans="1:16" s="322" customFormat="1" ht="15" customHeight="1" thickBot="1">
      <c r="A21" s="321"/>
      <c r="B21" s="333">
        <f>SUM(B15:B19)</f>
        <v>16681356.969999997</v>
      </c>
      <c r="C21" s="331"/>
      <c r="D21" s="333">
        <f>SUM(D15:D19)</f>
        <v>15918865.369999999</v>
      </c>
      <c r="E21" s="331"/>
      <c r="F21" s="333">
        <f>SUM(F15:F19)</f>
        <v>155222.64019715719</v>
      </c>
      <c r="G21" s="331"/>
      <c r="H21" s="333">
        <f>SUM(H15:H19)</f>
        <v>1292085.0997706489</v>
      </c>
      <c r="I21" s="331"/>
      <c r="J21" s="333">
        <f>SUM(J15:J19)</f>
        <v>599440.38360796124</v>
      </c>
      <c r="K21" s="331"/>
      <c r="L21" s="333">
        <f>SUM(L15:L19)</f>
        <v>3348493.884215903</v>
      </c>
      <c r="M21" s="331"/>
      <c r="N21" s="333">
        <f>SUM(N15:N19)</f>
        <v>3947934.2678238628</v>
      </c>
      <c r="O21" s="331"/>
      <c r="P21" s="333">
        <f>SUM(P15:P19)</f>
        <v>5667119.3595278906</v>
      </c>
    </row>
    <row r="22" spans="1:16" s="322" customFormat="1" ht="15" customHeight="1" thickTop="1">
      <c r="A22" s="321"/>
      <c r="B22" s="331"/>
      <c r="C22" s="331"/>
      <c r="D22" s="331"/>
      <c r="E22" s="331"/>
      <c r="F22" s="331"/>
      <c r="G22" s="331"/>
      <c r="H22" s="331"/>
      <c r="I22" s="331"/>
      <c r="J22" s="331"/>
      <c r="K22" s="331"/>
      <c r="L22" s="331"/>
      <c r="M22" s="331"/>
      <c r="N22" s="331"/>
      <c r="O22" s="331"/>
      <c r="P22" s="331"/>
    </row>
    <row r="23" spans="1:16" s="322" customFormat="1" ht="15" customHeight="1">
      <c r="B23" s="701">
        <v>24660355.969999999</v>
      </c>
      <c r="C23" s="322" t="s">
        <v>1006</v>
      </c>
      <c r="G23" s="334"/>
      <c r="H23" s="727">
        <f>+'Sch 4 - 12 Months'!S68+'Sch 4 - 12 Months'!S66</f>
        <v>1105103.25</v>
      </c>
      <c r="I23" s="738" t="s">
        <v>112</v>
      </c>
      <c r="K23" s="334"/>
      <c r="L23" s="334"/>
      <c r="M23" s="334"/>
      <c r="N23" s="334"/>
      <c r="O23" s="334"/>
      <c r="P23" s="334"/>
    </row>
    <row r="24" spans="1:16" s="322" customFormat="1" ht="15" customHeight="1">
      <c r="B24" s="701">
        <v>-9274166</v>
      </c>
      <c r="C24" s="322" t="s">
        <v>1007</v>
      </c>
      <c r="H24" s="335">
        <f>+H21-H23</f>
        <v>186981.84977064887</v>
      </c>
      <c r="I24" s="738" t="s">
        <v>1092</v>
      </c>
      <c r="L24" s="335"/>
    </row>
    <row r="25" spans="1:16" s="322" customFormat="1" ht="15" customHeight="1">
      <c r="B25" s="701">
        <f>SUM('WP-1, pg 2 - Depr'!L107:L126)</f>
        <v>861283</v>
      </c>
      <c r="C25" s="322" t="s">
        <v>1008</v>
      </c>
    </row>
    <row r="26" spans="1:16" s="322" customFormat="1" ht="15" customHeight="1">
      <c r="B26" s="701">
        <f>+'WP-1, pg 2 - Depr'!L200</f>
        <v>390794.99999999977</v>
      </c>
      <c r="C26" s="322" t="s">
        <v>1055</v>
      </c>
      <c r="H26" s="335">
        <f>+J21</f>
        <v>599440.38360796124</v>
      </c>
      <c r="I26" s="322" t="s">
        <v>1094</v>
      </c>
    </row>
    <row r="27" spans="1:16" s="322" customFormat="1" ht="15" customHeight="1">
      <c r="B27" s="701">
        <f>+'WP-1, pg 2 - Depr'!L24</f>
        <v>43089</v>
      </c>
      <c r="C27" s="322" t="s">
        <v>1009</v>
      </c>
      <c r="H27" s="739">
        <f>+H21</f>
        <v>1292085.0997706489</v>
      </c>
      <c r="I27" s="322" t="s">
        <v>1095</v>
      </c>
    </row>
    <row r="28" spans="1:16" s="322" customFormat="1" ht="15" customHeight="1">
      <c r="B28" s="701">
        <f>SUM(B23:B27)</f>
        <v>16681356.969999999</v>
      </c>
      <c r="H28" s="335">
        <f>+H26-H27</f>
        <v>-692644.71616268763</v>
      </c>
      <c r="I28" s="322" t="s">
        <v>1093</v>
      </c>
    </row>
    <row r="29" spans="1:16" s="322" customFormat="1" ht="15" customHeight="1">
      <c r="B29" s="701">
        <f>+B21-B28</f>
        <v>0</v>
      </c>
      <c r="C29" s="322" t="s">
        <v>1010</v>
      </c>
    </row>
    <row r="30" spans="1:16" s="322" customFormat="1" ht="15" customHeight="1">
      <c r="B30" s="335"/>
    </row>
    <row r="31" spans="1:16" s="322" customFormat="1" ht="15" customHeight="1"/>
    <row r="32" spans="1:16" s="322" customFormat="1" ht="15" customHeight="1"/>
    <row r="33" spans="2:2" s="322" customFormat="1" ht="15" customHeight="1">
      <c r="B33" s="335"/>
    </row>
    <row r="34" spans="2:2" s="322" customFormat="1" ht="15" customHeight="1"/>
    <row r="35" spans="2:2" s="322" customFormat="1" ht="15" customHeight="1"/>
    <row r="36" spans="2:2" s="322" customFormat="1" ht="15" customHeight="1"/>
    <row r="37" spans="2:2" s="322" customFormat="1" ht="15" customHeight="1"/>
    <row r="38" spans="2:2" s="322" customFormat="1" ht="15" customHeight="1"/>
    <row r="39" spans="2:2" s="322" customFormat="1" ht="15" customHeight="1"/>
    <row r="40" spans="2:2" s="322" customFormat="1" ht="15" customHeight="1"/>
    <row r="41" spans="2:2" s="322" customFormat="1" ht="15" customHeight="1"/>
    <row r="42" spans="2:2" s="322" customFormat="1" ht="15" customHeight="1"/>
    <row r="43" spans="2:2" s="322" customFormat="1" ht="15" customHeight="1"/>
    <row r="44" spans="2:2" s="322" customFormat="1" ht="15" customHeight="1"/>
    <row r="45" spans="2:2" s="322" customFormat="1" ht="15" customHeight="1"/>
    <row r="46" spans="2:2" s="322" customFormat="1" ht="15" customHeight="1"/>
    <row r="47" spans="2:2" s="322" customFormat="1" ht="15" customHeight="1"/>
    <row r="48" spans="2:2" s="322" customFormat="1" ht="15" customHeight="1"/>
    <row r="49" s="322" customFormat="1" ht="15" customHeight="1"/>
    <row r="50" s="322" customFormat="1" ht="15" customHeight="1"/>
    <row r="51" s="322" customFormat="1" ht="15" customHeight="1"/>
    <row r="52" s="322" customFormat="1" ht="15" customHeight="1"/>
    <row r="53" s="322" customFormat="1" ht="15" customHeight="1"/>
    <row r="54" s="322" customFormat="1" ht="15" customHeight="1"/>
    <row r="55" s="322" customFormat="1" ht="15" customHeight="1"/>
  </sheetData>
  <mergeCells count="3">
    <mergeCell ref="A1:P1"/>
    <mergeCell ref="A3:P3"/>
    <mergeCell ref="A5:P5"/>
  </mergeCells>
  <printOptions horizontalCentered="1"/>
  <pageMargins left="0.25" right="0.25" top="0.75" bottom="0.5" header="0" footer="0.25"/>
  <pageSetup scale="72" orientation="landscape" horizontalDpi="300" verticalDpi="300" r:id="rId1"/>
  <headerFooter scaleWithDoc="0"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codeName="Sheet22"/>
  <dimension ref="A1:BE868"/>
  <sheetViews>
    <sheetView zoomScale="70" zoomScaleNormal="70" zoomScaleSheetLayoutView="25" workbookViewId="0">
      <pane ySplit="14" topLeftCell="A193" activePane="bottomLeft" state="frozen"/>
      <selection activeCell="B1" sqref="B1"/>
      <selection pane="bottomLeft" activeCell="P210" sqref="P210:V211"/>
    </sheetView>
  </sheetViews>
  <sheetFormatPr defaultColWidth="8.88671875" defaultRowHeight="15.75"/>
  <cols>
    <col min="1" max="1" width="7.5546875" style="317" customWidth="1"/>
    <col min="2" max="2" width="44.44140625" style="317" customWidth="1"/>
    <col min="3" max="3" width="12.88671875" style="317" customWidth="1"/>
    <col min="4" max="4" width="7.109375" style="317" bestFit="1" customWidth="1"/>
    <col min="5" max="5" width="4" style="317" bestFit="1" customWidth="1"/>
    <col min="6" max="6" width="7.109375" style="317" bestFit="1" customWidth="1"/>
    <col min="7" max="7" width="5.109375" style="317" bestFit="1" customWidth="1"/>
    <col min="8" max="8" width="6" style="317" customWidth="1"/>
    <col min="9" max="9" width="5.88671875" style="317" bestFit="1" customWidth="1"/>
    <col min="10" max="10" width="5.44140625" style="317" bestFit="1" customWidth="1"/>
    <col min="11" max="11" width="3.88671875" style="317" bestFit="1" customWidth="1"/>
    <col min="12" max="12" width="16.88671875" style="317" bestFit="1" customWidth="1"/>
    <col min="13" max="13" width="7" style="317" bestFit="1" customWidth="1"/>
    <col min="14" max="14" width="16.88671875" style="317" bestFit="1" customWidth="1"/>
    <col min="15" max="16" width="15" style="317" bestFit="1" customWidth="1"/>
    <col min="17" max="17" width="7.33203125" style="317" bestFit="1" customWidth="1"/>
    <col min="18" max="18" width="15" style="317" bestFit="1" customWidth="1"/>
    <col min="19" max="19" width="11" style="317" bestFit="1" customWidth="1"/>
    <col min="20" max="20" width="15" style="317" bestFit="1" customWidth="1"/>
    <col min="21" max="22" width="16.88671875" style="317" bestFit="1" customWidth="1"/>
    <col min="23" max="23" width="9.109375" style="317" bestFit="1" customWidth="1"/>
    <col min="24" max="26" width="16.88671875" style="317" bestFit="1" customWidth="1"/>
    <col min="27" max="28" width="9.109375" style="317" bestFit="1" customWidth="1"/>
    <col min="29" max="29" width="10.6640625" style="317" customWidth="1"/>
    <col min="30" max="30" width="9.109375" style="317" bestFit="1" customWidth="1"/>
    <col min="31" max="31" width="11" style="317" bestFit="1" customWidth="1"/>
    <col min="32" max="32" width="15.33203125" style="317" bestFit="1" customWidth="1"/>
    <col min="33" max="16384" width="8.88671875" style="317"/>
  </cols>
  <sheetData>
    <row r="1" spans="2:57">
      <c r="B1" s="853" t="str">
        <f>+'WP-1 - Summary Depr'!A1</f>
        <v>Consolidated Disposal Services, Inc.</v>
      </c>
      <c r="C1" s="853"/>
      <c r="D1" s="853"/>
      <c r="E1" s="853"/>
      <c r="F1" s="853"/>
      <c r="G1" s="853"/>
      <c r="H1" s="853"/>
      <c r="I1" s="853"/>
      <c r="J1" s="853"/>
      <c r="K1" s="853"/>
      <c r="L1" s="853"/>
      <c r="M1" s="853"/>
      <c r="N1" s="853"/>
      <c r="O1" s="853"/>
      <c r="P1" s="853"/>
      <c r="Q1" s="853"/>
      <c r="R1" s="853"/>
      <c r="S1" s="853"/>
      <c r="T1" s="853"/>
      <c r="U1" s="853"/>
      <c r="V1" s="853"/>
      <c r="W1" s="853"/>
      <c r="X1" s="853"/>
      <c r="Y1" s="853"/>
      <c r="Z1" s="853"/>
    </row>
    <row r="2" spans="2:57" ht="9.75" customHeight="1">
      <c r="B2" s="318"/>
      <c r="C2" s="318"/>
    </row>
    <row r="3" spans="2:57">
      <c r="B3" s="853" t="s">
        <v>210</v>
      </c>
      <c r="C3" s="853"/>
      <c r="D3" s="853"/>
      <c r="E3" s="853"/>
      <c r="F3" s="853"/>
      <c r="G3" s="853"/>
      <c r="H3" s="853"/>
      <c r="I3" s="853"/>
      <c r="J3" s="853"/>
      <c r="K3" s="853"/>
      <c r="L3" s="853"/>
      <c r="M3" s="853"/>
      <c r="N3" s="853"/>
      <c r="O3" s="853"/>
      <c r="P3" s="853"/>
      <c r="Q3" s="853"/>
      <c r="R3" s="853"/>
      <c r="S3" s="853"/>
      <c r="T3" s="853"/>
      <c r="U3" s="853"/>
      <c r="V3" s="853"/>
      <c r="W3" s="853"/>
      <c r="X3" s="853"/>
      <c r="Y3" s="853"/>
      <c r="Z3" s="853"/>
    </row>
    <row r="4" spans="2:57">
      <c r="C4" s="320"/>
      <c r="D4" s="320"/>
      <c r="E4" s="320"/>
      <c r="F4" s="320"/>
      <c r="G4" s="320"/>
      <c r="H4" s="320"/>
      <c r="I4" s="320"/>
      <c r="J4" s="320"/>
      <c r="K4" s="320"/>
      <c r="L4" s="320"/>
      <c r="M4" s="320"/>
      <c r="N4" s="297"/>
      <c r="O4" s="320"/>
      <c r="P4" s="320"/>
      <c r="Q4" s="320"/>
      <c r="R4" s="320"/>
      <c r="S4" s="320"/>
      <c r="T4" s="320"/>
      <c r="U4" s="320"/>
      <c r="V4" s="320"/>
      <c r="W4" s="320"/>
      <c r="X4" s="320"/>
      <c r="Y4" s="320"/>
      <c r="Z4" s="320"/>
    </row>
    <row r="5" spans="2:57">
      <c r="B5" s="853" t="str">
        <f>+'WP-1 - Summary Depr'!A5</f>
        <v>In Support of Tariff 7 effective April 1, 2023</v>
      </c>
      <c r="C5" s="854"/>
      <c r="D5" s="854"/>
      <c r="E5" s="854"/>
      <c r="F5" s="854"/>
      <c r="G5" s="854"/>
      <c r="H5" s="854"/>
      <c r="I5" s="854"/>
      <c r="J5" s="854"/>
      <c r="K5" s="854"/>
      <c r="L5" s="854"/>
      <c r="M5" s="854"/>
      <c r="N5" s="854"/>
      <c r="O5" s="854"/>
      <c r="P5" s="854"/>
      <c r="Q5" s="854"/>
      <c r="R5" s="854"/>
      <c r="S5" s="854"/>
      <c r="T5" s="854"/>
      <c r="U5" s="854"/>
      <c r="V5" s="854"/>
      <c r="W5" s="854"/>
      <c r="X5" s="854"/>
      <c r="Y5" s="854"/>
      <c r="Z5" s="854"/>
    </row>
    <row r="6" spans="2:57">
      <c r="B6" s="394"/>
      <c r="C6" s="394"/>
    </row>
    <row r="7" spans="2:57">
      <c r="B7" s="317">
        <v>12</v>
      </c>
      <c r="C7" s="317" t="s">
        <v>166</v>
      </c>
      <c r="Z7" s="403"/>
      <c r="AB7" s="803" t="s">
        <v>136</v>
      </c>
      <c r="AC7" s="804" t="s">
        <v>169</v>
      </c>
      <c r="AD7" s="805"/>
    </row>
    <row r="8" spans="2:57">
      <c r="B8" s="317">
        <v>0</v>
      </c>
      <c r="C8" s="317" t="s">
        <v>165</v>
      </c>
      <c r="L8" s="320"/>
      <c r="N8" s="395"/>
      <c r="AB8" s="806" t="s">
        <v>168</v>
      </c>
      <c r="AC8" s="317" t="s">
        <v>167</v>
      </c>
      <c r="AD8" s="807"/>
    </row>
    <row r="9" spans="2:57">
      <c r="B9" s="317">
        <v>121</v>
      </c>
      <c r="C9" s="317" t="s">
        <v>164</v>
      </c>
      <c r="L9" s="320"/>
      <c r="N9" s="395"/>
      <c r="AB9" s="806" t="s">
        <v>163</v>
      </c>
      <c r="AC9" s="317" t="s">
        <v>162</v>
      </c>
      <c r="AD9" s="807"/>
    </row>
    <row r="10" spans="2:57">
      <c r="B10" s="317">
        <v>122</v>
      </c>
      <c r="C10" s="317" t="s">
        <v>161</v>
      </c>
      <c r="AB10" s="806" t="s">
        <v>134</v>
      </c>
      <c r="AC10" s="317" t="s">
        <v>177</v>
      </c>
      <c r="AD10" s="807"/>
    </row>
    <row r="11" spans="2:57">
      <c r="B11" s="690" t="s">
        <v>1183</v>
      </c>
      <c r="T11" s="396" t="s">
        <v>0</v>
      </c>
      <c r="U11" s="396" t="s">
        <v>160</v>
      </c>
      <c r="V11" s="396" t="s">
        <v>1045</v>
      </c>
      <c r="X11" s="396" t="s">
        <v>1045</v>
      </c>
      <c r="Y11" s="396" t="s">
        <v>1045</v>
      </c>
      <c r="AB11" s="808" t="s">
        <v>133</v>
      </c>
      <c r="AC11" s="809" t="s">
        <v>158</v>
      </c>
      <c r="AD11" s="810"/>
    </row>
    <row r="12" spans="2:57">
      <c r="B12" s="397" t="s">
        <v>411</v>
      </c>
      <c r="C12" s="396" t="s">
        <v>157</v>
      </c>
      <c r="D12" s="396" t="s">
        <v>157</v>
      </c>
      <c r="F12" s="396" t="s">
        <v>156</v>
      </c>
      <c r="I12" s="396" t="s">
        <v>147</v>
      </c>
      <c r="J12" s="396" t="s">
        <v>149</v>
      </c>
      <c r="Q12" s="396" t="s">
        <v>140</v>
      </c>
      <c r="R12" s="396" t="s">
        <v>0</v>
      </c>
      <c r="T12" s="396" t="s">
        <v>1045</v>
      </c>
      <c r="U12" s="396" t="s">
        <v>153</v>
      </c>
      <c r="V12" s="396" t="s">
        <v>153</v>
      </c>
      <c r="W12" s="396" t="s">
        <v>155</v>
      </c>
      <c r="X12" s="396" t="s">
        <v>154</v>
      </c>
      <c r="Y12" s="396" t="s">
        <v>154</v>
      </c>
    </row>
    <row r="13" spans="2:57">
      <c r="B13" s="396"/>
      <c r="C13" s="396" t="s">
        <v>39</v>
      </c>
      <c r="D13" s="396" t="s">
        <v>39</v>
      </c>
      <c r="F13" s="396" t="s">
        <v>152</v>
      </c>
      <c r="G13" s="396"/>
      <c r="H13" s="396"/>
      <c r="I13" s="396" t="s">
        <v>150</v>
      </c>
      <c r="J13" s="396" t="s">
        <v>140</v>
      </c>
      <c r="L13" s="396" t="s">
        <v>149</v>
      </c>
      <c r="M13" s="396" t="s">
        <v>149</v>
      </c>
      <c r="N13" s="396" t="s">
        <v>176</v>
      </c>
      <c r="O13" s="396" t="s">
        <v>175</v>
      </c>
      <c r="P13" s="396" t="s">
        <v>145</v>
      </c>
      <c r="Q13" s="396" t="s">
        <v>147</v>
      </c>
      <c r="R13" s="396" t="s">
        <v>174</v>
      </c>
      <c r="S13" s="396" t="s">
        <v>37</v>
      </c>
      <c r="T13" s="396" t="s">
        <v>145</v>
      </c>
      <c r="U13" s="396" t="s">
        <v>40</v>
      </c>
      <c r="V13" s="396" t="s">
        <v>40</v>
      </c>
      <c r="W13" s="396" t="s">
        <v>138</v>
      </c>
      <c r="X13" s="396" t="s">
        <v>137</v>
      </c>
      <c r="Y13" s="396" t="s">
        <v>137</v>
      </c>
      <c r="Z13" s="396" t="s">
        <v>125</v>
      </c>
    </row>
    <row r="14" spans="2:57">
      <c r="B14" s="398" t="s">
        <v>144</v>
      </c>
      <c r="C14" s="399" t="s">
        <v>143</v>
      </c>
      <c r="D14" s="399" t="s">
        <v>143</v>
      </c>
      <c r="E14" s="399" t="s">
        <v>142</v>
      </c>
      <c r="F14" s="399" t="s">
        <v>37</v>
      </c>
      <c r="G14" s="396" t="s">
        <v>151</v>
      </c>
      <c r="H14" s="396" t="s">
        <v>35</v>
      </c>
      <c r="I14" s="399" t="s">
        <v>137</v>
      </c>
      <c r="J14" s="399" t="s">
        <v>173</v>
      </c>
      <c r="K14" s="399" t="s">
        <v>142</v>
      </c>
      <c r="L14" s="399" t="s">
        <v>26</v>
      </c>
      <c r="M14" s="399" t="s">
        <v>140</v>
      </c>
      <c r="N14" s="399" t="s">
        <v>26</v>
      </c>
      <c r="O14" s="399" t="s">
        <v>137</v>
      </c>
      <c r="P14" s="399" t="s">
        <v>137</v>
      </c>
      <c r="Q14" s="399" t="s">
        <v>130</v>
      </c>
      <c r="R14" s="399" t="s">
        <v>172</v>
      </c>
      <c r="S14" s="399" t="s">
        <v>1045</v>
      </c>
      <c r="T14" s="399" t="s">
        <v>137</v>
      </c>
      <c r="U14" s="400">
        <v>44197</v>
      </c>
      <c r="V14" s="401">
        <v>44197</v>
      </c>
      <c r="W14" s="399" t="s">
        <v>37</v>
      </c>
      <c r="X14" s="400">
        <v>44197</v>
      </c>
      <c r="Y14" s="401">
        <v>44561</v>
      </c>
      <c r="Z14" s="399" t="s">
        <v>131</v>
      </c>
      <c r="AA14" s="399" t="s">
        <v>136</v>
      </c>
      <c r="AB14" s="399" t="s">
        <v>981</v>
      </c>
      <c r="AC14" s="399" t="s">
        <v>135</v>
      </c>
      <c r="AD14" s="399" t="s">
        <v>134</v>
      </c>
      <c r="AE14" s="399" t="s">
        <v>133</v>
      </c>
      <c r="AF14" s="396"/>
      <c r="AG14" s="396"/>
      <c r="AH14" s="396"/>
      <c r="AI14" s="396"/>
      <c r="AJ14" s="396"/>
      <c r="AK14" s="396"/>
      <c r="AL14" s="396"/>
      <c r="AM14" s="396"/>
      <c r="AN14" s="396"/>
      <c r="AO14" s="396"/>
      <c r="AP14" s="396"/>
      <c r="AQ14" s="396"/>
      <c r="AR14" s="396"/>
      <c r="AS14" s="396"/>
      <c r="AT14" s="396"/>
      <c r="AU14" s="396"/>
      <c r="AV14" s="396"/>
      <c r="AW14" s="396"/>
      <c r="AX14" s="396"/>
      <c r="AY14" s="396"/>
      <c r="AZ14" s="396"/>
      <c r="BA14" s="396"/>
      <c r="BB14" s="396"/>
      <c r="BC14" s="396"/>
      <c r="BD14" s="396"/>
      <c r="BE14" s="396"/>
    </row>
    <row r="15" spans="2:57">
      <c r="B15" s="402"/>
      <c r="C15" s="402"/>
      <c r="D15" s="402"/>
      <c r="E15" s="402"/>
      <c r="F15" s="402"/>
      <c r="G15" s="402"/>
      <c r="H15" s="402"/>
      <c r="I15" s="402"/>
      <c r="J15" s="402"/>
      <c r="K15" s="402"/>
      <c r="L15" s="402"/>
      <c r="M15" s="402"/>
      <c r="N15" s="402"/>
      <c r="O15" s="402"/>
      <c r="P15" s="402"/>
      <c r="Q15" s="402"/>
      <c r="R15" s="402"/>
      <c r="S15" s="402"/>
      <c r="T15" s="402"/>
      <c r="U15" s="402"/>
      <c r="V15" s="402"/>
      <c r="W15" s="402"/>
      <c r="X15" s="402"/>
      <c r="Y15" s="402"/>
      <c r="Z15" s="402"/>
    </row>
    <row r="16" spans="2:57">
      <c r="B16" s="319" t="s">
        <v>378</v>
      </c>
      <c r="T16" s="403"/>
      <c r="U16" s="403"/>
      <c r="V16" s="403"/>
    </row>
    <row r="17" spans="1:32" ht="15.6" customHeight="1">
      <c r="A17" s="855" t="s">
        <v>1054</v>
      </c>
      <c r="B17" s="793" t="s">
        <v>718</v>
      </c>
      <c r="C17" s="793">
        <v>2007</v>
      </c>
      <c r="D17" s="793">
        <f t="shared" ref="D17:D80" si="0">+C17-1900</f>
        <v>107</v>
      </c>
      <c r="E17" s="793">
        <v>7</v>
      </c>
      <c r="F17" s="794">
        <v>0.2</v>
      </c>
      <c r="G17" s="795" t="s">
        <v>170</v>
      </c>
      <c r="H17" s="793">
        <v>5</v>
      </c>
      <c r="I17" s="793">
        <f t="shared" ref="I17:I55" si="1">D17+H17</f>
        <v>112</v>
      </c>
      <c r="J17" s="793">
        <v>2020</v>
      </c>
      <c r="K17" s="793">
        <v>12</v>
      </c>
      <c r="L17" s="796">
        <v>31286</v>
      </c>
      <c r="M17" s="796" t="s">
        <v>1076</v>
      </c>
      <c r="N17" s="796">
        <f t="shared" ref="N17:N80" si="2">L17-(+L17*F17)</f>
        <v>25028.799999999999</v>
      </c>
      <c r="O17" s="403">
        <f t="shared" ref="O17:O80" si="3">N17/H17/12</f>
        <v>417.1466666666667</v>
      </c>
      <c r="P17" s="403">
        <f t="shared" ref="P17:P47" si="4">IF(Q17&gt;0,0,IF(OR(AA17&gt;AB17,AC17&lt;AD17),0,IF(AND(AC17&gt;=AD17,AC17&lt;=AB17),O17*((AC17-AD17)*12),IF(AND(AD17&lt;=AA17,AB17&gt;=AA17),((AB17-AA17)*12)*O17,IF(AC17&gt;AB17,12*O17,0)))))</f>
        <v>0</v>
      </c>
      <c r="Q17" s="403">
        <f t="shared" ref="Q17:Q65" si="5">IF(M17=0,0,IF(AND(AE17&gt;=AD17,AE17&lt;=AC17),((AE17-AD17)*12)*O17,0))</f>
        <v>0</v>
      </c>
      <c r="R17" s="403">
        <f t="shared" ref="R17:R65" si="6">IF(Q17&gt;0,Q17,P17)</f>
        <v>0</v>
      </c>
      <c r="S17" s="405">
        <f>+'WP -11 Non-Regulated'!$K$29</f>
        <v>0.47014773860644926</v>
      </c>
      <c r="T17" s="403">
        <f t="shared" ref="T17:T65" si="7">S17*SUM(P17:Q17)</f>
        <v>0</v>
      </c>
      <c r="U17" s="403">
        <f t="shared" ref="U17:U47" si="8">IF(AA17&gt;AB17,0,IF(AC17&lt;AD17,N17,IF(AND(AC17&gt;=AD17,AC17&lt;=AB17),(N17-R17),IF(AND(AD17&lt;=AA17,AB17&gt;=AA17),0,IF(AC17&gt;AB17,((AD17-AA17)*12)*O17,0)))))</f>
        <v>25028.799999999999</v>
      </c>
      <c r="V17" s="403">
        <f t="shared" ref="V17:V65" si="9">U17*S17</f>
        <v>11767.233720033097</v>
      </c>
      <c r="W17" s="405">
        <v>1</v>
      </c>
      <c r="X17" s="403">
        <f t="shared" ref="X17:X55" si="10">V17*W17</f>
        <v>11767.233720033097</v>
      </c>
      <c r="Y17" s="403">
        <f>IF(M17&gt;0,0,X17+T17*W17)*W17</f>
        <v>11767.233720033097</v>
      </c>
      <c r="Z17" s="403">
        <f>IF(M17&gt;0,(L17-X17)/2,IF(AA17&gt;=AD17,(((L17*S17)*W17)-Y17)/2,((((L17*S17)*W17)-X17)+(((L17*S17)*W17)-Y17))/2))</f>
        <v>2941.8084300082755</v>
      </c>
      <c r="AA17" s="403">
        <f t="shared" ref="AA17:AA99" si="11">$D17+(($E17-1)/12)</f>
        <v>107.5</v>
      </c>
      <c r="AB17" s="403">
        <f t="shared" ref="AB17:AB99" si="12">($B$10+1)-($B$7/12)</f>
        <v>122</v>
      </c>
      <c r="AC17" s="403">
        <f t="shared" ref="AC17:AC99" si="13">$I17+(($E17-1)/12)</f>
        <v>112.5</v>
      </c>
      <c r="AD17" s="403">
        <f t="shared" ref="AD17:AD99" si="14">$B$9+($B$8/12)</f>
        <v>121</v>
      </c>
      <c r="AE17" s="403">
        <f t="shared" ref="AE17:AE99" si="15">$J17+(($K17-1)/12)</f>
        <v>2020.9166666666667</v>
      </c>
      <c r="AF17" s="403">
        <f>L17-((X17+Y17)/2)-Z17</f>
        <v>16576.957849958628</v>
      </c>
    </row>
    <row r="18" spans="1:32">
      <c r="A18" s="855"/>
      <c r="B18" s="793" t="s">
        <v>722</v>
      </c>
      <c r="C18" s="793">
        <v>2007</v>
      </c>
      <c r="D18" s="793">
        <f t="shared" si="0"/>
        <v>107</v>
      </c>
      <c r="E18" s="793">
        <v>9</v>
      </c>
      <c r="F18" s="794">
        <v>0.2</v>
      </c>
      <c r="G18" s="795" t="s">
        <v>170</v>
      </c>
      <c r="H18" s="793">
        <v>7</v>
      </c>
      <c r="I18" s="793">
        <f t="shared" si="1"/>
        <v>114</v>
      </c>
      <c r="J18" s="793"/>
      <c r="K18" s="793"/>
      <c r="L18" s="796">
        <v>78385</v>
      </c>
      <c r="M18" s="796">
        <v>0</v>
      </c>
      <c r="N18" s="796">
        <f t="shared" si="2"/>
        <v>62708</v>
      </c>
      <c r="O18" s="403">
        <f t="shared" si="3"/>
        <v>746.52380952380952</v>
      </c>
      <c r="P18" s="403">
        <f t="shared" si="4"/>
        <v>0</v>
      </c>
      <c r="Q18" s="403">
        <f t="shared" si="5"/>
        <v>0</v>
      </c>
      <c r="R18" s="403">
        <f t="shared" si="6"/>
        <v>0</v>
      </c>
      <c r="S18" s="405">
        <f>+'WP -11 Non-Regulated'!$K$29</f>
        <v>0.47014773860644926</v>
      </c>
      <c r="T18" s="403">
        <f t="shared" si="7"/>
        <v>0</v>
      </c>
      <c r="U18" s="403">
        <f t="shared" si="8"/>
        <v>62708</v>
      </c>
      <c r="V18" s="403">
        <f t="shared" si="9"/>
        <v>29482.024392533222</v>
      </c>
      <c r="W18" s="405">
        <v>1</v>
      </c>
      <c r="X18" s="403">
        <f t="shared" si="10"/>
        <v>29482.024392533222</v>
      </c>
      <c r="Y18" s="403">
        <f t="shared" ref="Y18:Y55" si="16">IF(M18&gt;0,0,X18+T18*W18)*W18</f>
        <v>29482.024392533222</v>
      </c>
      <c r="Z18" s="403">
        <f t="shared" ref="Z18:Z60" si="17">IF(M18&gt;0,(L18-X18)/2,IF(AA18&gt;=AD18,(((L18*S18)*W18)-Y18)/2,((((L18*S18)*W18)-X18)+(((L18*S18)*W18)-Y18))/2))</f>
        <v>7370.5060981333045</v>
      </c>
      <c r="AA18" s="403">
        <f t="shared" si="11"/>
        <v>107.66666666666667</v>
      </c>
      <c r="AB18" s="403">
        <f t="shared" si="12"/>
        <v>122</v>
      </c>
      <c r="AC18" s="403">
        <f t="shared" si="13"/>
        <v>114.66666666666667</v>
      </c>
      <c r="AD18" s="403">
        <f t="shared" si="14"/>
        <v>121</v>
      </c>
      <c r="AE18" s="403">
        <f t="shared" si="15"/>
        <v>-8.3333333333333329E-2</v>
      </c>
      <c r="AF18" s="403">
        <f t="shared" ref="AF18:AF80" si="18">L18-((X18+Y18)/2)-Z18</f>
        <v>41532.469509333474</v>
      </c>
    </row>
    <row r="19" spans="1:32">
      <c r="A19" s="855"/>
      <c r="B19" s="793" t="s">
        <v>724</v>
      </c>
      <c r="C19" s="793">
        <v>2007</v>
      </c>
      <c r="D19" s="793">
        <f t="shared" si="0"/>
        <v>107</v>
      </c>
      <c r="E19" s="793">
        <v>5</v>
      </c>
      <c r="F19" s="794">
        <v>0.2</v>
      </c>
      <c r="G19" s="795" t="s">
        <v>170</v>
      </c>
      <c r="H19" s="793">
        <v>7</v>
      </c>
      <c r="I19" s="793">
        <f t="shared" si="1"/>
        <v>114</v>
      </c>
      <c r="J19" s="793"/>
      <c r="K19" s="793"/>
      <c r="L19" s="796">
        <v>146906</v>
      </c>
      <c r="M19" s="796">
        <v>0</v>
      </c>
      <c r="N19" s="796">
        <f t="shared" si="2"/>
        <v>117524.8</v>
      </c>
      <c r="O19" s="403">
        <f t="shared" si="3"/>
        <v>1399.104761904762</v>
      </c>
      <c r="P19" s="403">
        <f t="shared" si="4"/>
        <v>0</v>
      </c>
      <c r="Q19" s="403">
        <f t="shared" si="5"/>
        <v>0</v>
      </c>
      <c r="R19" s="403">
        <f t="shared" si="6"/>
        <v>0</v>
      </c>
      <c r="S19" s="405">
        <f>+'WP -11 Non-Regulated'!$K$29</f>
        <v>0.47014773860644926</v>
      </c>
      <c r="T19" s="403">
        <f t="shared" si="7"/>
        <v>0</v>
      </c>
      <c r="U19" s="403">
        <f t="shared" si="8"/>
        <v>117524.8</v>
      </c>
      <c r="V19" s="403">
        <f t="shared" si="9"/>
        <v>55254.018950175232</v>
      </c>
      <c r="W19" s="405">
        <v>1</v>
      </c>
      <c r="X19" s="403">
        <f t="shared" si="10"/>
        <v>55254.018950175232</v>
      </c>
      <c r="Y19" s="403">
        <f t="shared" si="16"/>
        <v>55254.018950175232</v>
      </c>
      <c r="Z19" s="403">
        <f t="shared" si="17"/>
        <v>13813.504737543801</v>
      </c>
      <c r="AA19" s="403">
        <f t="shared" si="11"/>
        <v>107.33333333333333</v>
      </c>
      <c r="AB19" s="403">
        <f t="shared" si="12"/>
        <v>122</v>
      </c>
      <c r="AC19" s="403">
        <f t="shared" si="13"/>
        <v>114.33333333333333</v>
      </c>
      <c r="AD19" s="403">
        <f t="shared" si="14"/>
        <v>121</v>
      </c>
      <c r="AE19" s="403">
        <f t="shared" si="15"/>
        <v>-8.3333333333333329E-2</v>
      </c>
      <c r="AF19" s="403">
        <f t="shared" si="18"/>
        <v>77838.476312280967</v>
      </c>
    </row>
    <row r="20" spans="1:32">
      <c r="A20" s="855"/>
      <c r="B20" s="793" t="s">
        <v>723</v>
      </c>
      <c r="C20" s="793">
        <v>2008</v>
      </c>
      <c r="D20" s="793">
        <f t="shared" si="0"/>
        <v>108</v>
      </c>
      <c r="E20" s="793">
        <v>1</v>
      </c>
      <c r="F20" s="794">
        <v>0.2</v>
      </c>
      <c r="G20" s="795" t="s">
        <v>170</v>
      </c>
      <c r="H20" s="793">
        <v>7</v>
      </c>
      <c r="I20" s="793">
        <f t="shared" si="1"/>
        <v>115</v>
      </c>
      <c r="J20" s="793"/>
      <c r="K20" s="793"/>
      <c r="L20" s="796">
        <v>150005</v>
      </c>
      <c r="M20" s="796">
        <v>0</v>
      </c>
      <c r="N20" s="796">
        <f t="shared" si="2"/>
        <v>120004</v>
      </c>
      <c r="O20" s="403">
        <f t="shared" si="3"/>
        <v>1428.6190476190477</v>
      </c>
      <c r="P20" s="403">
        <f t="shared" si="4"/>
        <v>0</v>
      </c>
      <c r="Q20" s="403">
        <f t="shared" si="5"/>
        <v>0</v>
      </c>
      <c r="R20" s="403">
        <f t="shared" si="6"/>
        <v>0</v>
      </c>
      <c r="S20" s="405">
        <f>+'WP -11 Non-Regulated'!$K$29</f>
        <v>0.47014773860644926</v>
      </c>
      <c r="T20" s="403">
        <f t="shared" si="7"/>
        <v>0</v>
      </c>
      <c r="U20" s="403">
        <f t="shared" si="8"/>
        <v>120004</v>
      </c>
      <c r="V20" s="403">
        <f t="shared" si="9"/>
        <v>56419.609223728337</v>
      </c>
      <c r="W20" s="405">
        <v>1</v>
      </c>
      <c r="X20" s="403">
        <f t="shared" si="10"/>
        <v>56419.609223728337</v>
      </c>
      <c r="Y20" s="403">
        <f t="shared" si="16"/>
        <v>56419.609223728337</v>
      </c>
      <c r="Z20" s="403">
        <f t="shared" si="17"/>
        <v>14104.902305932083</v>
      </c>
      <c r="AA20" s="403">
        <f t="shared" si="11"/>
        <v>108</v>
      </c>
      <c r="AB20" s="403">
        <f t="shared" si="12"/>
        <v>122</v>
      </c>
      <c r="AC20" s="403">
        <f t="shared" si="13"/>
        <v>115</v>
      </c>
      <c r="AD20" s="403">
        <f t="shared" si="14"/>
        <v>121</v>
      </c>
      <c r="AE20" s="403">
        <f t="shared" si="15"/>
        <v>-8.3333333333333329E-2</v>
      </c>
      <c r="AF20" s="403">
        <f t="shared" si="18"/>
        <v>79480.488470339595</v>
      </c>
    </row>
    <row r="21" spans="1:32">
      <c r="A21" s="855"/>
      <c r="B21" s="793" t="s">
        <v>722</v>
      </c>
      <c r="C21" s="793">
        <v>2008</v>
      </c>
      <c r="D21" s="793">
        <f t="shared" si="0"/>
        <v>108</v>
      </c>
      <c r="E21" s="793">
        <v>1</v>
      </c>
      <c r="F21" s="794">
        <v>0.2</v>
      </c>
      <c r="G21" s="795" t="s">
        <v>170</v>
      </c>
      <c r="H21" s="793">
        <v>7</v>
      </c>
      <c r="I21" s="793">
        <f t="shared" si="1"/>
        <v>115</v>
      </c>
      <c r="J21" s="793"/>
      <c r="K21" s="793"/>
      <c r="L21" s="796">
        <v>78385</v>
      </c>
      <c r="M21" s="796">
        <v>0</v>
      </c>
      <c r="N21" s="796">
        <f t="shared" si="2"/>
        <v>62708</v>
      </c>
      <c r="O21" s="403">
        <f t="shared" si="3"/>
        <v>746.52380952380952</v>
      </c>
      <c r="P21" s="403">
        <f t="shared" si="4"/>
        <v>0</v>
      </c>
      <c r="Q21" s="403">
        <f t="shared" si="5"/>
        <v>0</v>
      </c>
      <c r="R21" s="403">
        <f t="shared" si="6"/>
        <v>0</v>
      </c>
      <c r="S21" s="405">
        <f>+'WP -11 Non-Regulated'!$K$29</f>
        <v>0.47014773860644926</v>
      </c>
      <c r="T21" s="403">
        <f t="shared" si="7"/>
        <v>0</v>
      </c>
      <c r="U21" s="403">
        <f t="shared" si="8"/>
        <v>62708</v>
      </c>
      <c r="V21" s="403">
        <f t="shared" si="9"/>
        <v>29482.024392533222</v>
      </c>
      <c r="W21" s="405">
        <v>1</v>
      </c>
      <c r="X21" s="403">
        <f t="shared" si="10"/>
        <v>29482.024392533222</v>
      </c>
      <c r="Y21" s="403">
        <f t="shared" si="16"/>
        <v>29482.024392533222</v>
      </c>
      <c r="Z21" s="403">
        <f t="shared" si="17"/>
        <v>7370.5060981333045</v>
      </c>
      <c r="AA21" s="403">
        <f t="shared" si="11"/>
        <v>108</v>
      </c>
      <c r="AB21" s="403">
        <f t="shared" si="12"/>
        <v>122</v>
      </c>
      <c r="AC21" s="403">
        <f t="shared" si="13"/>
        <v>115</v>
      </c>
      <c r="AD21" s="403">
        <f t="shared" si="14"/>
        <v>121</v>
      </c>
      <c r="AE21" s="403">
        <f t="shared" si="15"/>
        <v>-8.3333333333333329E-2</v>
      </c>
      <c r="AF21" s="403">
        <f t="shared" si="18"/>
        <v>41532.469509333474</v>
      </c>
    </row>
    <row r="22" spans="1:32">
      <c r="A22" s="855"/>
      <c r="B22" s="793" t="s">
        <v>721</v>
      </c>
      <c r="C22" s="793">
        <v>2008</v>
      </c>
      <c r="D22" s="793">
        <f t="shared" si="0"/>
        <v>108</v>
      </c>
      <c r="E22" s="793">
        <v>2</v>
      </c>
      <c r="F22" s="794">
        <v>0.2</v>
      </c>
      <c r="G22" s="795" t="s">
        <v>170</v>
      </c>
      <c r="H22" s="793">
        <v>7</v>
      </c>
      <c r="I22" s="793">
        <f t="shared" si="1"/>
        <v>115</v>
      </c>
      <c r="J22" s="793"/>
      <c r="K22" s="793"/>
      <c r="L22" s="796">
        <v>160347</v>
      </c>
      <c r="M22" s="796">
        <v>0</v>
      </c>
      <c r="N22" s="796">
        <f t="shared" si="2"/>
        <v>128277.6</v>
      </c>
      <c r="O22" s="403">
        <f t="shared" si="3"/>
        <v>1527.1142857142859</v>
      </c>
      <c r="P22" s="403">
        <f t="shared" si="4"/>
        <v>0</v>
      </c>
      <c r="Q22" s="403">
        <f t="shared" si="5"/>
        <v>0</v>
      </c>
      <c r="R22" s="403">
        <f t="shared" si="6"/>
        <v>0</v>
      </c>
      <c r="S22" s="405">
        <f>+'WP -11 Non-Regulated'!$K$29</f>
        <v>0.47014773860644926</v>
      </c>
      <c r="T22" s="403">
        <f t="shared" si="7"/>
        <v>0</v>
      </c>
      <c r="U22" s="403">
        <f t="shared" si="8"/>
        <v>128277.6</v>
      </c>
      <c r="V22" s="403">
        <f t="shared" si="9"/>
        <v>60309.42355386266</v>
      </c>
      <c r="W22" s="405">
        <v>1</v>
      </c>
      <c r="X22" s="403">
        <f t="shared" si="10"/>
        <v>60309.42355386266</v>
      </c>
      <c r="Y22" s="403">
        <f t="shared" si="16"/>
        <v>60309.42355386266</v>
      </c>
      <c r="Z22" s="403">
        <f t="shared" si="17"/>
        <v>15077.35588846566</v>
      </c>
      <c r="AA22" s="403">
        <f t="shared" si="11"/>
        <v>108.08333333333333</v>
      </c>
      <c r="AB22" s="403">
        <f t="shared" si="12"/>
        <v>122</v>
      </c>
      <c r="AC22" s="403">
        <f t="shared" si="13"/>
        <v>115.08333333333333</v>
      </c>
      <c r="AD22" s="403">
        <f t="shared" si="14"/>
        <v>121</v>
      </c>
      <c r="AE22" s="403">
        <f t="shared" si="15"/>
        <v>-8.3333333333333329E-2</v>
      </c>
      <c r="AF22" s="403">
        <f t="shared" si="18"/>
        <v>84960.220557671681</v>
      </c>
    </row>
    <row r="23" spans="1:32">
      <c r="A23" s="855"/>
      <c r="B23" s="793" t="s">
        <v>719</v>
      </c>
      <c r="C23" s="793">
        <v>2008</v>
      </c>
      <c r="D23" s="793">
        <f t="shared" si="0"/>
        <v>108</v>
      </c>
      <c r="E23" s="793">
        <v>8</v>
      </c>
      <c r="F23" s="794">
        <v>0.2</v>
      </c>
      <c r="G23" s="795" t="s">
        <v>170</v>
      </c>
      <c r="H23" s="793">
        <v>7</v>
      </c>
      <c r="I23" s="793">
        <f t="shared" si="1"/>
        <v>115</v>
      </c>
      <c r="J23" s="793"/>
      <c r="K23" s="793"/>
      <c r="L23" s="796">
        <v>81811</v>
      </c>
      <c r="M23" s="796">
        <v>0</v>
      </c>
      <c r="N23" s="796">
        <f t="shared" si="2"/>
        <v>65448.800000000003</v>
      </c>
      <c r="O23" s="403">
        <f t="shared" si="3"/>
        <v>779.15238095238101</v>
      </c>
      <c r="P23" s="403">
        <f t="shared" si="4"/>
        <v>0</v>
      </c>
      <c r="Q23" s="403">
        <f>IF(M23=0,0,IF(AND(AE23&gt;=AD23,AE23&lt;=AC23),((AE23-AD23)*12)*O23,0))</f>
        <v>0</v>
      </c>
      <c r="R23" s="403">
        <f t="shared" si="6"/>
        <v>0</v>
      </c>
      <c r="S23" s="405">
        <f>+'WP -11 Non-Regulated'!$K$29</f>
        <v>0.47014773860644926</v>
      </c>
      <c r="T23" s="403">
        <f t="shared" si="7"/>
        <v>0</v>
      </c>
      <c r="U23" s="403">
        <f t="shared" si="8"/>
        <v>65448.800000000003</v>
      </c>
      <c r="V23" s="403">
        <f t="shared" si="9"/>
        <v>30770.605314505778</v>
      </c>
      <c r="W23" s="405">
        <v>1</v>
      </c>
      <c r="X23" s="403">
        <f t="shared" si="10"/>
        <v>30770.605314505778</v>
      </c>
      <c r="Y23" s="403">
        <f t="shared" si="16"/>
        <v>30770.605314505778</v>
      </c>
      <c r="Z23" s="403">
        <f t="shared" si="17"/>
        <v>7692.6513286264417</v>
      </c>
      <c r="AA23" s="403">
        <f t="shared" si="11"/>
        <v>108.58333333333333</v>
      </c>
      <c r="AB23" s="403">
        <f t="shared" si="12"/>
        <v>122</v>
      </c>
      <c r="AC23" s="403">
        <f t="shared" si="13"/>
        <v>115.58333333333333</v>
      </c>
      <c r="AD23" s="403">
        <f t="shared" si="14"/>
        <v>121</v>
      </c>
      <c r="AE23" s="403">
        <f t="shared" si="15"/>
        <v>-8.3333333333333329E-2</v>
      </c>
      <c r="AF23" s="403">
        <f>L23-((X23+Y23)/2)-Z23</f>
        <v>43347.743356867781</v>
      </c>
    </row>
    <row r="24" spans="1:32">
      <c r="A24" s="855"/>
      <c r="B24" s="793" t="s">
        <v>718</v>
      </c>
      <c r="C24" s="793">
        <v>2008</v>
      </c>
      <c r="D24" s="793">
        <f t="shared" si="0"/>
        <v>108</v>
      </c>
      <c r="E24" s="793">
        <v>4</v>
      </c>
      <c r="F24" s="794">
        <v>0.2</v>
      </c>
      <c r="G24" s="795" t="s">
        <v>170</v>
      </c>
      <c r="H24" s="793">
        <v>5</v>
      </c>
      <c r="I24" s="793">
        <f t="shared" si="1"/>
        <v>113</v>
      </c>
      <c r="J24" s="793">
        <v>2021</v>
      </c>
      <c r="K24" s="793">
        <v>3</v>
      </c>
      <c r="L24" s="796">
        <v>43089</v>
      </c>
      <c r="M24" s="796" t="s">
        <v>1076</v>
      </c>
      <c r="N24" s="796">
        <f>L24-(+L24*F24)</f>
        <v>34471.199999999997</v>
      </c>
      <c r="O24" s="403">
        <f t="shared" si="3"/>
        <v>574.52</v>
      </c>
      <c r="P24" s="403">
        <f t="shared" si="4"/>
        <v>0</v>
      </c>
      <c r="Q24" s="403">
        <f>IF(M24=0,0,IF(AND(AE24&gt;=AD24,AE24&lt;=AC24),((AE24-AD24)*12)*O24,0))</f>
        <v>0</v>
      </c>
      <c r="R24" s="403">
        <f t="shared" si="6"/>
        <v>0</v>
      </c>
      <c r="S24" s="405">
        <f>+'WP -11 Non-Regulated'!$K$29</f>
        <v>0.47014773860644926</v>
      </c>
      <c r="T24" s="403">
        <f t="shared" si="7"/>
        <v>0</v>
      </c>
      <c r="U24" s="403">
        <f t="shared" si="8"/>
        <v>34471.199999999997</v>
      </c>
      <c r="V24" s="403">
        <f t="shared" si="9"/>
        <v>16206.556727050633</v>
      </c>
      <c r="W24" s="405">
        <v>1</v>
      </c>
      <c r="X24" s="403">
        <f t="shared" si="10"/>
        <v>16206.556727050633</v>
      </c>
      <c r="Y24" s="403">
        <f t="shared" si="16"/>
        <v>16206.556727050633</v>
      </c>
      <c r="Z24" s="403">
        <f t="shared" si="17"/>
        <v>4051.6391817626609</v>
      </c>
      <c r="AA24" s="403">
        <f t="shared" si="11"/>
        <v>108.25</v>
      </c>
      <c r="AB24" s="403">
        <f t="shared" si="12"/>
        <v>122</v>
      </c>
      <c r="AC24" s="403">
        <f t="shared" si="13"/>
        <v>113.25</v>
      </c>
      <c r="AD24" s="403">
        <f t="shared" si="14"/>
        <v>121</v>
      </c>
      <c r="AE24" s="403">
        <f t="shared" si="15"/>
        <v>2021.1666666666667</v>
      </c>
      <c r="AF24" s="403">
        <f>L24-((X24+Y24)/2)-Z24</f>
        <v>22830.804091186707</v>
      </c>
    </row>
    <row r="25" spans="1:32">
      <c r="A25" s="855"/>
      <c r="B25" s="793" t="s">
        <v>720</v>
      </c>
      <c r="C25" s="793">
        <v>2009</v>
      </c>
      <c r="D25" s="793">
        <f t="shared" si="0"/>
        <v>109</v>
      </c>
      <c r="E25" s="793">
        <v>4</v>
      </c>
      <c r="F25" s="794">
        <v>0.2</v>
      </c>
      <c r="G25" s="795" t="s">
        <v>170</v>
      </c>
      <c r="H25" s="793">
        <v>7</v>
      </c>
      <c r="I25" s="793">
        <f t="shared" si="1"/>
        <v>116</v>
      </c>
      <c r="J25" s="793"/>
      <c r="K25" s="793"/>
      <c r="L25" s="796">
        <v>241897</v>
      </c>
      <c r="M25" s="796">
        <v>0</v>
      </c>
      <c r="N25" s="796">
        <f t="shared" si="2"/>
        <v>193517.6</v>
      </c>
      <c r="O25" s="403">
        <f t="shared" si="3"/>
        <v>2303.7809523809524</v>
      </c>
      <c r="P25" s="403">
        <f t="shared" si="4"/>
        <v>0</v>
      </c>
      <c r="Q25" s="403">
        <f t="shared" si="5"/>
        <v>0</v>
      </c>
      <c r="R25" s="403">
        <f t="shared" si="6"/>
        <v>0</v>
      </c>
      <c r="S25" s="405">
        <f>+'WP -11 Non-Regulated'!$K$29</f>
        <v>0.47014773860644926</v>
      </c>
      <c r="T25" s="403">
        <f t="shared" si="7"/>
        <v>0</v>
      </c>
      <c r="U25" s="403">
        <f t="shared" si="8"/>
        <v>193517.6</v>
      </c>
      <c r="V25" s="403">
        <f t="shared" si="9"/>
        <v>90981.862020547414</v>
      </c>
      <c r="W25" s="405">
        <v>1</v>
      </c>
      <c r="X25" s="403">
        <f t="shared" si="10"/>
        <v>90981.862020547414</v>
      </c>
      <c r="Y25" s="403">
        <f t="shared" si="16"/>
        <v>90981.862020547414</v>
      </c>
      <c r="Z25" s="403">
        <f t="shared" si="17"/>
        <v>22745.465505136846</v>
      </c>
      <c r="AA25" s="403">
        <f t="shared" si="11"/>
        <v>109.25</v>
      </c>
      <c r="AB25" s="403">
        <f t="shared" si="12"/>
        <v>122</v>
      </c>
      <c r="AC25" s="403">
        <f t="shared" si="13"/>
        <v>116.25</v>
      </c>
      <c r="AD25" s="403">
        <f t="shared" si="14"/>
        <v>121</v>
      </c>
      <c r="AE25" s="403">
        <f t="shared" si="15"/>
        <v>-8.3333333333333329E-2</v>
      </c>
      <c r="AF25" s="403">
        <f t="shared" si="18"/>
        <v>128169.67247431574</v>
      </c>
    </row>
    <row r="26" spans="1:32">
      <c r="A26" s="855"/>
      <c r="B26" s="793" t="s">
        <v>719</v>
      </c>
      <c r="C26" s="793">
        <v>2009</v>
      </c>
      <c r="D26" s="793">
        <f t="shared" si="0"/>
        <v>109</v>
      </c>
      <c r="E26" s="793">
        <v>12</v>
      </c>
      <c r="F26" s="794">
        <v>0.2</v>
      </c>
      <c r="G26" s="795" t="s">
        <v>170</v>
      </c>
      <c r="H26" s="793">
        <v>7</v>
      </c>
      <c r="I26" s="793">
        <f t="shared" si="1"/>
        <v>116</v>
      </c>
      <c r="J26" s="793"/>
      <c r="K26" s="793"/>
      <c r="L26" s="796">
        <v>101660</v>
      </c>
      <c r="M26" s="796">
        <v>0</v>
      </c>
      <c r="N26" s="796">
        <f t="shared" si="2"/>
        <v>81328</v>
      </c>
      <c r="O26" s="403">
        <f t="shared" si="3"/>
        <v>968.19047619047615</v>
      </c>
      <c r="P26" s="403">
        <f t="shared" si="4"/>
        <v>0</v>
      </c>
      <c r="Q26" s="403">
        <f t="shared" si="5"/>
        <v>0</v>
      </c>
      <c r="R26" s="403">
        <f t="shared" si="6"/>
        <v>0</v>
      </c>
      <c r="S26" s="405">
        <f>+'WP -11 Non-Regulated'!$K$29</f>
        <v>0.47014773860644926</v>
      </c>
      <c r="T26" s="403">
        <f t="shared" si="7"/>
        <v>0</v>
      </c>
      <c r="U26" s="403">
        <f t="shared" si="8"/>
        <v>81328</v>
      </c>
      <c r="V26" s="403">
        <f t="shared" si="9"/>
        <v>38236.175285385303</v>
      </c>
      <c r="W26" s="405">
        <v>1</v>
      </c>
      <c r="X26" s="403">
        <f t="shared" si="10"/>
        <v>38236.175285385303</v>
      </c>
      <c r="Y26" s="403">
        <f t="shared" si="16"/>
        <v>38236.175285385303</v>
      </c>
      <c r="Z26" s="403">
        <f t="shared" si="17"/>
        <v>9559.0438213463276</v>
      </c>
      <c r="AA26" s="403">
        <f t="shared" si="11"/>
        <v>109.91666666666667</v>
      </c>
      <c r="AB26" s="403">
        <f t="shared" si="12"/>
        <v>122</v>
      </c>
      <c r="AC26" s="403">
        <f t="shared" si="13"/>
        <v>116.91666666666667</v>
      </c>
      <c r="AD26" s="403">
        <f t="shared" si="14"/>
        <v>121</v>
      </c>
      <c r="AE26" s="403">
        <f t="shared" si="15"/>
        <v>-8.3333333333333329E-2</v>
      </c>
      <c r="AF26" s="403">
        <f t="shared" si="18"/>
        <v>53864.780893268369</v>
      </c>
    </row>
    <row r="27" spans="1:32">
      <c r="A27" s="855"/>
      <c r="B27" s="793" t="s">
        <v>718</v>
      </c>
      <c r="C27" s="793">
        <v>2009</v>
      </c>
      <c r="D27" s="793">
        <f t="shared" si="0"/>
        <v>109</v>
      </c>
      <c r="E27" s="793">
        <v>2</v>
      </c>
      <c r="F27" s="794">
        <v>0.2</v>
      </c>
      <c r="G27" s="795" t="s">
        <v>170</v>
      </c>
      <c r="H27" s="793">
        <v>5</v>
      </c>
      <c r="I27" s="793">
        <f t="shared" si="1"/>
        <v>114</v>
      </c>
      <c r="J27" s="793"/>
      <c r="K27" s="793"/>
      <c r="L27" s="796">
        <v>37713</v>
      </c>
      <c r="M27" s="796">
        <v>0</v>
      </c>
      <c r="N27" s="796">
        <f t="shared" si="2"/>
        <v>30170.400000000001</v>
      </c>
      <c r="O27" s="403">
        <f t="shared" si="3"/>
        <v>502.84</v>
      </c>
      <c r="P27" s="403">
        <f t="shared" si="4"/>
        <v>0</v>
      </c>
      <c r="Q27" s="403">
        <f t="shared" si="5"/>
        <v>0</v>
      </c>
      <c r="R27" s="403">
        <f t="shared" si="6"/>
        <v>0</v>
      </c>
      <c r="S27" s="405">
        <f>+'WP -11 Non-Regulated'!$K$29</f>
        <v>0.47014773860644926</v>
      </c>
      <c r="T27" s="403">
        <f t="shared" si="7"/>
        <v>0</v>
      </c>
      <c r="U27" s="403">
        <f t="shared" si="8"/>
        <v>30170.400000000001</v>
      </c>
      <c r="V27" s="403">
        <f t="shared" si="9"/>
        <v>14184.545332852018</v>
      </c>
      <c r="W27" s="405">
        <v>1</v>
      </c>
      <c r="X27" s="403">
        <f t="shared" si="10"/>
        <v>14184.545332852018</v>
      </c>
      <c r="Y27" s="403">
        <f t="shared" si="16"/>
        <v>14184.545332852018</v>
      </c>
      <c r="Z27" s="403">
        <f t="shared" si="17"/>
        <v>3546.136333213004</v>
      </c>
      <c r="AA27" s="403">
        <f t="shared" si="11"/>
        <v>109.08333333333333</v>
      </c>
      <c r="AB27" s="403">
        <f t="shared" si="12"/>
        <v>122</v>
      </c>
      <c r="AC27" s="403">
        <f t="shared" si="13"/>
        <v>114.08333333333333</v>
      </c>
      <c r="AD27" s="403">
        <f t="shared" si="14"/>
        <v>121</v>
      </c>
      <c r="AE27" s="403">
        <f t="shared" si="15"/>
        <v>-8.3333333333333329E-2</v>
      </c>
      <c r="AF27" s="403">
        <f t="shared" si="18"/>
        <v>19982.318333934978</v>
      </c>
    </row>
    <row r="28" spans="1:32">
      <c r="A28" s="855"/>
      <c r="B28" s="793" t="s">
        <v>717</v>
      </c>
      <c r="C28" s="793">
        <v>2009</v>
      </c>
      <c r="D28" s="793">
        <f t="shared" si="0"/>
        <v>109</v>
      </c>
      <c r="E28" s="793">
        <v>10</v>
      </c>
      <c r="F28" s="794">
        <v>0.2</v>
      </c>
      <c r="G28" s="795" t="s">
        <v>170</v>
      </c>
      <c r="H28" s="793">
        <v>5</v>
      </c>
      <c r="I28" s="793">
        <f t="shared" si="1"/>
        <v>114</v>
      </c>
      <c r="J28" s="793"/>
      <c r="K28" s="793"/>
      <c r="L28" s="796">
        <v>18801</v>
      </c>
      <c r="M28" s="796">
        <v>0</v>
      </c>
      <c r="N28" s="796">
        <f t="shared" si="2"/>
        <v>15040.8</v>
      </c>
      <c r="O28" s="403">
        <f t="shared" si="3"/>
        <v>250.67999999999998</v>
      </c>
      <c r="P28" s="403">
        <f t="shared" si="4"/>
        <v>0</v>
      </c>
      <c r="Q28" s="403">
        <f t="shared" si="5"/>
        <v>0</v>
      </c>
      <c r="R28" s="403">
        <f t="shared" si="6"/>
        <v>0</v>
      </c>
      <c r="S28" s="405">
        <f>+'WP -11 Non-Regulated'!$K$29</f>
        <v>0.47014773860644926</v>
      </c>
      <c r="T28" s="403">
        <f t="shared" si="7"/>
        <v>0</v>
      </c>
      <c r="U28" s="403">
        <f t="shared" si="8"/>
        <v>15040.8</v>
      </c>
      <c r="V28" s="403">
        <f t="shared" si="9"/>
        <v>7071.3981068318817</v>
      </c>
      <c r="W28" s="405">
        <v>1</v>
      </c>
      <c r="X28" s="403">
        <f t="shared" si="10"/>
        <v>7071.3981068318817</v>
      </c>
      <c r="Y28" s="403">
        <f t="shared" si="16"/>
        <v>7071.3981068318817</v>
      </c>
      <c r="Z28" s="403">
        <f t="shared" si="17"/>
        <v>1767.8495267079716</v>
      </c>
      <c r="AA28" s="403">
        <f t="shared" si="11"/>
        <v>109.75</v>
      </c>
      <c r="AB28" s="403">
        <f t="shared" si="12"/>
        <v>122</v>
      </c>
      <c r="AC28" s="403">
        <f t="shared" si="13"/>
        <v>114.75</v>
      </c>
      <c r="AD28" s="403">
        <f t="shared" si="14"/>
        <v>121</v>
      </c>
      <c r="AE28" s="403">
        <f t="shared" si="15"/>
        <v>-8.3333333333333329E-2</v>
      </c>
      <c r="AF28" s="403">
        <f t="shared" si="18"/>
        <v>9961.7523664601467</v>
      </c>
    </row>
    <row r="29" spans="1:32">
      <c r="A29" s="855"/>
      <c r="B29" s="793" t="s">
        <v>716</v>
      </c>
      <c r="C29" s="793">
        <v>2009</v>
      </c>
      <c r="D29" s="793">
        <f t="shared" si="0"/>
        <v>109</v>
      </c>
      <c r="E29" s="793">
        <v>10</v>
      </c>
      <c r="F29" s="794">
        <v>0.2</v>
      </c>
      <c r="G29" s="795" t="s">
        <v>170</v>
      </c>
      <c r="H29" s="793">
        <v>5</v>
      </c>
      <c r="I29" s="793">
        <f t="shared" si="1"/>
        <v>114</v>
      </c>
      <c r="J29" s="793">
        <v>2022</v>
      </c>
      <c r="K29" s="793">
        <v>8</v>
      </c>
      <c r="L29" s="796">
        <v>22898</v>
      </c>
      <c r="M29" s="796" t="s">
        <v>1076</v>
      </c>
      <c r="N29" s="796">
        <f t="shared" si="2"/>
        <v>18318.400000000001</v>
      </c>
      <c r="O29" s="403">
        <f t="shared" si="3"/>
        <v>305.30666666666667</v>
      </c>
      <c r="P29" s="403">
        <f>IF(Q29&gt;0,0,IF(OR(AA29&gt;AB29,AC29&lt;AD29),0,IF(AND(AC29&gt;=AD29,AC29&lt;=AB29),O29*((AC29-AD29)*12),IF(AND(AD29&lt;=AA29,AB29&gt;=AA29),((AB29-AA29)*12)*O29,IF(AC29&gt;AB29,12*O29,0)))))</f>
        <v>0</v>
      </c>
      <c r="Q29" s="403">
        <f>IF(M29=0,0,IF(AND(AE29&gt;=AD29,AE29&lt;=AC29),((AE29-AD29)*12)*O29,0))</f>
        <v>0</v>
      </c>
      <c r="R29" s="403">
        <f t="shared" si="6"/>
        <v>0</v>
      </c>
      <c r="S29" s="405">
        <f>+'WP -11 Non-Regulated'!$K$29</f>
        <v>0.47014773860644926</v>
      </c>
      <c r="T29" s="403">
        <f t="shared" si="7"/>
        <v>0</v>
      </c>
      <c r="U29" s="403">
        <f t="shared" si="8"/>
        <v>18318.400000000001</v>
      </c>
      <c r="V29" s="403">
        <f t="shared" si="9"/>
        <v>8612.3543348883813</v>
      </c>
      <c r="W29" s="405">
        <v>1</v>
      </c>
      <c r="X29" s="403">
        <f t="shared" si="10"/>
        <v>8612.3543348883813</v>
      </c>
      <c r="Y29" s="403">
        <f t="shared" si="16"/>
        <v>8612.3543348883813</v>
      </c>
      <c r="Z29" s="403">
        <f t="shared" si="17"/>
        <v>2153.088583722094</v>
      </c>
      <c r="AA29" s="403">
        <f t="shared" si="11"/>
        <v>109.75</v>
      </c>
      <c r="AB29" s="403">
        <f t="shared" si="12"/>
        <v>122</v>
      </c>
      <c r="AC29" s="403">
        <f t="shared" si="13"/>
        <v>114.75</v>
      </c>
      <c r="AD29" s="403">
        <f t="shared" si="14"/>
        <v>121</v>
      </c>
      <c r="AE29" s="403">
        <f t="shared" si="15"/>
        <v>2022.5833333333333</v>
      </c>
      <c r="AF29" s="403">
        <f t="shared" si="18"/>
        <v>12132.557081389525</v>
      </c>
    </row>
    <row r="30" spans="1:32">
      <c r="A30" s="855"/>
      <c r="B30" s="793" t="s">
        <v>715</v>
      </c>
      <c r="C30" s="793">
        <v>2010</v>
      </c>
      <c r="D30" s="793">
        <f t="shared" si="0"/>
        <v>110</v>
      </c>
      <c r="E30" s="793">
        <v>4</v>
      </c>
      <c r="F30" s="794">
        <v>0.2</v>
      </c>
      <c r="G30" s="795" t="s">
        <v>170</v>
      </c>
      <c r="H30" s="793">
        <v>7</v>
      </c>
      <c r="I30" s="793">
        <f t="shared" si="1"/>
        <v>117</v>
      </c>
      <c r="J30" s="793"/>
      <c r="K30" s="793"/>
      <c r="L30" s="796">
        <v>106900</v>
      </c>
      <c r="M30" s="796">
        <v>0</v>
      </c>
      <c r="N30" s="796">
        <f t="shared" si="2"/>
        <v>85520</v>
      </c>
      <c r="O30" s="403">
        <f t="shared" si="3"/>
        <v>1018.0952380952381</v>
      </c>
      <c r="P30" s="403">
        <f t="shared" si="4"/>
        <v>0</v>
      </c>
      <c r="Q30" s="403">
        <f t="shared" si="5"/>
        <v>0</v>
      </c>
      <c r="R30" s="403">
        <f t="shared" si="6"/>
        <v>0</v>
      </c>
      <c r="S30" s="405">
        <f>+'WP -11 Non-Regulated'!$K$29</f>
        <v>0.47014773860644926</v>
      </c>
      <c r="T30" s="403">
        <f t="shared" si="7"/>
        <v>0</v>
      </c>
      <c r="U30" s="403">
        <f t="shared" si="8"/>
        <v>85520</v>
      </c>
      <c r="V30" s="403">
        <f t="shared" si="9"/>
        <v>40207.034605623543</v>
      </c>
      <c r="W30" s="405">
        <v>1</v>
      </c>
      <c r="X30" s="403">
        <f t="shared" si="10"/>
        <v>40207.034605623543</v>
      </c>
      <c r="Y30" s="403">
        <f t="shared" si="16"/>
        <v>40207.034605623543</v>
      </c>
      <c r="Z30" s="403">
        <f t="shared" si="17"/>
        <v>10051.758651405886</v>
      </c>
      <c r="AA30" s="403">
        <f t="shared" si="11"/>
        <v>110.25</v>
      </c>
      <c r="AB30" s="403">
        <f t="shared" si="12"/>
        <v>122</v>
      </c>
      <c r="AC30" s="403">
        <f t="shared" si="13"/>
        <v>117.25</v>
      </c>
      <c r="AD30" s="403">
        <f t="shared" si="14"/>
        <v>121</v>
      </c>
      <c r="AE30" s="403">
        <f t="shared" si="15"/>
        <v>-8.3333333333333329E-2</v>
      </c>
      <c r="AF30" s="403">
        <f t="shared" si="18"/>
        <v>56641.206742970571</v>
      </c>
    </row>
    <row r="31" spans="1:32">
      <c r="A31" s="855"/>
      <c r="B31" s="793" t="s">
        <v>715</v>
      </c>
      <c r="C31" s="793">
        <v>2010</v>
      </c>
      <c r="D31" s="793">
        <f t="shared" si="0"/>
        <v>110</v>
      </c>
      <c r="E31" s="793">
        <v>9</v>
      </c>
      <c r="F31" s="794">
        <v>0.2</v>
      </c>
      <c r="G31" s="795" t="s">
        <v>170</v>
      </c>
      <c r="H31" s="793">
        <v>7</v>
      </c>
      <c r="I31" s="793">
        <f t="shared" si="1"/>
        <v>117</v>
      </c>
      <c r="J31" s="793"/>
      <c r="K31" s="793"/>
      <c r="L31" s="796">
        <v>187309</v>
      </c>
      <c r="M31" s="796">
        <v>0</v>
      </c>
      <c r="N31" s="796">
        <f t="shared" si="2"/>
        <v>149847.20000000001</v>
      </c>
      <c r="O31" s="403">
        <f t="shared" si="3"/>
        <v>1783.895238095238</v>
      </c>
      <c r="P31" s="403">
        <f t="shared" si="4"/>
        <v>0</v>
      </c>
      <c r="Q31" s="403">
        <f t="shared" si="5"/>
        <v>0</v>
      </c>
      <c r="R31" s="403">
        <f t="shared" si="6"/>
        <v>0</v>
      </c>
      <c r="S31" s="405">
        <f>+'WP -11 Non-Regulated'!$K$29</f>
        <v>0.47014773860644926</v>
      </c>
      <c r="T31" s="403">
        <f t="shared" si="7"/>
        <v>0</v>
      </c>
      <c r="U31" s="403">
        <f t="shared" si="8"/>
        <v>149847.20000000001</v>
      </c>
      <c r="V31" s="403">
        <f t="shared" si="9"/>
        <v>70450.322216508328</v>
      </c>
      <c r="W31" s="405">
        <v>1</v>
      </c>
      <c r="X31" s="403">
        <f t="shared" si="10"/>
        <v>70450.322216508328</v>
      </c>
      <c r="Y31" s="403">
        <f t="shared" si="16"/>
        <v>70450.322216508328</v>
      </c>
      <c r="Z31" s="403">
        <f t="shared" si="17"/>
        <v>17612.580554127082</v>
      </c>
      <c r="AA31" s="403">
        <f t="shared" si="11"/>
        <v>110.66666666666667</v>
      </c>
      <c r="AB31" s="403">
        <f t="shared" si="12"/>
        <v>122</v>
      </c>
      <c r="AC31" s="403">
        <f t="shared" si="13"/>
        <v>117.66666666666667</v>
      </c>
      <c r="AD31" s="403">
        <f t="shared" si="14"/>
        <v>121</v>
      </c>
      <c r="AE31" s="403">
        <f t="shared" si="15"/>
        <v>-8.3333333333333329E-2</v>
      </c>
      <c r="AF31" s="403">
        <f t="shared" si="18"/>
        <v>99246.09722936459</v>
      </c>
    </row>
    <row r="32" spans="1:32">
      <c r="A32" s="855"/>
      <c r="B32" s="793" t="s">
        <v>715</v>
      </c>
      <c r="C32" s="793">
        <v>2010</v>
      </c>
      <c r="D32" s="793">
        <f t="shared" si="0"/>
        <v>110</v>
      </c>
      <c r="E32" s="793">
        <v>12</v>
      </c>
      <c r="F32" s="794">
        <v>0.2</v>
      </c>
      <c r="G32" s="795" t="s">
        <v>170</v>
      </c>
      <c r="H32" s="793">
        <v>7</v>
      </c>
      <c r="I32" s="793">
        <f t="shared" si="1"/>
        <v>117</v>
      </c>
      <c r="J32" s="793"/>
      <c r="K32" s="793"/>
      <c r="L32" s="796">
        <v>210700</v>
      </c>
      <c r="M32" s="796">
        <v>0</v>
      </c>
      <c r="N32" s="796">
        <f t="shared" si="2"/>
        <v>168560</v>
      </c>
      <c r="O32" s="403">
        <f t="shared" si="3"/>
        <v>2006.6666666666667</v>
      </c>
      <c r="P32" s="403">
        <f t="shared" si="4"/>
        <v>0</v>
      </c>
      <c r="Q32" s="403">
        <f t="shared" si="5"/>
        <v>0</v>
      </c>
      <c r="R32" s="403">
        <f t="shared" si="6"/>
        <v>0</v>
      </c>
      <c r="S32" s="405">
        <f>+'WP -11 Non-Regulated'!$K$29</f>
        <v>0.47014773860644926</v>
      </c>
      <c r="T32" s="403">
        <f t="shared" si="7"/>
        <v>0</v>
      </c>
      <c r="U32" s="403">
        <f t="shared" si="8"/>
        <v>168560</v>
      </c>
      <c r="V32" s="403">
        <f t="shared" si="9"/>
        <v>79248.102819503081</v>
      </c>
      <c r="W32" s="405">
        <v>1</v>
      </c>
      <c r="X32" s="403">
        <f t="shared" si="10"/>
        <v>79248.102819503081</v>
      </c>
      <c r="Y32" s="403">
        <f t="shared" si="16"/>
        <v>79248.102819503081</v>
      </c>
      <c r="Z32" s="403">
        <f t="shared" si="17"/>
        <v>19812.025704875778</v>
      </c>
      <c r="AA32" s="403">
        <f t="shared" si="11"/>
        <v>110.91666666666667</v>
      </c>
      <c r="AB32" s="403">
        <f t="shared" si="12"/>
        <v>122</v>
      </c>
      <c r="AC32" s="403">
        <f t="shared" si="13"/>
        <v>117.91666666666667</v>
      </c>
      <c r="AD32" s="403">
        <f t="shared" si="14"/>
        <v>121</v>
      </c>
      <c r="AE32" s="403">
        <f t="shared" si="15"/>
        <v>-8.3333333333333329E-2</v>
      </c>
      <c r="AF32" s="403">
        <f t="shared" si="18"/>
        <v>111639.87147562114</v>
      </c>
    </row>
    <row r="33" spans="1:32">
      <c r="A33" s="855"/>
      <c r="B33" s="793" t="s">
        <v>715</v>
      </c>
      <c r="C33" s="793">
        <v>2011</v>
      </c>
      <c r="D33" s="793">
        <f t="shared" si="0"/>
        <v>111</v>
      </c>
      <c r="E33" s="793">
        <v>4</v>
      </c>
      <c r="F33" s="794">
        <v>0.2</v>
      </c>
      <c r="G33" s="795" t="s">
        <v>170</v>
      </c>
      <c r="H33" s="793">
        <v>7</v>
      </c>
      <c r="I33" s="793">
        <f t="shared" si="1"/>
        <v>118</v>
      </c>
      <c r="J33" s="793"/>
      <c r="K33" s="793"/>
      <c r="L33" s="796">
        <v>207019</v>
      </c>
      <c r="M33" s="796">
        <v>0</v>
      </c>
      <c r="N33" s="796">
        <f t="shared" si="2"/>
        <v>165615.20000000001</v>
      </c>
      <c r="O33" s="403">
        <f t="shared" si="3"/>
        <v>1971.609523809524</v>
      </c>
      <c r="P33" s="403">
        <f t="shared" si="4"/>
        <v>0</v>
      </c>
      <c r="Q33" s="403">
        <f t="shared" si="5"/>
        <v>0</v>
      </c>
      <c r="R33" s="403">
        <f t="shared" si="6"/>
        <v>0</v>
      </c>
      <c r="S33" s="405">
        <f>+'WP -11 Non-Regulated'!$K$29</f>
        <v>0.47014773860644926</v>
      </c>
      <c r="T33" s="403">
        <f t="shared" si="7"/>
        <v>0</v>
      </c>
      <c r="U33" s="403">
        <f t="shared" si="8"/>
        <v>165615.20000000001</v>
      </c>
      <c r="V33" s="403">
        <f t="shared" si="9"/>
        <v>77863.611758854822</v>
      </c>
      <c r="W33" s="405">
        <v>1</v>
      </c>
      <c r="X33" s="403">
        <f t="shared" si="10"/>
        <v>77863.611758854822</v>
      </c>
      <c r="Y33" s="403">
        <f t="shared" si="16"/>
        <v>77863.611758854822</v>
      </c>
      <c r="Z33" s="403">
        <f t="shared" si="17"/>
        <v>19465.902939713691</v>
      </c>
      <c r="AA33" s="403">
        <f t="shared" si="11"/>
        <v>111.25</v>
      </c>
      <c r="AB33" s="403">
        <f t="shared" si="12"/>
        <v>122</v>
      </c>
      <c r="AC33" s="403">
        <f t="shared" si="13"/>
        <v>118.25</v>
      </c>
      <c r="AD33" s="403">
        <f t="shared" si="14"/>
        <v>121</v>
      </c>
      <c r="AE33" s="403">
        <f t="shared" si="15"/>
        <v>-8.3333333333333329E-2</v>
      </c>
      <c r="AF33" s="403">
        <f t="shared" si="18"/>
        <v>109689.48530143149</v>
      </c>
    </row>
    <row r="34" spans="1:32">
      <c r="A34" s="855"/>
      <c r="B34" s="793" t="s">
        <v>714</v>
      </c>
      <c r="C34" s="793">
        <v>2011</v>
      </c>
      <c r="D34" s="793">
        <f t="shared" si="0"/>
        <v>111</v>
      </c>
      <c r="E34" s="793">
        <v>6</v>
      </c>
      <c r="F34" s="794">
        <v>0.2</v>
      </c>
      <c r="G34" s="795" t="s">
        <v>170</v>
      </c>
      <c r="H34" s="793">
        <v>7</v>
      </c>
      <c r="I34" s="793">
        <f t="shared" si="1"/>
        <v>118</v>
      </c>
      <c r="J34" s="793"/>
      <c r="K34" s="793"/>
      <c r="L34" s="796">
        <v>146137</v>
      </c>
      <c r="M34" s="796">
        <v>0</v>
      </c>
      <c r="N34" s="796">
        <f t="shared" si="2"/>
        <v>116909.6</v>
      </c>
      <c r="O34" s="403">
        <f t="shared" si="3"/>
        <v>1391.7809523809526</v>
      </c>
      <c r="P34" s="403">
        <f t="shared" si="4"/>
        <v>0</v>
      </c>
      <c r="Q34" s="403">
        <f t="shared" si="5"/>
        <v>0</v>
      </c>
      <c r="R34" s="403">
        <f t="shared" si="6"/>
        <v>0</v>
      </c>
      <c r="S34" s="405">
        <f>+'WP -11 Non-Regulated'!$K$29</f>
        <v>0.47014773860644926</v>
      </c>
      <c r="T34" s="403">
        <f t="shared" si="7"/>
        <v>0</v>
      </c>
      <c r="U34" s="403">
        <f t="shared" si="8"/>
        <v>116909.6</v>
      </c>
      <c r="V34" s="403">
        <f t="shared" si="9"/>
        <v>54964.78406138454</v>
      </c>
      <c r="W34" s="405">
        <v>1</v>
      </c>
      <c r="X34" s="403">
        <f t="shared" si="10"/>
        <v>54964.78406138454</v>
      </c>
      <c r="Y34" s="403">
        <f t="shared" si="16"/>
        <v>54964.78406138454</v>
      </c>
      <c r="Z34" s="403">
        <f t="shared" si="17"/>
        <v>13741.196015346133</v>
      </c>
      <c r="AA34" s="403">
        <f t="shared" si="11"/>
        <v>111.41666666666667</v>
      </c>
      <c r="AB34" s="403">
        <f t="shared" si="12"/>
        <v>122</v>
      </c>
      <c r="AC34" s="403">
        <f t="shared" si="13"/>
        <v>118.41666666666667</v>
      </c>
      <c r="AD34" s="403">
        <f t="shared" si="14"/>
        <v>121</v>
      </c>
      <c r="AE34" s="403">
        <f t="shared" si="15"/>
        <v>-8.3333333333333329E-2</v>
      </c>
      <c r="AF34" s="403">
        <f t="shared" si="18"/>
        <v>77431.019923269341</v>
      </c>
    </row>
    <row r="35" spans="1:32">
      <c r="B35" s="317" t="s">
        <v>713</v>
      </c>
      <c r="C35" s="317">
        <v>2012</v>
      </c>
      <c r="D35" s="317">
        <f t="shared" si="0"/>
        <v>112</v>
      </c>
      <c r="E35" s="317">
        <v>4</v>
      </c>
      <c r="F35" s="404">
        <v>0</v>
      </c>
      <c r="G35" s="396" t="s">
        <v>170</v>
      </c>
      <c r="H35" s="317">
        <v>7</v>
      </c>
      <c r="I35" s="317">
        <f t="shared" si="1"/>
        <v>119</v>
      </c>
      <c r="L35" s="403">
        <v>220725</v>
      </c>
      <c r="M35" s="403">
        <v>0</v>
      </c>
      <c r="N35" s="403">
        <f t="shared" si="2"/>
        <v>220725</v>
      </c>
      <c r="O35" s="403">
        <f t="shared" si="3"/>
        <v>2627.6785714285716</v>
      </c>
      <c r="P35" s="403">
        <f t="shared" si="4"/>
        <v>0</v>
      </c>
      <c r="Q35" s="403">
        <f t="shared" si="5"/>
        <v>0</v>
      </c>
      <c r="R35" s="403">
        <f t="shared" si="6"/>
        <v>0</v>
      </c>
      <c r="S35" s="405">
        <f>+'WP -11 Non-Regulated'!$K$29</f>
        <v>0.47014773860644926</v>
      </c>
      <c r="T35" s="403">
        <f t="shared" si="7"/>
        <v>0</v>
      </c>
      <c r="U35" s="403">
        <f t="shared" si="8"/>
        <v>220725</v>
      </c>
      <c r="V35" s="403">
        <f t="shared" si="9"/>
        <v>103773.35960390851</v>
      </c>
      <c r="W35" s="405">
        <v>1</v>
      </c>
      <c r="X35" s="403">
        <f t="shared" si="10"/>
        <v>103773.35960390851</v>
      </c>
      <c r="Y35" s="403">
        <f t="shared" si="16"/>
        <v>103773.35960390851</v>
      </c>
      <c r="Z35" s="403">
        <f t="shared" si="17"/>
        <v>0</v>
      </c>
      <c r="AA35" s="403">
        <f t="shared" si="11"/>
        <v>112.25</v>
      </c>
      <c r="AB35" s="403">
        <f t="shared" si="12"/>
        <v>122</v>
      </c>
      <c r="AC35" s="403">
        <f t="shared" si="13"/>
        <v>119.25</v>
      </c>
      <c r="AD35" s="403">
        <f t="shared" si="14"/>
        <v>121</v>
      </c>
      <c r="AE35" s="403">
        <f t="shared" si="15"/>
        <v>-8.3333333333333329E-2</v>
      </c>
      <c r="AF35" s="403">
        <f t="shared" si="18"/>
        <v>116951.64039609149</v>
      </c>
    </row>
    <row r="36" spans="1:32">
      <c r="B36" s="317" t="s">
        <v>712</v>
      </c>
      <c r="C36" s="317">
        <v>2012</v>
      </c>
      <c r="D36" s="317">
        <f t="shared" si="0"/>
        <v>112</v>
      </c>
      <c r="E36" s="317">
        <v>8</v>
      </c>
      <c r="F36" s="404">
        <v>0</v>
      </c>
      <c r="G36" s="396" t="s">
        <v>170</v>
      </c>
      <c r="H36" s="317">
        <v>7</v>
      </c>
      <c r="I36" s="317">
        <f t="shared" si="1"/>
        <v>119</v>
      </c>
      <c r="L36" s="403">
        <v>243414</v>
      </c>
      <c r="M36" s="403">
        <v>0</v>
      </c>
      <c r="N36" s="403">
        <f t="shared" si="2"/>
        <v>243414</v>
      </c>
      <c r="O36" s="403">
        <f t="shared" si="3"/>
        <v>2897.7857142857142</v>
      </c>
      <c r="P36" s="403">
        <f t="shared" si="4"/>
        <v>0</v>
      </c>
      <c r="Q36" s="403">
        <f t="shared" si="5"/>
        <v>0</v>
      </c>
      <c r="R36" s="403">
        <f t="shared" si="6"/>
        <v>0</v>
      </c>
      <c r="S36" s="405">
        <f>+'WP -11 Non-Regulated'!$K$29</f>
        <v>0.47014773860644926</v>
      </c>
      <c r="T36" s="403">
        <f t="shared" si="7"/>
        <v>0</v>
      </c>
      <c r="U36" s="403">
        <f t="shared" si="8"/>
        <v>243414</v>
      </c>
      <c r="V36" s="403">
        <f t="shared" si="9"/>
        <v>114440.54164515024</v>
      </c>
      <c r="W36" s="405">
        <v>1</v>
      </c>
      <c r="X36" s="403">
        <f t="shared" si="10"/>
        <v>114440.54164515024</v>
      </c>
      <c r="Y36" s="403">
        <f t="shared" si="16"/>
        <v>114440.54164515024</v>
      </c>
      <c r="Z36" s="403">
        <f t="shared" si="17"/>
        <v>0</v>
      </c>
      <c r="AA36" s="403">
        <f t="shared" si="11"/>
        <v>112.58333333333333</v>
      </c>
      <c r="AB36" s="403">
        <f t="shared" si="12"/>
        <v>122</v>
      </c>
      <c r="AC36" s="403">
        <f t="shared" si="13"/>
        <v>119.58333333333333</v>
      </c>
      <c r="AD36" s="403">
        <f t="shared" si="14"/>
        <v>121</v>
      </c>
      <c r="AE36" s="403">
        <f t="shared" si="15"/>
        <v>-8.3333333333333329E-2</v>
      </c>
      <c r="AF36" s="403">
        <f t="shared" si="18"/>
        <v>128973.45835484976</v>
      </c>
    </row>
    <row r="37" spans="1:32">
      <c r="B37" s="317" t="s">
        <v>712</v>
      </c>
      <c r="C37" s="317">
        <v>2012</v>
      </c>
      <c r="D37" s="317">
        <f t="shared" si="0"/>
        <v>112</v>
      </c>
      <c r="E37" s="317">
        <v>8</v>
      </c>
      <c r="F37" s="404">
        <v>0</v>
      </c>
      <c r="G37" s="396" t="s">
        <v>170</v>
      </c>
      <c r="H37" s="317">
        <v>7</v>
      </c>
      <c r="I37" s="317">
        <f t="shared" si="1"/>
        <v>119</v>
      </c>
      <c r="L37" s="403">
        <v>217257</v>
      </c>
      <c r="M37" s="403">
        <v>0</v>
      </c>
      <c r="N37" s="403">
        <f t="shared" si="2"/>
        <v>217257</v>
      </c>
      <c r="O37" s="403">
        <f t="shared" si="3"/>
        <v>2586.3928571428573</v>
      </c>
      <c r="P37" s="403">
        <f t="shared" si="4"/>
        <v>0</v>
      </c>
      <c r="Q37" s="403">
        <f t="shared" si="5"/>
        <v>0</v>
      </c>
      <c r="R37" s="403">
        <f t="shared" si="6"/>
        <v>0</v>
      </c>
      <c r="S37" s="405">
        <f>+'WP -11 Non-Regulated'!$K$29</f>
        <v>0.47014773860644926</v>
      </c>
      <c r="T37" s="403">
        <f t="shared" si="7"/>
        <v>0</v>
      </c>
      <c r="U37" s="403">
        <f t="shared" si="8"/>
        <v>217257</v>
      </c>
      <c r="V37" s="403">
        <f t="shared" si="9"/>
        <v>102142.88724642135</v>
      </c>
      <c r="W37" s="405">
        <v>1</v>
      </c>
      <c r="X37" s="403">
        <f t="shared" si="10"/>
        <v>102142.88724642135</v>
      </c>
      <c r="Y37" s="403">
        <f t="shared" si="16"/>
        <v>102142.88724642135</v>
      </c>
      <c r="Z37" s="403">
        <f t="shared" si="17"/>
        <v>0</v>
      </c>
      <c r="AA37" s="403">
        <f t="shared" si="11"/>
        <v>112.58333333333333</v>
      </c>
      <c r="AB37" s="403">
        <f t="shared" si="12"/>
        <v>122</v>
      </c>
      <c r="AC37" s="403">
        <f t="shared" si="13"/>
        <v>119.58333333333333</v>
      </c>
      <c r="AD37" s="403">
        <f t="shared" si="14"/>
        <v>121</v>
      </c>
      <c r="AE37" s="403">
        <f t="shared" si="15"/>
        <v>-8.3333333333333329E-2</v>
      </c>
      <c r="AF37" s="403">
        <f t="shared" si="18"/>
        <v>115114.11275357865</v>
      </c>
    </row>
    <row r="38" spans="1:32">
      <c r="B38" s="317" t="s">
        <v>713</v>
      </c>
      <c r="C38" s="317">
        <v>2012</v>
      </c>
      <c r="D38" s="317">
        <f t="shared" si="0"/>
        <v>112</v>
      </c>
      <c r="E38" s="317">
        <v>10</v>
      </c>
      <c r="F38" s="404">
        <v>0</v>
      </c>
      <c r="G38" s="396" t="s">
        <v>170</v>
      </c>
      <c r="H38" s="317">
        <v>7</v>
      </c>
      <c r="I38" s="317">
        <f t="shared" si="1"/>
        <v>119</v>
      </c>
      <c r="L38" s="403">
        <v>236587</v>
      </c>
      <c r="M38" s="403">
        <v>0</v>
      </c>
      <c r="N38" s="403">
        <f t="shared" si="2"/>
        <v>236587</v>
      </c>
      <c r="O38" s="403">
        <f t="shared" si="3"/>
        <v>2816.5119047619046</v>
      </c>
      <c r="P38" s="403">
        <f t="shared" si="4"/>
        <v>0</v>
      </c>
      <c r="Q38" s="403">
        <f t="shared" si="5"/>
        <v>0</v>
      </c>
      <c r="R38" s="403">
        <f t="shared" si="6"/>
        <v>0</v>
      </c>
      <c r="S38" s="405">
        <f>+'WP -11 Non-Regulated'!$K$29</f>
        <v>0.47014773860644926</v>
      </c>
      <c r="T38" s="403">
        <f t="shared" si="7"/>
        <v>0</v>
      </c>
      <c r="U38" s="403">
        <f t="shared" si="8"/>
        <v>236587</v>
      </c>
      <c r="V38" s="403">
        <f t="shared" si="9"/>
        <v>111230.84303368401</v>
      </c>
      <c r="W38" s="405">
        <v>1</v>
      </c>
      <c r="X38" s="403">
        <f t="shared" si="10"/>
        <v>111230.84303368401</v>
      </c>
      <c r="Y38" s="403">
        <f t="shared" si="16"/>
        <v>111230.84303368401</v>
      </c>
      <c r="Z38" s="403">
        <f t="shared" si="17"/>
        <v>0</v>
      </c>
      <c r="AA38" s="403">
        <f t="shared" si="11"/>
        <v>112.75</v>
      </c>
      <c r="AB38" s="403">
        <f t="shared" si="12"/>
        <v>122</v>
      </c>
      <c r="AC38" s="403">
        <f t="shared" si="13"/>
        <v>119.75</v>
      </c>
      <c r="AD38" s="403">
        <f t="shared" si="14"/>
        <v>121</v>
      </c>
      <c r="AE38" s="403">
        <f t="shared" si="15"/>
        <v>-8.3333333333333329E-2</v>
      </c>
      <c r="AF38" s="403">
        <f t="shared" si="18"/>
        <v>125356.15696631599</v>
      </c>
    </row>
    <row r="39" spans="1:32">
      <c r="B39" s="317" t="s">
        <v>712</v>
      </c>
      <c r="C39" s="317">
        <v>2013</v>
      </c>
      <c r="D39" s="317">
        <f t="shared" si="0"/>
        <v>113</v>
      </c>
      <c r="E39" s="317">
        <v>8</v>
      </c>
      <c r="F39" s="404">
        <v>0</v>
      </c>
      <c r="G39" s="396" t="s">
        <v>170</v>
      </c>
      <c r="H39" s="317">
        <v>7</v>
      </c>
      <c r="I39" s="317">
        <f t="shared" si="1"/>
        <v>120</v>
      </c>
      <c r="L39" s="403">
        <v>220833</v>
      </c>
      <c r="M39" s="403">
        <v>0</v>
      </c>
      <c r="N39" s="403">
        <f t="shared" si="2"/>
        <v>220833</v>
      </c>
      <c r="O39" s="403">
        <f t="shared" si="3"/>
        <v>2628.9642857142858</v>
      </c>
      <c r="P39" s="403">
        <f t="shared" si="4"/>
        <v>0</v>
      </c>
      <c r="Q39" s="403">
        <f t="shared" si="5"/>
        <v>0</v>
      </c>
      <c r="R39" s="403">
        <f t="shared" si="6"/>
        <v>0</v>
      </c>
      <c r="S39" s="405">
        <f>+'WP -11 Non-Regulated'!$K$29</f>
        <v>0.47014773860644926</v>
      </c>
      <c r="T39" s="403">
        <f t="shared" si="7"/>
        <v>0</v>
      </c>
      <c r="U39" s="403">
        <f t="shared" si="8"/>
        <v>220833</v>
      </c>
      <c r="V39" s="403">
        <f t="shared" si="9"/>
        <v>103824.135559678</v>
      </c>
      <c r="W39" s="405">
        <v>1</v>
      </c>
      <c r="X39" s="403">
        <f t="shared" si="10"/>
        <v>103824.135559678</v>
      </c>
      <c r="Y39" s="403">
        <f t="shared" si="16"/>
        <v>103824.135559678</v>
      </c>
      <c r="Z39" s="403">
        <f t="shared" si="17"/>
        <v>0</v>
      </c>
      <c r="AA39" s="403">
        <f t="shared" si="11"/>
        <v>113.58333333333333</v>
      </c>
      <c r="AB39" s="403">
        <f t="shared" si="12"/>
        <v>122</v>
      </c>
      <c r="AC39" s="403">
        <f t="shared" si="13"/>
        <v>120.58333333333333</v>
      </c>
      <c r="AD39" s="403">
        <f t="shared" si="14"/>
        <v>121</v>
      </c>
      <c r="AE39" s="403">
        <f t="shared" si="15"/>
        <v>-8.3333333333333329E-2</v>
      </c>
      <c r="AF39" s="403">
        <f t="shared" si="18"/>
        <v>117008.864440322</v>
      </c>
    </row>
    <row r="40" spans="1:32">
      <c r="B40" s="317" t="s">
        <v>713</v>
      </c>
      <c r="C40" s="317">
        <v>2014</v>
      </c>
      <c r="D40" s="317">
        <f t="shared" si="0"/>
        <v>114</v>
      </c>
      <c r="E40" s="317">
        <v>1</v>
      </c>
      <c r="F40" s="404">
        <v>0</v>
      </c>
      <c r="G40" s="396" t="s">
        <v>170</v>
      </c>
      <c r="H40" s="317">
        <v>7</v>
      </c>
      <c r="I40" s="317">
        <f t="shared" si="1"/>
        <v>121</v>
      </c>
      <c r="L40" s="403">
        <v>232258</v>
      </c>
      <c r="M40" s="403">
        <v>0</v>
      </c>
      <c r="N40" s="403">
        <f t="shared" si="2"/>
        <v>232258</v>
      </c>
      <c r="O40" s="403">
        <f t="shared" si="3"/>
        <v>2764.9761904761904</v>
      </c>
      <c r="P40" s="403">
        <f t="shared" si="4"/>
        <v>0</v>
      </c>
      <c r="Q40" s="403">
        <f t="shared" si="5"/>
        <v>0</v>
      </c>
      <c r="R40" s="403">
        <f t="shared" si="6"/>
        <v>0</v>
      </c>
      <c r="S40" s="405">
        <f>+'WP -11 Non-Regulated'!$K$29</f>
        <v>0.47014773860644926</v>
      </c>
      <c r="T40" s="403">
        <f t="shared" si="7"/>
        <v>0</v>
      </c>
      <c r="U40" s="403">
        <f t="shared" si="8"/>
        <v>232258</v>
      </c>
      <c r="V40" s="403">
        <f t="shared" si="9"/>
        <v>109195.57347325669</v>
      </c>
      <c r="W40" s="405">
        <v>1</v>
      </c>
      <c r="X40" s="403">
        <f t="shared" si="10"/>
        <v>109195.57347325669</v>
      </c>
      <c r="Y40" s="403">
        <f t="shared" si="16"/>
        <v>109195.57347325669</v>
      </c>
      <c r="Z40" s="403">
        <f t="shared" si="17"/>
        <v>0</v>
      </c>
      <c r="AA40" s="403">
        <f t="shared" si="11"/>
        <v>114</v>
      </c>
      <c r="AB40" s="403">
        <f t="shared" si="12"/>
        <v>122</v>
      </c>
      <c r="AC40" s="403">
        <f t="shared" si="13"/>
        <v>121</v>
      </c>
      <c r="AD40" s="403">
        <f t="shared" si="14"/>
        <v>121</v>
      </c>
      <c r="AE40" s="403">
        <f t="shared" si="15"/>
        <v>-8.3333333333333329E-2</v>
      </c>
      <c r="AF40" s="403">
        <f t="shared" si="18"/>
        <v>123062.42652674331</v>
      </c>
    </row>
    <row r="41" spans="1:32">
      <c r="B41" s="317" t="s">
        <v>712</v>
      </c>
      <c r="C41" s="317">
        <v>2014</v>
      </c>
      <c r="D41" s="317">
        <f t="shared" si="0"/>
        <v>114</v>
      </c>
      <c r="E41" s="317">
        <v>9</v>
      </c>
      <c r="F41" s="404">
        <v>0</v>
      </c>
      <c r="G41" s="396" t="s">
        <v>170</v>
      </c>
      <c r="H41" s="317">
        <v>7</v>
      </c>
      <c r="I41" s="317">
        <f t="shared" si="1"/>
        <v>121</v>
      </c>
      <c r="L41" s="403">
        <v>246244</v>
      </c>
      <c r="M41" s="403">
        <v>0</v>
      </c>
      <c r="N41" s="403">
        <f t="shared" si="2"/>
        <v>246244</v>
      </c>
      <c r="O41" s="403">
        <f t="shared" si="3"/>
        <v>2931.4761904761904</v>
      </c>
      <c r="P41" s="403">
        <f t="shared" si="4"/>
        <v>23451.80952380969</v>
      </c>
      <c r="Q41" s="403">
        <f t="shared" si="5"/>
        <v>0</v>
      </c>
      <c r="R41" s="403">
        <f t="shared" si="6"/>
        <v>23451.80952380969</v>
      </c>
      <c r="S41" s="405">
        <f>+'WP -11 Non-Regulated'!$K$29</f>
        <v>0.47014773860644926</v>
      </c>
      <c r="T41" s="403">
        <f t="shared" si="7"/>
        <v>11025.815213848316</v>
      </c>
      <c r="U41" s="403">
        <f t="shared" si="8"/>
        <v>222792.1904761903</v>
      </c>
      <c r="V41" s="403">
        <f t="shared" si="9"/>
        <v>104745.24453155817</v>
      </c>
      <c r="W41" s="405">
        <v>1</v>
      </c>
      <c r="X41" s="403">
        <f t="shared" si="10"/>
        <v>104745.24453155817</v>
      </c>
      <c r="Y41" s="403">
        <f t="shared" si="16"/>
        <v>115771.05974540648</v>
      </c>
      <c r="Z41" s="403">
        <f t="shared" si="17"/>
        <v>5512.907606924171</v>
      </c>
      <c r="AA41" s="403">
        <f t="shared" si="11"/>
        <v>114.66666666666667</v>
      </c>
      <c r="AB41" s="403">
        <f t="shared" si="12"/>
        <v>122</v>
      </c>
      <c r="AC41" s="403">
        <f t="shared" si="13"/>
        <v>121.66666666666667</v>
      </c>
      <c r="AD41" s="403">
        <f t="shared" si="14"/>
        <v>121</v>
      </c>
      <c r="AE41" s="403">
        <f t="shared" si="15"/>
        <v>-8.3333333333333329E-2</v>
      </c>
      <c r="AF41" s="403">
        <f t="shared" si="18"/>
        <v>130472.94025459352</v>
      </c>
    </row>
    <row r="42" spans="1:32">
      <c r="B42" s="406" t="s">
        <v>760</v>
      </c>
      <c r="C42" s="317">
        <v>2015</v>
      </c>
      <c r="D42" s="317">
        <f t="shared" si="0"/>
        <v>115</v>
      </c>
      <c r="E42" s="317">
        <v>11</v>
      </c>
      <c r="F42" s="404">
        <v>0</v>
      </c>
      <c r="G42" s="396" t="s">
        <v>170</v>
      </c>
      <c r="H42" s="317">
        <v>7</v>
      </c>
      <c r="I42" s="317">
        <f t="shared" si="1"/>
        <v>122</v>
      </c>
      <c r="L42" s="403">
        <v>100315</v>
      </c>
      <c r="M42" s="403"/>
      <c r="N42" s="403">
        <f t="shared" si="2"/>
        <v>100315</v>
      </c>
      <c r="O42" s="403">
        <f t="shared" si="3"/>
        <v>1194.2261904761906</v>
      </c>
      <c r="P42" s="403">
        <f t="shared" si="4"/>
        <v>14330.714285714286</v>
      </c>
      <c r="Q42" s="403">
        <f t="shared" si="5"/>
        <v>0</v>
      </c>
      <c r="R42" s="403">
        <f t="shared" si="6"/>
        <v>14330.714285714286</v>
      </c>
      <c r="S42" s="405">
        <f>+'WP -11 Non-Regulated'!$K$29</f>
        <v>0.47014773860644926</v>
      </c>
      <c r="T42" s="403">
        <f t="shared" si="7"/>
        <v>6737.5529140437084</v>
      </c>
      <c r="U42" s="403">
        <f t="shared" si="8"/>
        <v>74042.023809523889</v>
      </c>
      <c r="V42" s="403">
        <f t="shared" si="9"/>
        <v>34810.690055892534</v>
      </c>
      <c r="W42" s="405">
        <v>1</v>
      </c>
      <c r="X42" s="403">
        <f t="shared" si="10"/>
        <v>34810.690055892534</v>
      </c>
      <c r="Y42" s="403">
        <f t="shared" si="16"/>
        <v>41548.24296993624</v>
      </c>
      <c r="Z42" s="403">
        <f t="shared" si="17"/>
        <v>8983.4038853915736</v>
      </c>
      <c r="AA42" s="403">
        <f t="shared" si="11"/>
        <v>115.83333333333333</v>
      </c>
      <c r="AB42" s="403">
        <f t="shared" si="12"/>
        <v>122</v>
      </c>
      <c r="AC42" s="403">
        <f t="shared" si="13"/>
        <v>122.83333333333333</v>
      </c>
      <c r="AD42" s="403">
        <f t="shared" si="14"/>
        <v>121</v>
      </c>
      <c r="AE42" s="403">
        <f t="shared" si="15"/>
        <v>-8.3333333333333329E-2</v>
      </c>
      <c r="AF42" s="403"/>
    </row>
    <row r="43" spans="1:32">
      <c r="B43" s="406" t="s">
        <v>760</v>
      </c>
      <c r="C43" s="317">
        <v>2015</v>
      </c>
      <c r="D43" s="317">
        <f t="shared" si="0"/>
        <v>115</v>
      </c>
      <c r="E43" s="317">
        <v>11</v>
      </c>
      <c r="F43" s="404">
        <v>0</v>
      </c>
      <c r="G43" s="396" t="s">
        <v>170</v>
      </c>
      <c r="H43" s="317">
        <v>7</v>
      </c>
      <c r="I43" s="317">
        <f t="shared" si="1"/>
        <v>122</v>
      </c>
      <c r="L43" s="403">
        <v>100315</v>
      </c>
      <c r="M43" s="403"/>
      <c r="N43" s="403">
        <f t="shared" si="2"/>
        <v>100315</v>
      </c>
      <c r="O43" s="403">
        <f t="shared" si="3"/>
        <v>1194.2261904761906</v>
      </c>
      <c r="P43" s="403">
        <f t="shared" si="4"/>
        <v>14330.714285714286</v>
      </c>
      <c r="Q43" s="403">
        <f t="shared" si="5"/>
        <v>0</v>
      </c>
      <c r="R43" s="403">
        <f t="shared" si="6"/>
        <v>14330.714285714286</v>
      </c>
      <c r="S43" s="405">
        <f>+'WP -11 Non-Regulated'!$K$29</f>
        <v>0.47014773860644926</v>
      </c>
      <c r="T43" s="403">
        <f t="shared" si="7"/>
        <v>6737.5529140437084</v>
      </c>
      <c r="U43" s="403">
        <f t="shared" si="8"/>
        <v>74042.023809523889</v>
      </c>
      <c r="V43" s="403">
        <f t="shared" si="9"/>
        <v>34810.690055892534</v>
      </c>
      <c r="W43" s="405">
        <v>1</v>
      </c>
      <c r="X43" s="403">
        <f t="shared" si="10"/>
        <v>34810.690055892534</v>
      </c>
      <c r="Y43" s="403">
        <f t="shared" si="16"/>
        <v>41548.24296993624</v>
      </c>
      <c r="Z43" s="403">
        <f t="shared" si="17"/>
        <v>8983.4038853915736</v>
      </c>
      <c r="AA43" s="403">
        <f t="shared" si="11"/>
        <v>115.83333333333333</v>
      </c>
      <c r="AB43" s="403">
        <f t="shared" si="12"/>
        <v>122</v>
      </c>
      <c r="AC43" s="403">
        <f t="shared" si="13"/>
        <v>122.83333333333333</v>
      </c>
      <c r="AD43" s="403">
        <f t="shared" si="14"/>
        <v>121</v>
      </c>
      <c r="AE43" s="403">
        <f t="shared" si="15"/>
        <v>-8.3333333333333329E-2</v>
      </c>
      <c r="AF43" s="403"/>
    </row>
    <row r="44" spans="1:32">
      <c r="B44" s="317" t="s">
        <v>712</v>
      </c>
      <c r="C44" s="317">
        <v>2015</v>
      </c>
      <c r="D44" s="317">
        <f t="shared" si="0"/>
        <v>115</v>
      </c>
      <c r="E44" s="317">
        <v>7</v>
      </c>
      <c r="F44" s="404">
        <v>0</v>
      </c>
      <c r="G44" s="396" t="s">
        <v>170</v>
      </c>
      <c r="H44" s="317">
        <v>7</v>
      </c>
      <c r="I44" s="317">
        <f t="shared" si="1"/>
        <v>122</v>
      </c>
      <c r="L44" s="403">
        <v>132207</v>
      </c>
      <c r="M44" s="403">
        <v>0</v>
      </c>
      <c r="N44" s="403">
        <f t="shared" si="2"/>
        <v>132207</v>
      </c>
      <c r="O44" s="403">
        <f t="shared" si="3"/>
        <v>1573.8928571428571</v>
      </c>
      <c r="P44" s="403">
        <f t="shared" si="4"/>
        <v>18886.714285714286</v>
      </c>
      <c r="Q44" s="403">
        <f t="shared" si="5"/>
        <v>0</v>
      </c>
      <c r="R44" s="403">
        <f t="shared" si="6"/>
        <v>18886.714285714286</v>
      </c>
      <c r="S44" s="405">
        <f>+'WP -11 Non-Regulated'!$K$29</f>
        <v>0.47014773860644926</v>
      </c>
      <c r="T44" s="403">
        <f t="shared" si="7"/>
        <v>8879.5460111346911</v>
      </c>
      <c r="U44" s="403">
        <f t="shared" si="8"/>
        <v>103876.92857142857</v>
      </c>
      <c r="V44" s="403">
        <f t="shared" si="9"/>
        <v>48837.503061240801</v>
      </c>
      <c r="W44" s="405">
        <v>1</v>
      </c>
      <c r="X44" s="403">
        <f t="shared" si="10"/>
        <v>48837.503061240801</v>
      </c>
      <c r="Y44" s="403">
        <f t="shared" si="16"/>
        <v>57717.049072375492</v>
      </c>
      <c r="Z44" s="403">
        <f t="shared" si="17"/>
        <v>8879.5460111346911</v>
      </c>
      <c r="AA44" s="403">
        <f t="shared" si="11"/>
        <v>115.5</v>
      </c>
      <c r="AB44" s="403">
        <f t="shared" si="12"/>
        <v>122</v>
      </c>
      <c r="AC44" s="403">
        <f t="shared" si="13"/>
        <v>122.5</v>
      </c>
      <c r="AD44" s="403">
        <f t="shared" si="14"/>
        <v>121</v>
      </c>
      <c r="AE44" s="403">
        <f t="shared" si="15"/>
        <v>-8.3333333333333329E-2</v>
      </c>
      <c r="AF44" s="403">
        <f t="shared" si="18"/>
        <v>70050.177922057163</v>
      </c>
    </row>
    <row r="45" spans="1:32">
      <c r="B45" s="317" t="s">
        <v>711</v>
      </c>
      <c r="C45" s="317">
        <v>2015</v>
      </c>
      <c r="D45" s="317">
        <f t="shared" si="0"/>
        <v>115</v>
      </c>
      <c r="E45" s="317">
        <v>5</v>
      </c>
      <c r="F45" s="404">
        <v>0</v>
      </c>
      <c r="G45" s="396" t="s">
        <v>170</v>
      </c>
      <c r="H45" s="317">
        <v>7</v>
      </c>
      <c r="I45" s="317">
        <f t="shared" si="1"/>
        <v>122</v>
      </c>
      <c r="L45" s="403">
        <v>25121</v>
      </c>
      <c r="M45" s="403">
        <v>0</v>
      </c>
      <c r="N45" s="403">
        <f t="shared" si="2"/>
        <v>25121</v>
      </c>
      <c r="O45" s="403">
        <f t="shared" si="3"/>
        <v>299.0595238095238</v>
      </c>
      <c r="P45" s="403">
        <f t="shared" si="4"/>
        <v>3588.7142857142853</v>
      </c>
      <c r="Q45" s="403">
        <f t="shared" si="5"/>
        <v>0</v>
      </c>
      <c r="R45" s="403">
        <f t="shared" si="6"/>
        <v>3588.7142857142853</v>
      </c>
      <c r="S45" s="405">
        <f>+'WP -11 Non-Regulated'!$K$29</f>
        <v>0.47014773860644926</v>
      </c>
      <c r="T45" s="403">
        <f t="shared" si="7"/>
        <v>1687.22590593323</v>
      </c>
      <c r="U45" s="403">
        <f t="shared" si="8"/>
        <v>20336.047619047637</v>
      </c>
      <c r="V45" s="403">
        <f t="shared" si="9"/>
        <v>9560.9468002883132</v>
      </c>
      <c r="W45" s="405">
        <v>1</v>
      </c>
      <c r="X45" s="403">
        <f t="shared" si="10"/>
        <v>9560.9468002883132</v>
      </c>
      <c r="Y45" s="403">
        <f t="shared" si="16"/>
        <v>11248.172706221543</v>
      </c>
      <c r="Z45" s="403">
        <f t="shared" si="17"/>
        <v>1406.0215882776838</v>
      </c>
      <c r="AA45" s="403">
        <f t="shared" si="11"/>
        <v>115.33333333333333</v>
      </c>
      <c r="AB45" s="403">
        <f t="shared" si="12"/>
        <v>122</v>
      </c>
      <c r="AC45" s="403">
        <f t="shared" si="13"/>
        <v>122.33333333333333</v>
      </c>
      <c r="AD45" s="403">
        <f t="shared" si="14"/>
        <v>121</v>
      </c>
      <c r="AE45" s="403">
        <f t="shared" si="15"/>
        <v>-8.3333333333333329E-2</v>
      </c>
      <c r="AF45" s="403">
        <f t="shared" si="18"/>
        <v>13310.418658467388</v>
      </c>
    </row>
    <row r="46" spans="1:32">
      <c r="B46" s="317" t="s">
        <v>710</v>
      </c>
      <c r="C46" s="317">
        <v>2015</v>
      </c>
      <c r="D46" s="317">
        <f t="shared" si="0"/>
        <v>115</v>
      </c>
      <c r="E46" s="317">
        <v>7</v>
      </c>
      <c r="F46" s="404">
        <v>0</v>
      </c>
      <c r="G46" s="396" t="s">
        <v>170</v>
      </c>
      <c r="H46" s="317">
        <v>7</v>
      </c>
      <c r="I46" s="317">
        <f t="shared" si="1"/>
        <v>122</v>
      </c>
      <c r="L46" s="403">
        <v>125304</v>
      </c>
      <c r="M46" s="403">
        <v>0</v>
      </c>
      <c r="N46" s="403">
        <f t="shared" si="2"/>
        <v>125304</v>
      </c>
      <c r="O46" s="403">
        <f t="shared" si="3"/>
        <v>1491.7142857142856</v>
      </c>
      <c r="P46" s="403">
        <f t="shared" si="4"/>
        <v>17900.571428571428</v>
      </c>
      <c r="Q46" s="403">
        <f t="shared" si="5"/>
        <v>0</v>
      </c>
      <c r="R46" s="403">
        <f t="shared" si="6"/>
        <v>17900.571428571428</v>
      </c>
      <c r="S46" s="405">
        <f>+'WP -11 Non-Regulated'!$K$29</f>
        <v>0.47014773860644926</v>
      </c>
      <c r="T46" s="403">
        <f t="shared" si="7"/>
        <v>8415.9131769060732</v>
      </c>
      <c r="U46" s="403">
        <f t="shared" si="8"/>
        <v>98453.142857142841</v>
      </c>
      <c r="V46" s="403">
        <f t="shared" si="9"/>
        <v>46287.522472983401</v>
      </c>
      <c r="W46" s="405">
        <v>1</v>
      </c>
      <c r="X46" s="403">
        <f t="shared" si="10"/>
        <v>46287.522472983401</v>
      </c>
      <c r="Y46" s="403">
        <f t="shared" si="16"/>
        <v>54703.435649889478</v>
      </c>
      <c r="Z46" s="403">
        <f t="shared" si="17"/>
        <v>8415.9131769060768</v>
      </c>
      <c r="AA46" s="403">
        <f t="shared" si="11"/>
        <v>115.5</v>
      </c>
      <c r="AB46" s="403">
        <f t="shared" si="12"/>
        <v>122</v>
      </c>
      <c r="AC46" s="403">
        <f t="shared" si="13"/>
        <v>122.5</v>
      </c>
      <c r="AD46" s="403">
        <f t="shared" si="14"/>
        <v>121</v>
      </c>
      <c r="AE46" s="403">
        <f t="shared" si="15"/>
        <v>-8.3333333333333329E-2</v>
      </c>
      <c r="AF46" s="403">
        <f t="shared" si="18"/>
        <v>66392.607761657491</v>
      </c>
    </row>
    <row r="47" spans="1:32">
      <c r="B47" s="317" t="s">
        <v>761</v>
      </c>
      <c r="C47" s="317">
        <v>2015</v>
      </c>
      <c r="D47" s="317">
        <f t="shared" si="0"/>
        <v>115</v>
      </c>
      <c r="E47" s="317">
        <v>9</v>
      </c>
      <c r="F47" s="404">
        <v>0</v>
      </c>
      <c r="G47" s="396" t="s">
        <v>170</v>
      </c>
      <c r="H47" s="317">
        <v>7</v>
      </c>
      <c r="I47" s="317">
        <f t="shared" si="1"/>
        <v>122</v>
      </c>
      <c r="L47" s="403">
        <v>108397</v>
      </c>
      <c r="M47" s="403"/>
      <c r="N47" s="403">
        <f t="shared" si="2"/>
        <v>108397</v>
      </c>
      <c r="O47" s="403">
        <f t="shared" si="3"/>
        <v>1290.4404761904761</v>
      </c>
      <c r="P47" s="403">
        <f t="shared" si="4"/>
        <v>15485.285714285714</v>
      </c>
      <c r="Q47" s="403">
        <f t="shared" si="5"/>
        <v>0</v>
      </c>
      <c r="R47" s="403">
        <f t="shared" si="6"/>
        <v>15485.285714285714</v>
      </c>
      <c r="S47" s="405">
        <f>+'WP -11 Non-Regulated'!$K$29</f>
        <v>0.47014773860644926</v>
      </c>
      <c r="T47" s="403">
        <f t="shared" si="7"/>
        <v>7280.3720602461826</v>
      </c>
      <c r="U47" s="403">
        <f t="shared" si="8"/>
        <v>82588.190476190401</v>
      </c>
      <c r="V47" s="403">
        <f t="shared" si="9"/>
        <v>38828.650987979607</v>
      </c>
      <c r="W47" s="405">
        <v>1</v>
      </c>
      <c r="X47" s="403">
        <f t="shared" si="10"/>
        <v>38828.650987979607</v>
      </c>
      <c r="Y47" s="403">
        <f t="shared" si="16"/>
        <v>46109.02304822579</v>
      </c>
      <c r="Z47" s="403">
        <f t="shared" si="17"/>
        <v>8493.767403620579</v>
      </c>
      <c r="AA47" s="403">
        <f t="shared" si="11"/>
        <v>115.66666666666667</v>
      </c>
      <c r="AB47" s="403">
        <f t="shared" si="12"/>
        <v>122</v>
      </c>
      <c r="AC47" s="403">
        <f t="shared" si="13"/>
        <v>122.66666666666667</v>
      </c>
      <c r="AD47" s="403">
        <f t="shared" si="14"/>
        <v>121</v>
      </c>
      <c r="AE47" s="403">
        <f t="shared" si="15"/>
        <v>-8.3333333333333329E-2</v>
      </c>
      <c r="AF47" s="403">
        <f t="shared" si="18"/>
        <v>57434.395578276723</v>
      </c>
    </row>
    <row r="48" spans="1:32">
      <c r="B48" s="317" t="s">
        <v>709</v>
      </c>
      <c r="C48" s="317">
        <v>2015</v>
      </c>
      <c r="D48" s="317">
        <f t="shared" si="0"/>
        <v>115</v>
      </c>
      <c r="E48" s="317">
        <v>6</v>
      </c>
      <c r="F48" s="404">
        <v>0</v>
      </c>
      <c r="G48" s="396" t="s">
        <v>170</v>
      </c>
      <c r="H48" s="317">
        <v>7</v>
      </c>
      <c r="I48" s="317">
        <f t="shared" si="1"/>
        <v>122</v>
      </c>
      <c r="L48" s="403">
        <v>129502</v>
      </c>
      <c r="M48" s="403">
        <v>0</v>
      </c>
      <c r="N48" s="403">
        <f t="shared" si="2"/>
        <v>129502</v>
      </c>
      <c r="O48" s="403">
        <f t="shared" si="3"/>
        <v>1541.6904761904761</v>
      </c>
      <c r="P48" s="403">
        <f>IF(Q48&gt;0,0,IF(OR(AA48&gt;AB48,AC48&lt;AD48),0,IF(AND(AC48&gt;=AD48,AC48&lt;=AB48),O48*((AC48-AD48)*12),IF(AND(AD48&lt;=AA48,AB48&gt;=AA48),((AB48-AA48)*12)*O48,IF(AC48&gt;AB48,12*O48,0)))))</f>
        <v>18500.285714285714</v>
      </c>
      <c r="Q48" s="403">
        <f t="shared" si="5"/>
        <v>0</v>
      </c>
      <c r="R48" s="403">
        <f t="shared" si="6"/>
        <v>18500.285714285714</v>
      </c>
      <c r="S48" s="405">
        <f>+'WP -11 Non-Regulated'!$K$29</f>
        <v>0.47014773860644926</v>
      </c>
      <c r="T48" s="403">
        <f t="shared" si="7"/>
        <v>8697.8674921446272</v>
      </c>
      <c r="U48" s="403">
        <f>IF(AA48&gt;AB48,0,IF(AC48&lt;AD48,N48,IF(AND(AC48&gt;=AD48,AC48&lt;=AB48),(N48-R48),IF(AND(AD48&lt;=AA48,AB48&gt;=AA48),0,IF(AC48&gt;AB48,((AD48-AA48)*12)*O48,0)))))</f>
        <v>103293.26190476182</v>
      </c>
      <c r="V48" s="403">
        <f t="shared" si="9"/>
        <v>48563.093497807466</v>
      </c>
      <c r="W48" s="405">
        <v>1</v>
      </c>
      <c r="X48" s="403">
        <f t="shared" si="10"/>
        <v>48563.093497807466</v>
      </c>
      <c r="Y48" s="403">
        <f t="shared" si="16"/>
        <v>57260.960989952095</v>
      </c>
      <c r="Z48" s="403">
        <f t="shared" si="17"/>
        <v>7973.0452011326088</v>
      </c>
      <c r="AA48" s="403">
        <f t="shared" si="11"/>
        <v>115.41666666666667</v>
      </c>
      <c r="AB48" s="403">
        <f t="shared" si="12"/>
        <v>122</v>
      </c>
      <c r="AC48" s="403">
        <f t="shared" si="13"/>
        <v>122.41666666666667</v>
      </c>
      <c r="AD48" s="403">
        <f t="shared" si="14"/>
        <v>121</v>
      </c>
      <c r="AE48" s="403">
        <f t="shared" si="15"/>
        <v>-8.3333333333333329E-2</v>
      </c>
      <c r="AF48" s="403">
        <f t="shared" si="18"/>
        <v>68616.927554987604</v>
      </c>
    </row>
    <row r="49" spans="2:32">
      <c r="B49" s="317" t="s">
        <v>708</v>
      </c>
      <c r="C49" s="317">
        <v>2015</v>
      </c>
      <c r="D49" s="317">
        <f t="shared" si="0"/>
        <v>115</v>
      </c>
      <c r="E49" s="317">
        <v>7</v>
      </c>
      <c r="F49" s="404">
        <v>0</v>
      </c>
      <c r="G49" s="396" t="s">
        <v>170</v>
      </c>
      <c r="H49" s="317">
        <v>7</v>
      </c>
      <c r="I49" s="317">
        <f t="shared" si="1"/>
        <v>122</v>
      </c>
      <c r="L49" s="403">
        <v>124065</v>
      </c>
      <c r="M49" s="403">
        <v>0</v>
      </c>
      <c r="N49" s="403">
        <f t="shared" si="2"/>
        <v>124065</v>
      </c>
      <c r="O49" s="403">
        <f t="shared" si="3"/>
        <v>1476.9642857142856</v>
      </c>
      <c r="P49" s="403">
        <f t="shared" ref="P49:P65" si="19">IF(Q49&gt;0,0,IF(OR(AA49&gt;AB49,AC49&lt;AD49),0,IF(AND(AC49&gt;=AD49,AC49&lt;=AB49),O49*((AC49-AD49)*12),IF(AND(AD49&lt;=AA49,AB49&gt;=AA49),((AB49-AA49)*12)*O49,IF(AC49&gt;AB49,12*O49,0)))))</f>
        <v>17723.571428571428</v>
      </c>
      <c r="Q49" s="403">
        <f t="shared" si="5"/>
        <v>0</v>
      </c>
      <c r="R49" s="403">
        <f t="shared" si="6"/>
        <v>17723.571428571428</v>
      </c>
      <c r="S49" s="405">
        <f>+'WP -11 Non-Regulated'!$K$29</f>
        <v>0.47014773860644926</v>
      </c>
      <c r="T49" s="403">
        <f t="shared" si="7"/>
        <v>8332.6970271727314</v>
      </c>
      <c r="U49" s="403">
        <f>IF(AA49&gt;AB49,0,IF(AC49&lt;AD49,N49,IF(AND(AC49&gt;=AD49,AC49&lt;=AB49),(N49-R49),IF(AND(AD49&lt;=AA49,AB49&gt;=AA49),0,IF(AC49&gt;AB49,((AD49-AA49)*12)*O49,0)))))</f>
        <v>97479.642857142841</v>
      </c>
      <c r="V49" s="403">
        <f t="shared" si="9"/>
        <v>45829.833649450018</v>
      </c>
      <c r="W49" s="405">
        <v>1</v>
      </c>
      <c r="X49" s="403">
        <f t="shared" si="10"/>
        <v>45829.833649450018</v>
      </c>
      <c r="Y49" s="403">
        <f t="shared" si="16"/>
        <v>54162.530676622751</v>
      </c>
      <c r="Z49" s="403">
        <f t="shared" si="17"/>
        <v>8332.6970271727405</v>
      </c>
      <c r="AA49" s="403">
        <f t="shared" si="11"/>
        <v>115.5</v>
      </c>
      <c r="AB49" s="403">
        <f t="shared" si="12"/>
        <v>122</v>
      </c>
      <c r="AC49" s="403">
        <f t="shared" si="13"/>
        <v>122.5</v>
      </c>
      <c r="AD49" s="403">
        <f t="shared" si="14"/>
        <v>121</v>
      </c>
      <c r="AE49" s="403">
        <f t="shared" si="15"/>
        <v>-8.3333333333333329E-2</v>
      </c>
      <c r="AF49" s="403">
        <f t="shared" si="18"/>
        <v>65736.120809790882</v>
      </c>
    </row>
    <row r="50" spans="2:32">
      <c r="B50" s="317" t="s">
        <v>707</v>
      </c>
      <c r="C50" s="317">
        <v>2016</v>
      </c>
      <c r="D50" s="317">
        <f t="shared" si="0"/>
        <v>116</v>
      </c>
      <c r="E50" s="317">
        <v>6</v>
      </c>
      <c r="F50" s="404">
        <v>0</v>
      </c>
      <c r="G50" s="396" t="s">
        <v>170</v>
      </c>
      <c r="H50" s="317">
        <v>7</v>
      </c>
      <c r="I50" s="317">
        <f t="shared" si="1"/>
        <v>123</v>
      </c>
      <c r="L50" s="403">
        <v>168098</v>
      </c>
      <c r="M50" s="403">
        <v>0</v>
      </c>
      <c r="N50" s="403">
        <f t="shared" si="2"/>
        <v>168098</v>
      </c>
      <c r="O50" s="403">
        <f t="shared" si="3"/>
        <v>2001.1666666666667</v>
      </c>
      <c r="P50" s="403">
        <f t="shared" si="19"/>
        <v>24014</v>
      </c>
      <c r="Q50" s="403">
        <f t="shared" si="5"/>
        <v>0</v>
      </c>
      <c r="R50" s="403">
        <f t="shared" si="6"/>
        <v>24014</v>
      </c>
      <c r="S50" s="405">
        <f>+'WP -11 Non-Regulated'!$K$29</f>
        <v>0.47014773860644926</v>
      </c>
      <c r="T50" s="403">
        <f t="shared" si="7"/>
        <v>11290.127794895272</v>
      </c>
      <c r="U50" s="403">
        <f t="shared" ref="U50:U65" si="20">IF(AA50&gt;AB50,0,IF(AC50&lt;AD50,N50,IF(AND(AC50&gt;=AD50,AC50&lt;=AB50),(N50-R50),IF(AND(AD50&lt;=AA50,AB50&gt;=AA50),0,IF(AC50&gt;AB50,((AD50-AA50)*12)*O50,0)))))</f>
        <v>110064.16666666656</v>
      </c>
      <c r="V50" s="403">
        <f t="shared" si="9"/>
        <v>51746.419059936612</v>
      </c>
      <c r="W50" s="405">
        <v>1</v>
      </c>
      <c r="X50" s="403">
        <f t="shared" si="10"/>
        <v>51746.419059936612</v>
      </c>
      <c r="Y50" s="403">
        <f t="shared" si="16"/>
        <v>63036.546854831882</v>
      </c>
      <c r="Z50" s="403">
        <f t="shared" si="17"/>
        <v>21639.411606882666</v>
      </c>
      <c r="AA50" s="403">
        <f t="shared" si="11"/>
        <v>116.41666666666667</v>
      </c>
      <c r="AB50" s="403">
        <f t="shared" si="12"/>
        <v>122</v>
      </c>
      <c r="AC50" s="403">
        <f t="shared" si="13"/>
        <v>123.41666666666667</v>
      </c>
      <c r="AD50" s="403">
        <f t="shared" si="14"/>
        <v>121</v>
      </c>
      <c r="AE50" s="403">
        <f t="shared" si="15"/>
        <v>-8.3333333333333329E-2</v>
      </c>
      <c r="AF50" s="403">
        <f t="shared" si="18"/>
        <v>89067.105435733087</v>
      </c>
    </row>
    <row r="51" spans="2:32">
      <c r="B51" s="317" t="s">
        <v>706</v>
      </c>
      <c r="C51" s="317">
        <v>2016</v>
      </c>
      <c r="D51" s="317">
        <f t="shared" si="0"/>
        <v>116</v>
      </c>
      <c r="E51" s="317">
        <v>6</v>
      </c>
      <c r="F51" s="404">
        <v>0</v>
      </c>
      <c r="G51" s="396" t="s">
        <v>170</v>
      </c>
      <c r="H51" s="317">
        <v>7</v>
      </c>
      <c r="I51" s="317">
        <f t="shared" si="1"/>
        <v>123</v>
      </c>
      <c r="L51" s="403">
        <v>130021</v>
      </c>
      <c r="M51" s="403">
        <v>0</v>
      </c>
      <c r="N51" s="403">
        <f t="shared" si="2"/>
        <v>130021</v>
      </c>
      <c r="O51" s="403">
        <f t="shared" si="3"/>
        <v>1547.8690476190477</v>
      </c>
      <c r="P51" s="403">
        <f t="shared" si="19"/>
        <v>18574.428571428572</v>
      </c>
      <c r="Q51" s="403">
        <f t="shared" si="5"/>
        <v>0</v>
      </c>
      <c r="R51" s="403">
        <f t="shared" si="6"/>
        <v>18574.428571428572</v>
      </c>
      <c r="S51" s="405">
        <f>+'WP -11 Non-Regulated'!$K$29</f>
        <v>0.47014773860644926</v>
      </c>
      <c r="T51" s="403">
        <f t="shared" si="7"/>
        <v>8732.7255887641641</v>
      </c>
      <c r="U51" s="403">
        <f t="shared" si="20"/>
        <v>85132.797619047531</v>
      </c>
      <c r="V51" s="403">
        <f t="shared" si="9"/>
        <v>40024.992281835708</v>
      </c>
      <c r="W51" s="405">
        <v>1</v>
      </c>
      <c r="X51" s="403">
        <f t="shared" si="10"/>
        <v>40024.992281835708</v>
      </c>
      <c r="Y51" s="403">
        <f t="shared" si="16"/>
        <v>48757.717870599874</v>
      </c>
      <c r="Z51" s="403">
        <f t="shared" si="17"/>
        <v>16737.724045131348</v>
      </c>
      <c r="AA51" s="403">
        <f t="shared" si="11"/>
        <v>116.41666666666667</v>
      </c>
      <c r="AB51" s="403">
        <f t="shared" si="12"/>
        <v>122</v>
      </c>
      <c r="AC51" s="403">
        <f t="shared" si="13"/>
        <v>123.41666666666667</v>
      </c>
      <c r="AD51" s="403">
        <f t="shared" si="14"/>
        <v>121</v>
      </c>
      <c r="AE51" s="403">
        <f t="shared" si="15"/>
        <v>-8.3333333333333329E-2</v>
      </c>
      <c r="AF51" s="403">
        <f t="shared" si="18"/>
        <v>68891.920878650853</v>
      </c>
    </row>
    <row r="52" spans="2:32">
      <c r="B52" s="317" t="s">
        <v>705</v>
      </c>
      <c r="C52" s="317">
        <v>2016</v>
      </c>
      <c r="D52" s="317">
        <f t="shared" si="0"/>
        <v>116</v>
      </c>
      <c r="E52" s="317">
        <v>9</v>
      </c>
      <c r="F52" s="404">
        <v>0</v>
      </c>
      <c r="G52" s="396" t="s">
        <v>170</v>
      </c>
      <c r="H52" s="317">
        <v>7</v>
      </c>
      <c r="I52" s="317">
        <f t="shared" si="1"/>
        <v>123</v>
      </c>
      <c r="L52" s="403">
        <v>264049</v>
      </c>
      <c r="M52" s="403">
        <v>0</v>
      </c>
      <c r="N52" s="403">
        <f t="shared" si="2"/>
        <v>264049</v>
      </c>
      <c r="O52" s="403">
        <f t="shared" si="3"/>
        <v>3143.4404761904766</v>
      </c>
      <c r="P52" s="403">
        <f t="shared" si="19"/>
        <v>37721.285714285717</v>
      </c>
      <c r="Q52" s="403">
        <f t="shared" si="5"/>
        <v>0</v>
      </c>
      <c r="R52" s="403">
        <f t="shared" si="6"/>
        <v>37721.285714285717</v>
      </c>
      <c r="S52" s="405">
        <f>+'WP -11 Non-Regulated'!$K$29</f>
        <v>0.47014773860644926</v>
      </c>
      <c r="T52" s="403">
        <f t="shared" si="7"/>
        <v>17734.57717589919</v>
      </c>
      <c r="U52" s="403">
        <f t="shared" si="20"/>
        <v>163458.90476190462</v>
      </c>
      <c r="V52" s="403">
        <f t="shared" si="9"/>
        <v>76849.834428896414</v>
      </c>
      <c r="W52" s="405">
        <v>1</v>
      </c>
      <c r="X52" s="403">
        <f t="shared" si="10"/>
        <v>76849.834428896414</v>
      </c>
      <c r="Y52" s="403">
        <f t="shared" si="16"/>
        <v>94584.411604795605</v>
      </c>
      <c r="Z52" s="403">
        <f t="shared" si="17"/>
        <v>38424.917214448309</v>
      </c>
      <c r="AA52" s="403">
        <f t="shared" si="11"/>
        <v>116.66666666666667</v>
      </c>
      <c r="AB52" s="403">
        <f t="shared" si="12"/>
        <v>122</v>
      </c>
      <c r="AC52" s="403">
        <f t="shared" si="13"/>
        <v>123.66666666666667</v>
      </c>
      <c r="AD52" s="403">
        <f t="shared" si="14"/>
        <v>121</v>
      </c>
      <c r="AE52" s="403">
        <f t="shared" si="15"/>
        <v>-8.3333333333333329E-2</v>
      </c>
      <c r="AF52" s="403">
        <f t="shared" si="18"/>
        <v>139906.95976870568</v>
      </c>
    </row>
    <row r="53" spans="2:32">
      <c r="B53" s="317" t="s">
        <v>705</v>
      </c>
      <c r="C53" s="317">
        <v>2016</v>
      </c>
      <c r="D53" s="317">
        <f t="shared" si="0"/>
        <v>116</v>
      </c>
      <c r="E53" s="317">
        <v>10</v>
      </c>
      <c r="F53" s="404">
        <v>0</v>
      </c>
      <c r="G53" s="396" t="s">
        <v>170</v>
      </c>
      <c r="H53" s="317">
        <v>7</v>
      </c>
      <c r="I53" s="317">
        <f t="shared" si="1"/>
        <v>123</v>
      </c>
      <c r="L53" s="403">
        <v>264049</v>
      </c>
      <c r="M53" s="403">
        <v>0</v>
      </c>
      <c r="N53" s="403">
        <f t="shared" si="2"/>
        <v>264049</v>
      </c>
      <c r="O53" s="403">
        <f t="shared" si="3"/>
        <v>3143.4404761904766</v>
      </c>
      <c r="P53" s="403">
        <f t="shared" si="19"/>
        <v>37721.285714285717</v>
      </c>
      <c r="Q53" s="403">
        <f t="shared" si="5"/>
        <v>0</v>
      </c>
      <c r="R53" s="403">
        <f t="shared" si="6"/>
        <v>37721.285714285717</v>
      </c>
      <c r="S53" s="405">
        <f>+'WP -11 Non-Regulated'!$K$29</f>
        <v>0.47014773860644926</v>
      </c>
      <c r="T53" s="403">
        <f t="shared" si="7"/>
        <v>17734.57717589919</v>
      </c>
      <c r="U53" s="403">
        <f t="shared" si="20"/>
        <v>160315.46428571432</v>
      </c>
      <c r="V53" s="403">
        <f t="shared" si="9"/>
        <v>75371.95299757157</v>
      </c>
      <c r="W53" s="405">
        <v>1</v>
      </c>
      <c r="X53" s="403">
        <f t="shared" si="10"/>
        <v>75371.95299757157</v>
      </c>
      <c r="Y53" s="403">
        <f t="shared" si="16"/>
        <v>93106.530173470761</v>
      </c>
      <c r="Z53" s="403">
        <f t="shared" si="17"/>
        <v>39902.798645773153</v>
      </c>
      <c r="AA53" s="403">
        <f t="shared" si="11"/>
        <v>116.75</v>
      </c>
      <c r="AB53" s="403">
        <f t="shared" si="12"/>
        <v>122</v>
      </c>
      <c r="AC53" s="403">
        <f t="shared" si="13"/>
        <v>123.75</v>
      </c>
      <c r="AD53" s="403">
        <f t="shared" si="14"/>
        <v>121</v>
      </c>
      <c r="AE53" s="403">
        <f t="shared" si="15"/>
        <v>-8.3333333333333329E-2</v>
      </c>
      <c r="AF53" s="403">
        <f t="shared" si="18"/>
        <v>139906.95976870568</v>
      </c>
    </row>
    <row r="54" spans="2:32">
      <c r="B54" s="317" t="s">
        <v>704</v>
      </c>
      <c r="C54" s="317">
        <v>2017</v>
      </c>
      <c r="D54" s="317">
        <f t="shared" si="0"/>
        <v>117</v>
      </c>
      <c r="E54" s="317">
        <v>7</v>
      </c>
      <c r="F54" s="404">
        <v>0</v>
      </c>
      <c r="G54" s="396" t="s">
        <v>170</v>
      </c>
      <c r="H54" s="317">
        <v>7</v>
      </c>
      <c r="I54" s="317">
        <f t="shared" si="1"/>
        <v>124</v>
      </c>
      <c r="L54" s="403">
        <v>176331</v>
      </c>
      <c r="M54" s="403">
        <v>0</v>
      </c>
      <c r="N54" s="403">
        <f t="shared" si="2"/>
        <v>176331</v>
      </c>
      <c r="O54" s="403">
        <f t="shared" si="3"/>
        <v>2099.1785714285716</v>
      </c>
      <c r="P54" s="403">
        <f t="shared" si="19"/>
        <v>25190.142857142859</v>
      </c>
      <c r="Q54" s="403">
        <f t="shared" si="5"/>
        <v>0</v>
      </c>
      <c r="R54" s="403">
        <f t="shared" si="6"/>
        <v>25190.142857142859</v>
      </c>
      <c r="S54" s="405">
        <f>+'WP -11 Non-Regulated'!$K$29</f>
        <v>0.47014773860644926</v>
      </c>
      <c r="T54" s="403">
        <f t="shared" si="7"/>
        <v>11843.088699459116</v>
      </c>
      <c r="U54" s="403">
        <f t="shared" si="20"/>
        <v>88165.5</v>
      </c>
      <c r="V54" s="403">
        <f t="shared" si="9"/>
        <v>41450.810448106902</v>
      </c>
      <c r="W54" s="405">
        <v>1</v>
      </c>
      <c r="X54" s="403">
        <f t="shared" si="10"/>
        <v>41450.810448106902</v>
      </c>
      <c r="Y54" s="403">
        <f t="shared" si="16"/>
        <v>53293.899147566015</v>
      </c>
      <c r="Z54" s="403">
        <f t="shared" si="17"/>
        <v>35529.266098377346</v>
      </c>
      <c r="AA54" s="403">
        <f t="shared" si="11"/>
        <v>117.5</v>
      </c>
      <c r="AB54" s="403">
        <f t="shared" si="12"/>
        <v>122</v>
      </c>
      <c r="AC54" s="403">
        <f t="shared" si="13"/>
        <v>124.5</v>
      </c>
      <c r="AD54" s="403">
        <f t="shared" si="14"/>
        <v>121</v>
      </c>
      <c r="AE54" s="403">
        <f t="shared" si="15"/>
        <v>-8.3333333333333329E-2</v>
      </c>
      <c r="AF54" s="403">
        <f t="shared" si="18"/>
        <v>93429.379103786196</v>
      </c>
    </row>
    <row r="55" spans="2:32">
      <c r="B55" s="317" t="s">
        <v>703</v>
      </c>
      <c r="C55" s="317">
        <v>2017</v>
      </c>
      <c r="D55" s="317">
        <f t="shared" si="0"/>
        <v>117</v>
      </c>
      <c r="E55" s="317">
        <v>4</v>
      </c>
      <c r="F55" s="404">
        <v>0</v>
      </c>
      <c r="G55" s="396" t="s">
        <v>170</v>
      </c>
      <c r="H55" s="317">
        <v>5</v>
      </c>
      <c r="I55" s="317">
        <f t="shared" si="1"/>
        <v>122</v>
      </c>
      <c r="L55" s="403">
        <v>95503.12</v>
      </c>
      <c r="M55" s="403">
        <v>0</v>
      </c>
      <c r="N55" s="403">
        <f t="shared" si="2"/>
        <v>95503.12</v>
      </c>
      <c r="O55" s="403">
        <f t="shared" si="3"/>
        <v>1591.7186666666666</v>
      </c>
      <c r="P55" s="403">
        <f t="shared" si="19"/>
        <v>19100.624</v>
      </c>
      <c r="Q55" s="403">
        <f t="shared" si="5"/>
        <v>0</v>
      </c>
      <c r="R55" s="403">
        <f t="shared" si="6"/>
        <v>19100.624</v>
      </c>
      <c r="S55" s="405">
        <f>+'WP -11 Non-Regulated'!$K$29</f>
        <v>0.47014773860644926</v>
      </c>
      <c r="T55" s="403">
        <f t="shared" si="7"/>
        <v>8980.1151795720707</v>
      </c>
      <c r="U55" s="403">
        <f t="shared" si="20"/>
        <v>71627.34</v>
      </c>
      <c r="V55" s="403">
        <f t="shared" si="9"/>
        <v>33675.431923395263</v>
      </c>
      <c r="W55" s="405">
        <v>1</v>
      </c>
      <c r="X55" s="403">
        <f t="shared" si="10"/>
        <v>33675.431923395263</v>
      </c>
      <c r="Y55" s="403">
        <f t="shared" si="16"/>
        <v>42655.547102967335</v>
      </c>
      <c r="Z55" s="403">
        <f t="shared" si="17"/>
        <v>6735.0863846790562</v>
      </c>
      <c r="AA55" s="403">
        <f t="shared" si="11"/>
        <v>117.25</v>
      </c>
      <c r="AB55" s="403">
        <f t="shared" si="12"/>
        <v>122</v>
      </c>
      <c r="AC55" s="403">
        <f t="shared" si="13"/>
        <v>122.25</v>
      </c>
      <c r="AD55" s="403">
        <f t="shared" si="14"/>
        <v>121</v>
      </c>
      <c r="AE55" s="403">
        <f t="shared" si="15"/>
        <v>-8.3333333333333329E-2</v>
      </c>
      <c r="AF55" s="403">
        <f t="shared" si="18"/>
        <v>50602.54410213964</v>
      </c>
    </row>
    <row r="56" spans="2:32">
      <c r="B56" s="317" t="s">
        <v>702</v>
      </c>
      <c r="C56" s="317">
        <v>2018</v>
      </c>
      <c r="D56" s="317">
        <f t="shared" si="0"/>
        <v>118</v>
      </c>
      <c r="E56" s="317">
        <v>4</v>
      </c>
      <c r="F56" s="404">
        <v>0</v>
      </c>
      <c r="G56" s="396" t="s">
        <v>170</v>
      </c>
      <c r="H56" s="317">
        <v>7</v>
      </c>
      <c r="I56" s="317">
        <f>D56+H56</f>
        <v>125</v>
      </c>
      <c r="L56" s="403">
        <v>277712</v>
      </c>
      <c r="M56" s="403">
        <v>0</v>
      </c>
      <c r="N56" s="403">
        <f t="shared" si="2"/>
        <v>277712</v>
      </c>
      <c r="O56" s="403">
        <f t="shared" si="3"/>
        <v>3306.0952380952381</v>
      </c>
      <c r="P56" s="403">
        <f t="shared" si="19"/>
        <v>39673.142857142855</v>
      </c>
      <c r="Q56" s="403">
        <f t="shared" si="5"/>
        <v>0</v>
      </c>
      <c r="R56" s="403">
        <f t="shared" si="6"/>
        <v>39673.142857142855</v>
      </c>
      <c r="S56" s="405">
        <f>+'WP -11 Non-Regulated'!$K$29</f>
        <v>0.47014773860644926</v>
      </c>
      <c r="T56" s="403">
        <f t="shared" si="7"/>
        <v>18652.238397696317</v>
      </c>
      <c r="U56" s="403">
        <f t="shared" si="20"/>
        <v>109101.14285714286</v>
      </c>
      <c r="V56" s="403">
        <f t="shared" si="9"/>
        <v>51293.65559366488</v>
      </c>
      <c r="W56" s="405">
        <v>1</v>
      </c>
      <c r="X56" s="403">
        <f>V56*W56</f>
        <v>51293.65559366488</v>
      </c>
      <c r="Y56" s="403">
        <f>IF(M56&gt;0,0,X56+T56*W56)*W56</f>
        <v>69945.893991361198</v>
      </c>
      <c r="Z56" s="403">
        <f t="shared" si="17"/>
        <v>69945.893991361198</v>
      </c>
      <c r="AA56" s="403">
        <f t="shared" si="11"/>
        <v>118.25</v>
      </c>
      <c r="AB56" s="403">
        <f t="shared" si="12"/>
        <v>122</v>
      </c>
      <c r="AC56" s="403">
        <f t="shared" si="13"/>
        <v>125.25</v>
      </c>
      <c r="AD56" s="403">
        <f t="shared" si="14"/>
        <v>121</v>
      </c>
      <c r="AE56" s="403">
        <f t="shared" si="15"/>
        <v>-8.3333333333333329E-2</v>
      </c>
      <c r="AF56" s="403">
        <f>L56-((X56+Y56)/2)-Z56</f>
        <v>147146.33121612575</v>
      </c>
    </row>
    <row r="57" spans="2:32">
      <c r="B57" s="317" t="s">
        <v>701</v>
      </c>
      <c r="C57" s="317">
        <v>2018</v>
      </c>
      <c r="D57" s="317">
        <f t="shared" si="0"/>
        <v>118</v>
      </c>
      <c r="E57" s="317">
        <v>4</v>
      </c>
      <c r="F57" s="404">
        <v>0</v>
      </c>
      <c r="G57" s="396" t="s">
        <v>170</v>
      </c>
      <c r="H57" s="317">
        <v>7</v>
      </c>
      <c r="I57" s="317">
        <f t="shared" ref="I57:I99" si="21">D57+H57</f>
        <v>125</v>
      </c>
      <c r="L57" s="403">
        <v>277712</v>
      </c>
      <c r="M57" s="403">
        <v>0</v>
      </c>
      <c r="N57" s="403">
        <f t="shared" si="2"/>
        <v>277712</v>
      </c>
      <c r="O57" s="403">
        <f t="shared" si="3"/>
        <v>3306.0952380952381</v>
      </c>
      <c r="P57" s="403">
        <f t="shared" si="19"/>
        <v>39673.142857142855</v>
      </c>
      <c r="Q57" s="403">
        <f t="shared" si="5"/>
        <v>0</v>
      </c>
      <c r="R57" s="403">
        <f t="shared" si="6"/>
        <v>39673.142857142855</v>
      </c>
      <c r="S57" s="405">
        <f>+'WP -11 Non-Regulated'!$K$29</f>
        <v>0.47014773860644926</v>
      </c>
      <c r="T57" s="403">
        <f t="shared" si="7"/>
        <v>18652.238397696317</v>
      </c>
      <c r="U57" s="403">
        <f t="shared" si="20"/>
        <v>109101.14285714286</v>
      </c>
      <c r="V57" s="403">
        <f t="shared" si="9"/>
        <v>51293.65559366488</v>
      </c>
      <c r="W57" s="405">
        <v>1</v>
      </c>
      <c r="X57" s="403">
        <f t="shared" ref="X57:X65" si="22">V57*W57</f>
        <v>51293.65559366488</v>
      </c>
      <c r="Y57" s="403">
        <f t="shared" ref="Y57:Y65" si="23">IF(M57&gt;0,0,X57+T57*W57)*W57</f>
        <v>69945.893991361198</v>
      </c>
      <c r="Z57" s="403">
        <f t="shared" si="17"/>
        <v>69945.893991361198</v>
      </c>
      <c r="AA57" s="403">
        <f t="shared" si="11"/>
        <v>118.25</v>
      </c>
      <c r="AB57" s="403">
        <f t="shared" si="12"/>
        <v>122</v>
      </c>
      <c r="AC57" s="403">
        <f t="shared" si="13"/>
        <v>125.25</v>
      </c>
      <c r="AD57" s="403">
        <f t="shared" si="14"/>
        <v>121</v>
      </c>
      <c r="AE57" s="403">
        <f t="shared" si="15"/>
        <v>-8.3333333333333329E-2</v>
      </c>
      <c r="AF57" s="403">
        <f t="shared" si="18"/>
        <v>147146.33121612575</v>
      </c>
    </row>
    <row r="58" spans="2:32">
      <c r="B58" s="317" t="s">
        <v>700</v>
      </c>
      <c r="C58" s="317">
        <v>2019</v>
      </c>
      <c r="D58" s="317">
        <f t="shared" si="0"/>
        <v>119</v>
      </c>
      <c r="E58" s="317">
        <v>9</v>
      </c>
      <c r="F58" s="404">
        <v>0</v>
      </c>
      <c r="G58" s="396" t="s">
        <v>170</v>
      </c>
      <c r="H58" s="317">
        <v>5</v>
      </c>
      <c r="I58" s="317">
        <f t="shared" si="21"/>
        <v>124</v>
      </c>
      <c r="L58" s="403">
        <v>67450.570000000007</v>
      </c>
      <c r="M58" s="403">
        <v>0</v>
      </c>
      <c r="N58" s="403">
        <f t="shared" si="2"/>
        <v>67450.570000000007</v>
      </c>
      <c r="O58" s="403">
        <f t="shared" si="3"/>
        <v>1124.1761666666669</v>
      </c>
      <c r="P58" s="403">
        <f t="shared" si="19"/>
        <v>13490.114000000001</v>
      </c>
      <c r="Q58" s="403">
        <f t="shared" si="5"/>
        <v>0</v>
      </c>
      <c r="R58" s="403">
        <f t="shared" si="6"/>
        <v>13490.114000000001</v>
      </c>
      <c r="S58" s="405">
        <f>+'WP -11 Non-Regulated'!$K$29</f>
        <v>0.47014773860644926</v>
      </c>
      <c r="T58" s="403">
        <f t="shared" si="7"/>
        <v>6342.346590643202</v>
      </c>
      <c r="U58" s="403">
        <f t="shared" si="20"/>
        <v>17986.818666666604</v>
      </c>
      <c r="V58" s="403">
        <f t="shared" si="9"/>
        <v>8456.4621208575736</v>
      </c>
      <c r="W58" s="405">
        <v>1</v>
      </c>
      <c r="X58" s="403">
        <f t="shared" si="22"/>
        <v>8456.4621208575736</v>
      </c>
      <c r="Y58" s="403">
        <f t="shared" si="23"/>
        <v>14798.808711500777</v>
      </c>
      <c r="Z58" s="403">
        <f t="shared" si="17"/>
        <v>20084.097537036836</v>
      </c>
      <c r="AA58" s="403">
        <f t="shared" si="11"/>
        <v>119.66666666666667</v>
      </c>
      <c r="AB58" s="403">
        <f t="shared" si="12"/>
        <v>122</v>
      </c>
      <c r="AC58" s="403">
        <f t="shared" si="13"/>
        <v>124.66666666666667</v>
      </c>
      <c r="AD58" s="403">
        <f t="shared" si="14"/>
        <v>121</v>
      </c>
      <c r="AE58" s="403">
        <f t="shared" si="15"/>
        <v>-8.3333333333333329E-2</v>
      </c>
      <c r="AF58" s="403">
        <f t="shared" si="18"/>
        <v>35738.837046784</v>
      </c>
    </row>
    <row r="59" spans="2:32">
      <c r="B59" s="317" t="s">
        <v>699</v>
      </c>
      <c r="C59" s="317">
        <v>2020</v>
      </c>
      <c r="D59" s="317">
        <f t="shared" si="0"/>
        <v>120</v>
      </c>
      <c r="E59" s="317">
        <v>1</v>
      </c>
      <c r="F59" s="404">
        <v>0</v>
      </c>
      <c r="G59" s="396" t="s">
        <v>170</v>
      </c>
      <c r="H59" s="317">
        <v>7</v>
      </c>
      <c r="I59" s="317">
        <f t="shared" si="21"/>
        <v>127</v>
      </c>
      <c r="L59" s="403">
        <v>188457.11</v>
      </c>
      <c r="M59" s="403">
        <v>0</v>
      </c>
      <c r="N59" s="403">
        <f t="shared" si="2"/>
        <v>188457.11</v>
      </c>
      <c r="O59" s="403">
        <f t="shared" si="3"/>
        <v>2243.5370238095234</v>
      </c>
      <c r="P59" s="403">
        <f t="shared" si="19"/>
        <v>26922.444285714279</v>
      </c>
      <c r="Q59" s="403">
        <f t="shared" si="5"/>
        <v>0</v>
      </c>
      <c r="R59" s="403">
        <f t="shared" si="6"/>
        <v>26922.444285714279</v>
      </c>
      <c r="S59" s="405">
        <f>+'WP -11 Non-Regulated'!$K$29</f>
        <v>0.47014773860644926</v>
      </c>
      <c r="T59" s="403">
        <f t="shared" si="7"/>
        <v>12657.526298686691</v>
      </c>
      <c r="U59" s="403">
        <f t="shared" si="20"/>
        <v>26922.444285714279</v>
      </c>
      <c r="V59" s="403">
        <f t="shared" si="9"/>
        <v>12657.526298686691</v>
      </c>
      <c r="W59" s="405">
        <v>1</v>
      </c>
      <c r="X59" s="403">
        <f t="shared" si="22"/>
        <v>12657.526298686691</v>
      </c>
      <c r="Y59" s="403">
        <f t="shared" si="23"/>
        <v>25315.052597373382</v>
      </c>
      <c r="Z59" s="403">
        <f t="shared" si="17"/>
        <v>69616.394642776824</v>
      </c>
      <c r="AA59" s="403">
        <f t="shared" si="11"/>
        <v>120</v>
      </c>
      <c r="AB59" s="403">
        <f t="shared" si="12"/>
        <v>122</v>
      </c>
      <c r="AC59" s="403">
        <f t="shared" si="13"/>
        <v>127</v>
      </c>
      <c r="AD59" s="403">
        <f t="shared" si="14"/>
        <v>121</v>
      </c>
      <c r="AE59" s="403">
        <f t="shared" si="15"/>
        <v>-8.3333333333333329E-2</v>
      </c>
      <c r="AF59" s="403">
        <f t="shared" si="18"/>
        <v>99854.425909193131</v>
      </c>
    </row>
    <row r="60" spans="2:32">
      <c r="B60" s="317" t="s">
        <v>698</v>
      </c>
      <c r="C60" s="317">
        <v>2020</v>
      </c>
      <c r="D60" s="317">
        <f t="shared" si="0"/>
        <v>120</v>
      </c>
      <c r="E60" s="317">
        <v>1</v>
      </c>
      <c r="F60" s="404">
        <v>0</v>
      </c>
      <c r="G60" s="396" t="s">
        <v>170</v>
      </c>
      <c r="H60" s="317">
        <v>7</v>
      </c>
      <c r="I60" s="317">
        <f t="shared" si="21"/>
        <v>127</v>
      </c>
      <c r="L60" s="403">
        <v>188457.11</v>
      </c>
      <c r="M60" s="403">
        <v>0</v>
      </c>
      <c r="N60" s="403">
        <f t="shared" si="2"/>
        <v>188457.11</v>
      </c>
      <c r="O60" s="403">
        <f t="shared" si="3"/>
        <v>2243.5370238095234</v>
      </c>
      <c r="P60" s="403">
        <f t="shared" si="19"/>
        <v>26922.444285714279</v>
      </c>
      <c r="Q60" s="403">
        <f t="shared" si="5"/>
        <v>0</v>
      </c>
      <c r="R60" s="403">
        <f t="shared" si="6"/>
        <v>26922.444285714279</v>
      </c>
      <c r="S60" s="405">
        <f>+'WP -11 Non-Regulated'!$K$29</f>
        <v>0.47014773860644926</v>
      </c>
      <c r="T60" s="403">
        <f t="shared" si="7"/>
        <v>12657.526298686691</v>
      </c>
      <c r="U60" s="403">
        <f t="shared" si="20"/>
        <v>26922.444285714279</v>
      </c>
      <c r="V60" s="403">
        <f t="shared" si="9"/>
        <v>12657.526298686691</v>
      </c>
      <c r="W60" s="405">
        <v>1</v>
      </c>
      <c r="X60" s="403">
        <f t="shared" si="22"/>
        <v>12657.526298686691</v>
      </c>
      <c r="Y60" s="403">
        <f t="shared" si="23"/>
        <v>25315.052597373382</v>
      </c>
      <c r="Z60" s="403">
        <f t="shared" si="17"/>
        <v>69616.394642776824</v>
      </c>
      <c r="AA60" s="403">
        <f t="shared" si="11"/>
        <v>120</v>
      </c>
      <c r="AB60" s="403">
        <f t="shared" si="12"/>
        <v>122</v>
      </c>
      <c r="AC60" s="403">
        <f t="shared" si="13"/>
        <v>127</v>
      </c>
      <c r="AD60" s="403">
        <f t="shared" si="14"/>
        <v>121</v>
      </c>
      <c r="AE60" s="403">
        <f t="shared" si="15"/>
        <v>-8.3333333333333329E-2</v>
      </c>
      <c r="AF60" s="403">
        <f t="shared" si="18"/>
        <v>99854.425909193131</v>
      </c>
    </row>
    <row r="61" spans="2:32">
      <c r="B61" s="317" t="s">
        <v>697</v>
      </c>
      <c r="C61" s="317">
        <v>2019</v>
      </c>
      <c r="D61" s="317">
        <f t="shared" si="0"/>
        <v>119</v>
      </c>
      <c r="E61" s="317">
        <v>8</v>
      </c>
      <c r="F61" s="404">
        <v>0</v>
      </c>
      <c r="G61" s="396" t="s">
        <v>170</v>
      </c>
      <c r="H61" s="317">
        <v>5</v>
      </c>
      <c r="I61" s="317">
        <f t="shared" si="21"/>
        <v>124</v>
      </c>
      <c r="L61" s="403">
        <v>43088.15</v>
      </c>
      <c r="M61" s="403">
        <v>0</v>
      </c>
      <c r="N61" s="403">
        <f t="shared" si="2"/>
        <v>43088.15</v>
      </c>
      <c r="O61" s="403">
        <f t="shared" si="3"/>
        <v>718.13583333333338</v>
      </c>
      <c r="P61" s="403">
        <f t="shared" si="19"/>
        <v>8617.630000000001</v>
      </c>
      <c r="Q61" s="403">
        <f t="shared" si="5"/>
        <v>0</v>
      </c>
      <c r="R61" s="403">
        <f t="shared" si="6"/>
        <v>8617.630000000001</v>
      </c>
      <c r="S61" s="405">
        <f>+'WP -11 Non-Regulated'!$K$29</f>
        <v>0.47014773860644926</v>
      </c>
      <c r="T61" s="403">
        <f t="shared" si="7"/>
        <v>4051.5592566470959</v>
      </c>
      <c r="U61" s="403">
        <f t="shared" si="20"/>
        <v>12208.309166666708</v>
      </c>
      <c r="V61" s="403">
        <f t="shared" si="9"/>
        <v>5739.7089469167377</v>
      </c>
      <c r="W61" s="405">
        <v>1</v>
      </c>
      <c r="X61" s="403">
        <f t="shared" si="22"/>
        <v>5739.7089469167377</v>
      </c>
      <c r="Y61" s="403">
        <f t="shared" si="23"/>
        <v>9791.2682035638336</v>
      </c>
      <c r="Z61" s="403">
        <f t="shared" ref="Z61:Z99" si="24">L61-((+X61+Y61)/2)</f>
        <v>35322.661424759717</v>
      </c>
      <c r="AA61" s="403">
        <f t="shared" si="11"/>
        <v>119.58333333333333</v>
      </c>
      <c r="AB61" s="403">
        <f t="shared" si="12"/>
        <v>122</v>
      </c>
      <c r="AC61" s="403">
        <f t="shared" si="13"/>
        <v>124.58333333333333</v>
      </c>
      <c r="AD61" s="403">
        <f t="shared" si="14"/>
        <v>121</v>
      </c>
      <c r="AE61" s="403">
        <f t="shared" si="15"/>
        <v>-8.3333333333333329E-2</v>
      </c>
      <c r="AF61" s="403">
        <f t="shared" si="18"/>
        <v>0</v>
      </c>
    </row>
    <row r="62" spans="2:32">
      <c r="B62" s="317" t="s">
        <v>696</v>
      </c>
      <c r="C62" s="317">
        <v>2019</v>
      </c>
      <c r="D62" s="317">
        <f t="shared" si="0"/>
        <v>119</v>
      </c>
      <c r="E62" s="317">
        <v>9</v>
      </c>
      <c r="F62" s="404">
        <v>0</v>
      </c>
      <c r="G62" s="396" t="s">
        <v>170</v>
      </c>
      <c r="H62" s="317">
        <v>5</v>
      </c>
      <c r="I62" s="317">
        <f t="shared" si="21"/>
        <v>124</v>
      </c>
      <c r="L62" s="403">
        <v>53865.75</v>
      </c>
      <c r="M62" s="403">
        <v>0</v>
      </c>
      <c r="N62" s="403">
        <f t="shared" si="2"/>
        <v>53865.75</v>
      </c>
      <c r="O62" s="403">
        <f t="shared" si="3"/>
        <v>897.76249999999993</v>
      </c>
      <c r="P62" s="403">
        <f t="shared" si="19"/>
        <v>10773.15</v>
      </c>
      <c r="Q62" s="403">
        <f t="shared" si="5"/>
        <v>0</v>
      </c>
      <c r="R62" s="403">
        <f t="shared" si="6"/>
        <v>10773.15</v>
      </c>
      <c r="S62" s="405">
        <f>+'WP -11 Non-Regulated'!$K$29</f>
        <v>0.47014773860644926</v>
      </c>
      <c r="T62" s="403">
        <f t="shared" si="7"/>
        <v>5064.9721101680689</v>
      </c>
      <c r="U62" s="403">
        <f t="shared" si="20"/>
        <v>14364.199999999948</v>
      </c>
      <c r="V62" s="403">
        <f t="shared" si="9"/>
        <v>6753.2961468907342</v>
      </c>
      <c r="W62" s="405">
        <v>1</v>
      </c>
      <c r="X62" s="403">
        <f t="shared" si="22"/>
        <v>6753.2961468907342</v>
      </c>
      <c r="Y62" s="403">
        <f t="shared" si="23"/>
        <v>11818.268257058804</v>
      </c>
      <c r="Z62" s="403">
        <f t="shared" si="24"/>
        <v>44579.967798025231</v>
      </c>
      <c r="AA62" s="403">
        <f t="shared" si="11"/>
        <v>119.66666666666667</v>
      </c>
      <c r="AB62" s="403">
        <f t="shared" si="12"/>
        <v>122</v>
      </c>
      <c r="AC62" s="403">
        <f t="shared" si="13"/>
        <v>124.66666666666667</v>
      </c>
      <c r="AD62" s="403">
        <f t="shared" si="14"/>
        <v>121</v>
      </c>
      <c r="AE62" s="403">
        <f t="shared" si="15"/>
        <v>-8.3333333333333329E-2</v>
      </c>
      <c r="AF62" s="403">
        <f t="shared" si="18"/>
        <v>0</v>
      </c>
    </row>
    <row r="63" spans="2:32">
      <c r="B63" s="317" t="s">
        <v>695</v>
      </c>
      <c r="C63" s="317">
        <v>2019</v>
      </c>
      <c r="D63" s="317">
        <f t="shared" si="0"/>
        <v>119</v>
      </c>
      <c r="E63" s="317">
        <v>3</v>
      </c>
      <c r="F63" s="404">
        <v>0</v>
      </c>
      <c r="G63" s="396" t="s">
        <v>170</v>
      </c>
      <c r="H63" s="317">
        <v>7</v>
      </c>
      <c r="I63" s="317">
        <f t="shared" si="21"/>
        <v>126</v>
      </c>
      <c r="L63" s="403">
        <v>184998</v>
      </c>
      <c r="M63" s="403">
        <v>0</v>
      </c>
      <c r="N63" s="403">
        <f t="shared" si="2"/>
        <v>184998</v>
      </c>
      <c r="O63" s="403">
        <f t="shared" si="3"/>
        <v>2202.3571428571427</v>
      </c>
      <c r="P63" s="403">
        <f t="shared" si="19"/>
        <v>26428.28571428571</v>
      </c>
      <c r="Q63" s="403">
        <f t="shared" si="5"/>
        <v>0</v>
      </c>
      <c r="R63" s="403">
        <f t="shared" si="6"/>
        <v>26428.28571428571</v>
      </c>
      <c r="S63" s="405">
        <f>+'WP -11 Non-Regulated'!$K$29</f>
        <v>0.47014773860644926</v>
      </c>
      <c r="T63" s="403">
        <f t="shared" si="7"/>
        <v>12425.198763816556</v>
      </c>
      <c r="U63" s="403">
        <f t="shared" si="20"/>
        <v>48451.857142857014</v>
      </c>
      <c r="V63" s="403">
        <f t="shared" si="9"/>
        <v>22779.531066996962</v>
      </c>
      <c r="W63" s="405">
        <v>1</v>
      </c>
      <c r="X63" s="403">
        <f t="shared" si="22"/>
        <v>22779.531066996962</v>
      </c>
      <c r="Y63" s="403">
        <f t="shared" si="23"/>
        <v>35204.729830813521</v>
      </c>
      <c r="Z63" s="403">
        <f t="shared" si="24"/>
        <v>156005.86955109477</v>
      </c>
      <c r="AA63" s="403">
        <f t="shared" si="11"/>
        <v>119.16666666666667</v>
      </c>
      <c r="AB63" s="403">
        <f t="shared" si="12"/>
        <v>122</v>
      </c>
      <c r="AC63" s="403">
        <f t="shared" si="13"/>
        <v>126.16666666666667</v>
      </c>
      <c r="AD63" s="403">
        <f t="shared" si="14"/>
        <v>121</v>
      </c>
      <c r="AE63" s="403">
        <f t="shared" si="15"/>
        <v>-8.3333333333333329E-2</v>
      </c>
      <c r="AF63" s="403">
        <f t="shared" si="18"/>
        <v>0</v>
      </c>
    </row>
    <row r="64" spans="2:32">
      <c r="B64" s="317" t="s">
        <v>694</v>
      </c>
      <c r="C64" s="317">
        <v>2019</v>
      </c>
      <c r="D64" s="317">
        <f t="shared" si="0"/>
        <v>119</v>
      </c>
      <c r="E64" s="317">
        <v>2</v>
      </c>
      <c r="F64" s="404">
        <v>0</v>
      </c>
      <c r="G64" s="396" t="s">
        <v>170</v>
      </c>
      <c r="H64" s="317">
        <v>7</v>
      </c>
      <c r="I64" s="317">
        <f t="shared" si="21"/>
        <v>126</v>
      </c>
      <c r="L64" s="403">
        <v>116526</v>
      </c>
      <c r="M64" s="403">
        <v>0</v>
      </c>
      <c r="N64" s="403">
        <f t="shared" si="2"/>
        <v>116526</v>
      </c>
      <c r="O64" s="403">
        <f t="shared" si="3"/>
        <v>1387.2142857142856</v>
      </c>
      <c r="P64" s="403">
        <f t="shared" si="19"/>
        <v>16646.571428571428</v>
      </c>
      <c r="Q64" s="403">
        <f t="shared" si="5"/>
        <v>0</v>
      </c>
      <c r="R64" s="403">
        <f t="shared" si="6"/>
        <v>16646.571428571428</v>
      </c>
      <c r="S64" s="405">
        <f>+'WP -11 Non-Regulated'!$K$29</f>
        <v>0.47014773860644926</v>
      </c>
      <c r="T64" s="403">
        <f t="shared" si="7"/>
        <v>7826.3479126935863</v>
      </c>
      <c r="U64" s="403">
        <f t="shared" si="20"/>
        <v>31905.928571428645</v>
      </c>
      <c r="V64" s="403">
        <f t="shared" si="9"/>
        <v>15000.500165996076</v>
      </c>
      <c r="W64" s="405">
        <v>1</v>
      </c>
      <c r="X64" s="403">
        <f t="shared" si="22"/>
        <v>15000.500165996076</v>
      </c>
      <c r="Y64" s="403">
        <f t="shared" si="23"/>
        <v>22826.848078689662</v>
      </c>
      <c r="Z64" s="403">
        <f t="shared" si="24"/>
        <v>97612.325877657131</v>
      </c>
      <c r="AA64" s="403">
        <f t="shared" si="11"/>
        <v>119.08333333333333</v>
      </c>
      <c r="AB64" s="403">
        <f t="shared" si="12"/>
        <v>122</v>
      </c>
      <c r="AC64" s="403">
        <f t="shared" si="13"/>
        <v>126.08333333333333</v>
      </c>
      <c r="AD64" s="403">
        <f t="shared" si="14"/>
        <v>121</v>
      </c>
      <c r="AE64" s="403">
        <f t="shared" si="15"/>
        <v>-8.3333333333333329E-2</v>
      </c>
      <c r="AF64" s="403">
        <f t="shared" si="18"/>
        <v>0</v>
      </c>
    </row>
    <row r="65" spans="2:32">
      <c r="B65" s="317" t="s">
        <v>693</v>
      </c>
      <c r="C65" s="317">
        <v>2020</v>
      </c>
      <c r="D65" s="317">
        <f t="shared" si="0"/>
        <v>120</v>
      </c>
      <c r="E65" s="317">
        <v>1</v>
      </c>
      <c r="F65" s="404">
        <v>0</v>
      </c>
      <c r="G65" s="396" t="s">
        <v>170</v>
      </c>
      <c r="H65" s="317">
        <v>7</v>
      </c>
      <c r="I65" s="317">
        <f t="shared" si="21"/>
        <v>127</v>
      </c>
      <c r="L65" s="403">
        <v>138679.09</v>
      </c>
      <c r="M65" s="403">
        <v>0</v>
      </c>
      <c r="N65" s="403">
        <f t="shared" si="2"/>
        <v>138679.09</v>
      </c>
      <c r="O65" s="403">
        <f t="shared" si="3"/>
        <v>1650.9415476190477</v>
      </c>
      <c r="P65" s="403">
        <f t="shared" si="19"/>
        <v>19811.298571428571</v>
      </c>
      <c r="Q65" s="403">
        <f t="shared" si="5"/>
        <v>0</v>
      </c>
      <c r="R65" s="403">
        <f t="shared" si="6"/>
        <v>19811.298571428571</v>
      </c>
      <c r="S65" s="405">
        <f>+'WP -11 Non-Regulated'!$K$29</f>
        <v>0.47014773860644926</v>
      </c>
      <c r="T65" s="403">
        <f t="shared" si="7"/>
        <v>9314.2372222143222</v>
      </c>
      <c r="U65" s="403">
        <f t="shared" si="20"/>
        <v>19811.298571428571</v>
      </c>
      <c r="V65" s="403">
        <f t="shared" si="9"/>
        <v>9314.2372222143222</v>
      </c>
      <c r="W65" s="405">
        <v>1</v>
      </c>
      <c r="X65" s="403">
        <f t="shared" si="22"/>
        <v>9314.2372222143222</v>
      </c>
      <c r="Y65" s="403">
        <f t="shared" si="23"/>
        <v>18628.474444428644</v>
      </c>
      <c r="Z65" s="403">
        <f t="shared" si="24"/>
        <v>124707.73416667851</v>
      </c>
      <c r="AA65" s="403">
        <f t="shared" si="11"/>
        <v>120</v>
      </c>
      <c r="AB65" s="403">
        <f t="shared" si="12"/>
        <v>122</v>
      </c>
      <c r="AC65" s="403">
        <f t="shared" si="13"/>
        <v>127</v>
      </c>
      <c r="AD65" s="403">
        <f t="shared" si="14"/>
        <v>121</v>
      </c>
      <c r="AE65" s="403">
        <f t="shared" si="15"/>
        <v>-8.3333333333333329E-2</v>
      </c>
      <c r="AF65" s="403">
        <f t="shared" si="18"/>
        <v>0</v>
      </c>
    </row>
    <row r="66" spans="2:32">
      <c r="B66" s="317" t="s">
        <v>692</v>
      </c>
      <c r="C66" s="317">
        <v>2020</v>
      </c>
      <c r="D66" s="317">
        <f t="shared" si="0"/>
        <v>120</v>
      </c>
      <c r="E66" s="317">
        <v>1</v>
      </c>
      <c r="F66" s="404">
        <v>0</v>
      </c>
      <c r="G66" s="396" t="s">
        <v>170</v>
      </c>
      <c r="H66" s="317">
        <v>7</v>
      </c>
      <c r="I66" s="317">
        <f t="shared" si="21"/>
        <v>127</v>
      </c>
      <c r="L66" s="403">
        <v>138679.09</v>
      </c>
      <c r="M66" s="403">
        <v>0</v>
      </c>
      <c r="N66" s="403">
        <f t="shared" si="2"/>
        <v>138679.09</v>
      </c>
      <c r="O66" s="403">
        <f t="shared" si="3"/>
        <v>1650.9415476190477</v>
      </c>
      <c r="P66" s="403">
        <f>IF(Q66&gt;0,0,IF(OR(AA66&gt;AB66,AC66&lt;AD66),0,IF(AND(AC66&gt;=AD66,AC66&lt;=AB66),O66*((AC66-AD66)*12),IF(AND(AD66&lt;=AA66,AB66&gt;=AA66),((AB66-AA66)*12)*O66,IF(AC66&gt;AB66,12*O66,0)))))</f>
        <v>19811.298571428571</v>
      </c>
      <c r="Q66" s="403">
        <f>IF(M66=0,0,IF(AND(AE66&gt;=AD66,AE66&lt;=AC66),((AE66-AD66)*12)*O66,0))</f>
        <v>0</v>
      </c>
      <c r="R66" s="403">
        <f>IF(Q66&gt;0,Q66,P66)</f>
        <v>19811.298571428571</v>
      </c>
      <c r="S66" s="405">
        <f>+'WP -11 Non-Regulated'!$K$29</f>
        <v>0.47014773860644926</v>
      </c>
      <c r="T66" s="403">
        <f>S66*SUM(P66:Q66)</f>
        <v>9314.2372222143222</v>
      </c>
      <c r="U66" s="403">
        <f>IF(AA66&gt;AB66,0,IF(AC66&lt;AD66,N66,IF(AND(AC66&gt;=AD66,AC66&lt;=AB66),(N66-R66),IF(AND(AD66&lt;=AA66,AB66&gt;=AA66),0,IF(AC66&gt;AB66,((AD66-AA66)*12)*O66,0)))))</f>
        <v>19811.298571428571</v>
      </c>
      <c r="V66" s="403">
        <f>U66*S66</f>
        <v>9314.2372222143222</v>
      </c>
      <c r="W66" s="405">
        <v>1</v>
      </c>
      <c r="X66" s="403">
        <f>V66*W66</f>
        <v>9314.2372222143222</v>
      </c>
      <c r="Y66" s="403">
        <f>IF(M66&gt;0,0,X66+T66*W66)*W66</f>
        <v>18628.474444428644</v>
      </c>
      <c r="Z66" s="403">
        <f t="shared" si="24"/>
        <v>124707.73416667851</v>
      </c>
      <c r="AA66" s="403">
        <f t="shared" si="11"/>
        <v>120</v>
      </c>
      <c r="AB66" s="403">
        <f t="shared" si="12"/>
        <v>122</v>
      </c>
      <c r="AC66" s="403">
        <f t="shared" si="13"/>
        <v>127</v>
      </c>
      <c r="AD66" s="403">
        <f t="shared" si="14"/>
        <v>121</v>
      </c>
      <c r="AE66" s="403">
        <f t="shared" si="15"/>
        <v>-8.3333333333333329E-2</v>
      </c>
      <c r="AF66" s="403">
        <f t="shared" si="18"/>
        <v>0</v>
      </c>
    </row>
    <row r="67" spans="2:32">
      <c r="B67" s="317" t="s">
        <v>691</v>
      </c>
      <c r="C67" s="317">
        <v>2020</v>
      </c>
      <c r="D67" s="317">
        <f t="shared" si="0"/>
        <v>120</v>
      </c>
      <c r="E67" s="317">
        <v>1</v>
      </c>
      <c r="F67" s="404">
        <v>0</v>
      </c>
      <c r="G67" s="396" t="s">
        <v>170</v>
      </c>
      <c r="H67" s="317">
        <v>7</v>
      </c>
      <c r="I67" s="317">
        <f t="shared" si="21"/>
        <v>127</v>
      </c>
      <c r="L67" s="403">
        <v>188427.06</v>
      </c>
      <c r="M67" s="403">
        <v>0</v>
      </c>
      <c r="N67" s="403">
        <f t="shared" si="2"/>
        <v>188427.06</v>
      </c>
      <c r="O67" s="403">
        <f t="shared" si="3"/>
        <v>2243.1792857142859</v>
      </c>
      <c r="P67" s="403">
        <f>IF(Q67&gt;0,0,IF(OR(AA67&gt;AB67,AC67&lt;AD67),0,IF(AND(AC67&gt;=AD67,AC67&lt;=AB67),O67*((AC67-AD67)*12),IF(AND(AD67&lt;=AA67,AB67&gt;=AA67),((AB67-AA67)*12)*O67,IF(AC67&gt;AB67,12*O67,0)))))</f>
        <v>26918.151428571429</v>
      </c>
      <c r="Q67" s="403">
        <f>IF(M67=0,0,IF(AND(AE67&gt;=AD67,AE67&lt;=AC67),((AE67-AD67)*12)*O67,0))</f>
        <v>0</v>
      </c>
      <c r="R67" s="403">
        <f>IF(Q67&gt;0,Q67,P67)</f>
        <v>26918.151428571429</v>
      </c>
      <c r="S67" s="405">
        <f>+'WP -11 Non-Regulated'!$K$29</f>
        <v>0.47014773860644926</v>
      </c>
      <c r="T67" s="403">
        <f>S67*SUM(P67:Q67)</f>
        <v>12655.508021608819</v>
      </c>
      <c r="U67" s="403">
        <f>IF(AA67&gt;AB67,0,IF(AC67&lt;AD67,N67,IF(AND(AC67&gt;=AD67,AC67&lt;=AB67),(N67-R67),IF(AND(AD67&lt;=AA67,AB67&gt;=AA67),0,IF(AC67&gt;AB67,((AD67-AA67)*12)*O67,0)))))</f>
        <v>26918.151428571429</v>
      </c>
      <c r="V67" s="403">
        <f>U67*S67</f>
        <v>12655.508021608819</v>
      </c>
      <c r="W67" s="405">
        <v>1</v>
      </c>
      <c r="X67" s="403">
        <f>V67*W67</f>
        <v>12655.508021608819</v>
      </c>
      <c r="Y67" s="403">
        <f>IF(M67&gt;0,0,X67+T67*W67)*W67</f>
        <v>25311.016043217638</v>
      </c>
      <c r="Z67" s="403">
        <f t="shared" si="24"/>
        <v>169443.79796758678</v>
      </c>
      <c r="AA67" s="403">
        <f t="shared" si="11"/>
        <v>120</v>
      </c>
      <c r="AB67" s="403">
        <f t="shared" si="12"/>
        <v>122</v>
      </c>
      <c r="AC67" s="403">
        <f t="shared" si="13"/>
        <v>127</v>
      </c>
      <c r="AD67" s="403">
        <f t="shared" si="14"/>
        <v>121</v>
      </c>
      <c r="AE67" s="403">
        <f t="shared" si="15"/>
        <v>-8.3333333333333329E-2</v>
      </c>
      <c r="AF67" s="403">
        <f t="shared" si="18"/>
        <v>0</v>
      </c>
    </row>
    <row r="68" spans="2:32">
      <c r="B68" s="317" t="s">
        <v>690</v>
      </c>
      <c r="C68" s="317">
        <v>2020</v>
      </c>
      <c r="D68" s="317">
        <f t="shared" si="0"/>
        <v>120</v>
      </c>
      <c r="E68" s="317">
        <v>1</v>
      </c>
      <c r="F68" s="404">
        <v>0</v>
      </c>
      <c r="G68" s="396" t="s">
        <v>170</v>
      </c>
      <c r="H68" s="317">
        <v>7</v>
      </c>
      <c r="I68" s="317">
        <f t="shared" si="21"/>
        <v>127</v>
      </c>
      <c r="L68" s="403">
        <v>126801.06</v>
      </c>
      <c r="M68" s="403">
        <v>0</v>
      </c>
      <c r="N68" s="403">
        <f t="shared" si="2"/>
        <v>126801.06</v>
      </c>
      <c r="O68" s="403">
        <f t="shared" si="3"/>
        <v>1509.5364285714286</v>
      </c>
      <c r="P68" s="403">
        <f t="shared" ref="P68:P99" si="25">IF(Q68&gt;0,0,IF(OR(AA68&gt;AB68,AC68&lt;AD68),0,IF(AND(AC68&gt;=AD68,AC68&lt;=AB68),O68*((AC68-AD68)*12),IF(AND(AD68&lt;=AA68,AB68&gt;=AA68),((AB68-AA68)*12)*O68,IF(AC68&gt;AB68,12*O68,0)))))</f>
        <v>18114.437142857143</v>
      </c>
      <c r="Q68" s="403">
        <f t="shared" ref="Q68:Q99" si="26">IF(M68=0,0,IF(AND(AE68&gt;=AD68,AE68&lt;=AC68),((AE68-AD68)*12)*O68,0))</f>
        <v>0</v>
      </c>
      <c r="R68" s="403">
        <f t="shared" ref="R68:R99" si="27">IF(Q68&gt;0,Q68,P68)</f>
        <v>18114.437142857143</v>
      </c>
      <c r="S68" s="405">
        <f>+'WP -11 Non-Regulated'!$K$29</f>
        <v>0.47014773860644926</v>
      </c>
      <c r="T68" s="403">
        <f t="shared" ref="T68:T99" si="28">S68*SUM(P68:Q68)</f>
        <v>8516.4616588429562</v>
      </c>
      <c r="U68" s="403">
        <f t="shared" ref="U68:U99" si="29">IF(AA68&gt;AB68,0,IF(AC68&lt;AD68,N68,IF(AND(AC68&gt;=AD68,AC68&lt;=AB68),(N68-R68),IF(AND(AD68&lt;=AA68,AB68&gt;=AA68),0,IF(AC68&gt;AB68,((AD68-AA68)*12)*O68,0)))))</f>
        <v>18114.437142857143</v>
      </c>
      <c r="V68" s="403">
        <f t="shared" ref="V68:V99" si="30">U68*S68</f>
        <v>8516.4616588429562</v>
      </c>
      <c r="W68" s="405">
        <v>1</v>
      </c>
      <c r="X68" s="403">
        <f t="shared" ref="X68:X99" si="31">V68*W68</f>
        <v>8516.4616588429562</v>
      </c>
      <c r="Y68" s="403">
        <f t="shared" ref="Y68:Y99" si="32">IF(M68&gt;0,0,X68+T68*W68)*W68</f>
        <v>17032.923317685912</v>
      </c>
      <c r="Z68" s="403">
        <f t="shared" si="24"/>
        <v>114026.36751173556</v>
      </c>
      <c r="AA68" s="403">
        <f t="shared" si="11"/>
        <v>120</v>
      </c>
      <c r="AB68" s="403">
        <f t="shared" si="12"/>
        <v>122</v>
      </c>
      <c r="AC68" s="403">
        <f t="shared" si="13"/>
        <v>127</v>
      </c>
      <c r="AD68" s="403">
        <f t="shared" si="14"/>
        <v>121</v>
      </c>
      <c r="AE68" s="403">
        <f t="shared" si="15"/>
        <v>-8.3333333333333329E-2</v>
      </c>
      <c r="AF68" s="403">
        <f t="shared" si="18"/>
        <v>0</v>
      </c>
    </row>
    <row r="69" spans="2:32">
      <c r="B69" s="317" t="s">
        <v>689</v>
      </c>
      <c r="C69" s="317">
        <v>2020</v>
      </c>
      <c r="D69" s="317">
        <f t="shared" si="0"/>
        <v>120</v>
      </c>
      <c r="E69" s="317">
        <v>1</v>
      </c>
      <c r="F69" s="404">
        <v>0</v>
      </c>
      <c r="G69" s="396" t="s">
        <v>170</v>
      </c>
      <c r="H69" s="317">
        <v>7</v>
      </c>
      <c r="I69" s="317">
        <f t="shared" si="21"/>
        <v>127</v>
      </c>
      <c r="L69" s="403">
        <v>159079.18</v>
      </c>
      <c r="M69" s="403">
        <v>0</v>
      </c>
      <c r="N69" s="403">
        <f t="shared" si="2"/>
        <v>159079.18</v>
      </c>
      <c r="O69" s="403">
        <f t="shared" si="3"/>
        <v>1893.7997619047619</v>
      </c>
      <c r="P69" s="403">
        <f t="shared" si="25"/>
        <v>22725.597142857143</v>
      </c>
      <c r="Q69" s="403">
        <f t="shared" si="26"/>
        <v>0</v>
      </c>
      <c r="R69" s="403">
        <f t="shared" si="27"/>
        <v>22725.597142857143</v>
      </c>
      <c r="S69" s="405">
        <f>+'WP -11 Non-Regulated'!$K$29</f>
        <v>0.47014773860644926</v>
      </c>
      <c r="T69" s="403">
        <f t="shared" si="28"/>
        <v>10684.38810519547</v>
      </c>
      <c r="U69" s="403">
        <f t="shared" si="29"/>
        <v>22725.597142857143</v>
      </c>
      <c r="V69" s="403">
        <f t="shared" si="30"/>
        <v>10684.38810519547</v>
      </c>
      <c r="W69" s="405">
        <v>1</v>
      </c>
      <c r="X69" s="403">
        <f t="shared" si="31"/>
        <v>10684.38810519547</v>
      </c>
      <c r="Y69" s="403">
        <f t="shared" si="32"/>
        <v>21368.776210390941</v>
      </c>
      <c r="Z69" s="403">
        <f t="shared" si="24"/>
        <v>143052.5978422068</v>
      </c>
      <c r="AA69" s="403">
        <f t="shared" si="11"/>
        <v>120</v>
      </c>
      <c r="AB69" s="403">
        <f t="shared" si="12"/>
        <v>122</v>
      </c>
      <c r="AC69" s="403">
        <f t="shared" si="13"/>
        <v>127</v>
      </c>
      <c r="AD69" s="403">
        <f t="shared" si="14"/>
        <v>121</v>
      </c>
      <c r="AE69" s="403">
        <f t="shared" si="15"/>
        <v>-8.3333333333333329E-2</v>
      </c>
      <c r="AF69" s="403">
        <f t="shared" si="18"/>
        <v>0</v>
      </c>
    </row>
    <row r="70" spans="2:32">
      <c r="B70" s="317" t="s">
        <v>688</v>
      </c>
      <c r="C70" s="317">
        <v>2020</v>
      </c>
      <c r="D70" s="317">
        <f t="shared" si="0"/>
        <v>120</v>
      </c>
      <c r="E70" s="317">
        <v>1</v>
      </c>
      <c r="F70" s="404">
        <v>0</v>
      </c>
      <c r="G70" s="396" t="s">
        <v>170</v>
      </c>
      <c r="H70" s="317">
        <v>7</v>
      </c>
      <c r="I70" s="317">
        <f t="shared" si="21"/>
        <v>127</v>
      </c>
      <c r="L70" s="403">
        <v>72023.89</v>
      </c>
      <c r="M70" s="403">
        <v>0</v>
      </c>
      <c r="N70" s="403">
        <f t="shared" si="2"/>
        <v>72023.89</v>
      </c>
      <c r="O70" s="403">
        <f t="shared" si="3"/>
        <v>857.42726190476196</v>
      </c>
      <c r="P70" s="403">
        <f t="shared" si="25"/>
        <v>10289.127142857144</v>
      </c>
      <c r="Q70" s="403">
        <f t="shared" si="26"/>
        <v>0</v>
      </c>
      <c r="R70" s="403">
        <f t="shared" si="27"/>
        <v>10289.127142857144</v>
      </c>
      <c r="S70" s="405">
        <f>+'WP -11 Non-Regulated'!$K$29</f>
        <v>0.47014773860644926</v>
      </c>
      <c r="T70" s="403">
        <f t="shared" si="28"/>
        <v>4837.4098584485228</v>
      </c>
      <c r="U70" s="403">
        <f t="shared" si="29"/>
        <v>10289.127142857144</v>
      </c>
      <c r="V70" s="403">
        <f t="shared" si="30"/>
        <v>4837.4098584485228</v>
      </c>
      <c r="W70" s="405">
        <v>1</v>
      </c>
      <c r="X70" s="403">
        <f t="shared" si="31"/>
        <v>4837.4098584485228</v>
      </c>
      <c r="Y70" s="403">
        <f t="shared" si="32"/>
        <v>9674.8197168970455</v>
      </c>
      <c r="Z70" s="403">
        <f t="shared" si="24"/>
        <v>64767.775212327215</v>
      </c>
      <c r="AA70" s="403">
        <f t="shared" si="11"/>
        <v>120</v>
      </c>
      <c r="AB70" s="403">
        <f t="shared" si="12"/>
        <v>122</v>
      </c>
      <c r="AC70" s="403">
        <f t="shared" si="13"/>
        <v>127</v>
      </c>
      <c r="AD70" s="403">
        <f t="shared" si="14"/>
        <v>121</v>
      </c>
      <c r="AE70" s="403">
        <f t="shared" si="15"/>
        <v>-8.3333333333333329E-2</v>
      </c>
      <c r="AF70" s="403">
        <f t="shared" si="18"/>
        <v>0</v>
      </c>
    </row>
    <row r="71" spans="2:32">
      <c r="B71" s="317" t="s">
        <v>687</v>
      </c>
      <c r="C71" s="317">
        <v>2020</v>
      </c>
      <c r="D71" s="317">
        <f t="shared" si="0"/>
        <v>120</v>
      </c>
      <c r="E71" s="317">
        <v>3</v>
      </c>
      <c r="F71" s="404">
        <v>0</v>
      </c>
      <c r="G71" s="396" t="s">
        <v>170</v>
      </c>
      <c r="H71" s="317">
        <v>7</v>
      </c>
      <c r="I71" s="317">
        <f t="shared" si="21"/>
        <v>127</v>
      </c>
      <c r="L71" s="403">
        <v>65184.55</v>
      </c>
      <c r="M71" s="403">
        <v>0</v>
      </c>
      <c r="N71" s="403">
        <f t="shared" si="2"/>
        <v>65184.55</v>
      </c>
      <c r="O71" s="403">
        <f t="shared" si="3"/>
        <v>776.00654761904764</v>
      </c>
      <c r="P71" s="403">
        <f t="shared" si="25"/>
        <v>9312.0785714285721</v>
      </c>
      <c r="Q71" s="403">
        <f t="shared" si="26"/>
        <v>0</v>
      </c>
      <c r="R71" s="403">
        <f t="shared" si="27"/>
        <v>9312.0785714285721</v>
      </c>
      <c r="S71" s="405">
        <f>+'WP -11 Non-Regulated'!$K$29</f>
        <v>0.47014773860644926</v>
      </c>
      <c r="T71" s="403">
        <f t="shared" si="28"/>
        <v>4378.0526820827181</v>
      </c>
      <c r="U71" s="403">
        <f t="shared" si="29"/>
        <v>7760.0654761904325</v>
      </c>
      <c r="V71" s="403">
        <f t="shared" si="30"/>
        <v>3648.3772350689105</v>
      </c>
      <c r="W71" s="405">
        <v>1</v>
      </c>
      <c r="X71" s="403">
        <f t="shared" si="31"/>
        <v>3648.3772350689105</v>
      </c>
      <c r="Y71" s="403">
        <f t="shared" si="32"/>
        <v>8026.4299171516286</v>
      </c>
      <c r="Z71" s="403">
        <f t="shared" si="24"/>
        <v>59347.146423889732</v>
      </c>
      <c r="AA71" s="403">
        <f t="shared" si="11"/>
        <v>120.16666666666667</v>
      </c>
      <c r="AB71" s="403">
        <f t="shared" si="12"/>
        <v>122</v>
      </c>
      <c r="AC71" s="403">
        <f t="shared" si="13"/>
        <v>127.16666666666667</v>
      </c>
      <c r="AD71" s="403">
        <f t="shared" si="14"/>
        <v>121</v>
      </c>
      <c r="AE71" s="403">
        <f t="shared" si="15"/>
        <v>-8.3333333333333329E-2</v>
      </c>
      <c r="AF71" s="403">
        <f t="shared" si="18"/>
        <v>0</v>
      </c>
    </row>
    <row r="72" spans="2:32">
      <c r="B72" s="317" t="s">
        <v>686</v>
      </c>
      <c r="C72" s="317">
        <v>2020</v>
      </c>
      <c r="D72" s="317">
        <f t="shared" si="0"/>
        <v>120</v>
      </c>
      <c r="E72" s="317">
        <v>10</v>
      </c>
      <c r="F72" s="404">
        <v>0</v>
      </c>
      <c r="G72" s="396" t="s">
        <v>170</v>
      </c>
      <c r="H72" s="317">
        <v>5</v>
      </c>
      <c r="I72" s="317">
        <f t="shared" si="21"/>
        <v>125</v>
      </c>
      <c r="L72" s="403">
        <v>78827.460000000006</v>
      </c>
      <c r="M72" s="403">
        <v>0</v>
      </c>
      <c r="N72" s="403">
        <f t="shared" si="2"/>
        <v>78827.460000000006</v>
      </c>
      <c r="O72" s="403">
        <f t="shared" si="3"/>
        <v>1313.7910000000002</v>
      </c>
      <c r="P72" s="403">
        <f t="shared" si="25"/>
        <v>15765.492000000002</v>
      </c>
      <c r="Q72" s="403">
        <f t="shared" si="26"/>
        <v>0</v>
      </c>
      <c r="R72" s="403">
        <f t="shared" si="27"/>
        <v>15765.492000000002</v>
      </c>
      <c r="S72" s="405">
        <f>+'WP -11 Non-Regulated'!$K$29</f>
        <v>0.47014773860644926</v>
      </c>
      <c r="T72" s="403">
        <f t="shared" si="28"/>
        <v>7412.1104118180683</v>
      </c>
      <c r="U72" s="403">
        <f t="shared" si="29"/>
        <v>3941.3730000000005</v>
      </c>
      <c r="V72" s="403">
        <f t="shared" si="30"/>
        <v>1853.0276029545171</v>
      </c>
      <c r="W72" s="405">
        <v>1</v>
      </c>
      <c r="X72" s="403">
        <f t="shared" si="31"/>
        <v>1853.0276029545171</v>
      </c>
      <c r="Y72" s="403">
        <f t="shared" si="32"/>
        <v>9265.1380147725849</v>
      </c>
      <c r="Z72" s="403">
        <f t="shared" si="24"/>
        <v>73268.37719113646</v>
      </c>
      <c r="AA72" s="403">
        <f t="shared" si="11"/>
        <v>120.75</v>
      </c>
      <c r="AB72" s="403">
        <f t="shared" si="12"/>
        <v>122</v>
      </c>
      <c r="AC72" s="403">
        <f t="shared" si="13"/>
        <v>125.75</v>
      </c>
      <c r="AD72" s="403">
        <f t="shared" si="14"/>
        <v>121</v>
      </c>
      <c r="AE72" s="403">
        <f t="shared" si="15"/>
        <v>-8.3333333333333329E-2</v>
      </c>
      <c r="AF72" s="403">
        <f t="shared" si="18"/>
        <v>0</v>
      </c>
    </row>
    <row r="73" spans="2:32">
      <c r="B73" s="317" t="s">
        <v>685</v>
      </c>
      <c r="C73" s="317">
        <v>2020</v>
      </c>
      <c r="D73" s="317">
        <f t="shared" si="0"/>
        <v>120</v>
      </c>
      <c r="E73" s="317">
        <v>10</v>
      </c>
      <c r="F73" s="404">
        <v>0</v>
      </c>
      <c r="G73" s="396" t="s">
        <v>170</v>
      </c>
      <c r="H73" s="317">
        <v>5</v>
      </c>
      <c r="I73" s="317">
        <f t="shared" si="21"/>
        <v>125</v>
      </c>
      <c r="L73" s="403">
        <v>52837.78</v>
      </c>
      <c r="M73" s="403">
        <v>0</v>
      </c>
      <c r="N73" s="403">
        <f t="shared" si="2"/>
        <v>52837.78</v>
      </c>
      <c r="O73" s="403">
        <f t="shared" si="3"/>
        <v>880.62966666666671</v>
      </c>
      <c r="P73" s="403">
        <f t="shared" si="25"/>
        <v>10567.556</v>
      </c>
      <c r="Q73" s="403">
        <f t="shared" si="26"/>
        <v>0</v>
      </c>
      <c r="R73" s="403">
        <f t="shared" si="27"/>
        <v>10567.556</v>
      </c>
      <c r="S73" s="405">
        <f>+'WP -11 Non-Regulated'!$K$29</f>
        <v>0.47014773860644926</v>
      </c>
      <c r="T73" s="403">
        <f t="shared" si="28"/>
        <v>4968.3125559970149</v>
      </c>
      <c r="U73" s="403">
        <f t="shared" si="29"/>
        <v>2641.8890000000001</v>
      </c>
      <c r="V73" s="403">
        <f t="shared" si="30"/>
        <v>1242.0781389992537</v>
      </c>
      <c r="W73" s="405">
        <v>1</v>
      </c>
      <c r="X73" s="403">
        <f t="shared" si="31"/>
        <v>1242.0781389992537</v>
      </c>
      <c r="Y73" s="403">
        <f t="shared" si="32"/>
        <v>6210.3906949962684</v>
      </c>
      <c r="Z73" s="403">
        <f t="shared" si="24"/>
        <v>49111.54558300224</v>
      </c>
      <c r="AA73" s="403">
        <f t="shared" si="11"/>
        <v>120.75</v>
      </c>
      <c r="AB73" s="403">
        <f t="shared" si="12"/>
        <v>122</v>
      </c>
      <c r="AC73" s="403">
        <f t="shared" si="13"/>
        <v>125.75</v>
      </c>
      <c r="AD73" s="403">
        <f t="shared" si="14"/>
        <v>121</v>
      </c>
      <c r="AE73" s="403">
        <f t="shared" si="15"/>
        <v>-8.3333333333333329E-2</v>
      </c>
      <c r="AF73" s="403">
        <f t="shared" si="18"/>
        <v>0</v>
      </c>
    </row>
    <row r="74" spans="2:32">
      <c r="B74" s="317" t="s">
        <v>684</v>
      </c>
      <c r="C74" s="317">
        <v>2020</v>
      </c>
      <c r="D74" s="317">
        <f t="shared" si="0"/>
        <v>120</v>
      </c>
      <c r="E74" s="317">
        <v>1</v>
      </c>
      <c r="F74" s="404">
        <v>0</v>
      </c>
      <c r="G74" s="396" t="s">
        <v>170</v>
      </c>
      <c r="H74" s="317">
        <v>7</v>
      </c>
      <c r="I74" s="317">
        <f t="shared" si="21"/>
        <v>127</v>
      </c>
      <c r="L74" s="403">
        <v>156565.64000000001</v>
      </c>
      <c r="M74" s="403">
        <v>0</v>
      </c>
      <c r="N74" s="403">
        <f t="shared" si="2"/>
        <v>156565.64000000001</v>
      </c>
      <c r="O74" s="403">
        <f t="shared" si="3"/>
        <v>1863.8766666666668</v>
      </c>
      <c r="P74" s="403">
        <f t="shared" si="25"/>
        <v>22366.52</v>
      </c>
      <c r="Q74" s="403">
        <f t="shared" si="26"/>
        <v>0</v>
      </c>
      <c r="R74" s="403">
        <f t="shared" si="27"/>
        <v>22366.52</v>
      </c>
      <c r="S74" s="405">
        <f>+'WP -11 Non-Regulated'!$K$29</f>
        <v>0.47014773860644926</v>
      </c>
      <c r="T74" s="403">
        <f t="shared" si="28"/>
        <v>10515.56879849592</v>
      </c>
      <c r="U74" s="403">
        <f t="shared" si="29"/>
        <v>22366.52</v>
      </c>
      <c r="V74" s="403">
        <f t="shared" si="30"/>
        <v>10515.56879849592</v>
      </c>
      <c r="W74" s="405">
        <v>1</v>
      </c>
      <c r="X74" s="403">
        <f t="shared" si="31"/>
        <v>10515.56879849592</v>
      </c>
      <c r="Y74" s="403">
        <f t="shared" si="32"/>
        <v>21031.137596991841</v>
      </c>
      <c r="Z74" s="403">
        <f t="shared" si="24"/>
        <v>140792.28680225613</v>
      </c>
      <c r="AA74" s="403">
        <f t="shared" si="11"/>
        <v>120</v>
      </c>
      <c r="AB74" s="403">
        <f t="shared" si="12"/>
        <v>122</v>
      </c>
      <c r="AC74" s="403">
        <f t="shared" si="13"/>
        <v>127</v>
      </c>
      <c r="AD74" s="403">
        <f t="shared" si="14"/>
        <v>121</v>
      </c>
      <c r="AE74" s="403">
        <f t="shared" si="15"/>
        <v>-8.3333333333333329E-2</v>
      </c>
      <c r="AF74" s="403">
        <f t="shared" si="18"/>
        <v>0</v>
      </c>
    </row>
    <row r="75" spans="2:32">
      <c r="B75" s="317" t="s">
        <v>683</v>
      </c>
      <c r="C75" s="317">
        <v>2020</v>
      </c>
      <c r="D75" s="317">
        <f t="shared" si="0"/>
        <v>120</v>
      </c>
      <c r="E75" s="317">
        <v>8</v>
      </c>
      <c r="F75" s="404">
        <v>0</v>
      </c>
      <c r="G75" s="396" t="s">
        <v>170</v>
      </c>
      <c r="H75" s="317">
        <v>5</v>
      </c>
      <c r="I75" s="317">
        <f t="shared" si="21"/>
        <v>125</v>
      </c>
      <c r="L75" s="403">
        <v>66006.61</v>
      </c>
      <c r="M75" s="403">
        <v>0</v>
      </c>
      <c r="N75" s="403">
        <f t="shared" si="2"/>
        <v>66006.61</v>
      </c>
      <c r="O75" s="403">
        <f t="shared" si="3"/>
        <v>1100.1101666666666</v>
      </c>
      <c r="P75" s="403">
        <f t="shared" si="25"/>
        <v>13201.322</v>
      </c>
      <c r="Q75" s="403">
        <f t="shared" si="26"/>
        <v>0</v>
      </c>
      <c r="R75" s="403">
        <f t="shared" si="27"/>
        <v>13201.322</v>
      </c>
      <c r="S75" s="405">
        <f>+'WP -11 Non-Regulated'!$K$29</f>
        <v>0.47014773860644926</v>
      </c>
      <c r="T75" s="403">
        <f t="shared" si="28"/>
        <v>6206.5716849155679</v>
      </c>
      <c r="U75" s="403">
        <f t="shared" si="29"/>
        <v>5500.5508333333955</v>
      </c>
      <c r="V75" s="403">
        <f t="shared" si="30"/>
        <v>2586.0715353815158</v>
      </c>
      <c r="W75" s="405">
        <v>1</v>
      </c>
      <c r="X75" s="403">
        <f t="shared" si="31"/>
        <v>2586.0715353815158</v>
      </c>
      <c r="Y75" s="403">
        <f t="shared" si="32"/>
        <v>8792.6432202970827</v>
      </c>
      <c r="Z75" s="403">
        <f t="shared" si="24"/>
        <v>60317.252622160704</v>
      </c>
      <c r="AA75" s="403">
        <f t="shared" si="11"/>
        <v>120.58333333333333</v>
      </c>
      <c r="AB75" s="403">
        <f t="shared" si="12"/>
        <v>122</v>
      </c>
      <c r="AC75" s="403">
        <f t="shared" si="13"/>
        <v>125.58333333333333</v>
      </c>
      <c r="AD75" s="403">
        <f t="shared" si="14"/>
        <v>121</v>
      </c>
      <c r="AE75" s="403">
        <f t="shared" si="15"/>
        <v>-8.3333333333333329E-2</v>
      </c>
      <c r="AF75" s="403">
        <f t="shared" si="18"/>
        <v>0</v>
      </c>
    </row>
    <row r="76" spans="2:32">
      <c r="B76" s="317" t="s">
        <v>682</v>
      </c>
      <c r="C76" s="317">
        <v>2020</v>
      </c>
      <c r="D76" s="317">
        <f t="shared" si="0"/>
        <v>120</v>
      </c>
      <c r="E76" s="317">
        <v>7</v>
      </c>
      <c r="F76" s="404">
        <v>0</v>
      </c>
      <c r="G76" s="396" t="s">
        <v>170</v>
      </c>
      <c r="H76" s="317">
        <v>5</v>
      </c>
      <c r="I76" s="317">
        <f t="shared" si="21"/>
        <v>125</v>
      </c>
      <c r="L76" s="403">
        <v>7728</v>
      </c>
      <c r="M76" s="403">
        <v>0</v>
      </c>
      <c r="N76" s="403">
        <f t="shared" si="2"/>
        <v>7728</v>
      </c>
      <c r="O76" s="403">
        <f t="shared" si="3"/>
        <v>128.79999999999998</v>
      </c>
      <c r="P76" s="403">
        <f t="shared" si="25"/>
        <v>1545.6</v>
      </c>
      <c r="Q76" s="403">
        <f t="shared" si="26"/>
        <v>0</v>
      </c>
      <c r="R76" s="403">
        <f t="shared" si="27"/>
        <v>1545.6</v>
      </c>
      <c r="S76" s="405">
        <f>+'WP -11 Non-Regulated'!$K$29</f>
        <v>0.47014773860644926</v>
      </c>
      <c r="T76" s="403">
        <f t="shared" si="28"/>
        <v>726.66034479012797</v>
      </c>
      <c r="U76" s="403">
        <f t="shared" si="29"/>
        <v>772.8</v>
      </c>
      <c r="V76" s="403">
        <f t="shared" si="30"/>
        <v>363.33017239506398</v>
      </c>
      <c r="W76" s="405">
        <v>1</v>
      </c>
      <c r="X76" s="403">
        <f t="shared" si="31"/>
        <v>363.33017239506398</v>
      </c>
      <c r="Y76" s="403">
        <f t="shared" si="32"/>
        <v>1089.9905171851919</v>
      </c>
      <c r="Z76" s="403">
        <f t="shared" si="24"/>
        <v>7001.339655209872</v>
      </c>
      <c r="AA76" s="403">
        <f t="shared" si="11"/>
        <v>120.5</v>
      </c>
      <c r="AB76" s="403">
        <f t="shared" si="12"/>
        <v>122</v>
      </c>
      <c r="AC76" s="403">
        <f t="shared" si="13"/>
        <v>125.5</v>
      </c>
      <c r="AD76" s="403">
        <f t="shared" si="14"/>
        <v>121</v>
      </c>
      <c r="AE76" s="403">
        <f t="shared" si="15"/>
        <v>-8.3333333333333329E-2</v>
      </c>
      <c r="AF76" s="403">
        <f t="shared" si="18"/>
        <v>0</v>
      </c>
    </row>
    <row r="77" spans="2:32">
      <c r="B77" s="317" t="s">
        <v>762</v>
      </c>
      <c r="C77" s="317">
        <v>2021</v>
      </c>
      <c r="D77" s="317">
        <f t="shared" si="0"/>
        <v>121</v>
      </c>
      <c r="E77" s="317">
        <v>3</v>
      </c>
      <c r="F77" s="404">
        <v>0</v>
      </c>
      <c r="G77" s="396" t="s">
        <v>170</v>
      </c>
      <c r="H77" s="317">
        <v>7</v>
      </c>
      <c r="I77" s="317">
        <f t="shared" si="21"/>
        <v>128</v>
      </c>
      <c r="L77" s="403">
        <v>3500</v>
      </c>
      <c r="M77" s="403"/>
      <c r="N77" s="403">
        <f t="shared" si="2"/>
        <v>3500</v>
      </c>
      <c r="O77" s="403">
        <f t="shared" si="3"/>
        <v>41.666666666666664</v>
      </c>
      <c r="P77" s="403">
        <f t="shared" si="25"/>
        <v>416.6666666666643</v>
      </c>
      <c r="Q77" s="403">
        <f t="shared" si="26"/>
        <v>0</v>
      </c>
      <c r="R77" s="403">
        <f t="shared" si="27"/>
        <v>416.6666666666643</v>
      </c>
      <c r="S77" s="405">
        <f>+'WP -11 Non-Regulated'!$K$29</f>
        <v>0.47014773860644926</v>
      </c>
      <c r="T77" s="403">
        <f t="shared" si="28"/>
        <v>195.89489108601941</v>
      </c>
      <c r="U77" s="403">
        <f t="shared" si="29"/>
        <v>0</v>
      </c>
      <c r="V77" s="403">
        <f t="shared" si="30"/>
        <v>0</v>
      </c>
      <c r="W77" s="405">
        <v>1</v>
      </c>
      <c r="X77" s="403">
        <f t="shared" si="31"/>
        <v>0</v>
      </c>
      <c r="Y77" s="403">
        <f t="shared" si="32"/>
        <v>195.89489108601941</v>
      </c>
      <c r="Z77" s="403">
        <f t="shared" si="24"/>
        <v>3402.0525544569905</v>
      </c>
      <c r="AA77" s="403">
        <f t="shared" si="11"/>
        <v>121.16666666666667</v>
      </c>
      <c r="AB77" s="403">
        <f t="shared" si="12"/>
        <v>122</v>
      </c>
      <c r="AC77" s="403">
        <f t="shared" si="13"/>
        <v>128.16666666666666</v>
      </c>
      <c r="AD77" s="403">
        <f t="shared" si="14"/>
        <v>121</v>
      </c>
      <c r="AE77" s="403">
        <f t="shared" si="15"/>
        <v>-8.3333333333333329E-2</v>
      </c>
      <c r="AF77" s="403">
        <f t="shared" si="18"/>
        <v>0</v>
      </c>
    </row>
    <row r="78" spans="2:32">
      <c r="B78" s="317" t="s">
        <v>681</v>
      </c>
      <c r="C78" s="317">
        <v>2021</v>
      </c>
      <c r="D78" s="317">
        <f t="shared" si="0"/>
        <v>121</v>
      </c>
      <c r="E78" s="317">
        <v>7</v>
      </c>
      <c r="F78" s="404">
        <v>0</v>
      </c>
      <c r="G78" s="396" t="s">
        <v>170</v>
      </c>
      <c r="H78" s="317">
        <v>5</v>
      </c>
      <c r="I78" s="317">
        <f t="shared" si="21"/>
        <v>126</v>
      </c>
      <c r="L78" s="403">
        <v>64848.02</v>
      </c>
      <c r="M78" s="403">
        <v>0</v>
      </c>
      <c r="N78" s="403">
        <f t="shared" si="2"/>
        <v>64848.02</v>
      </c>
      <c r="O78" s="403">
        <f t="shared" si="3"/>
        <v>1080.8003333333334</v>
      </c>
      <c r="P78" s="403">
        <f t="shared" si="25"/>
        <v>6484.8019999999997</v>
      </c>
      <c r="Q78" s="403">
        <f t="shared" si="26"/>
        <v>0</v>
      </c>
      <c r="R78" s="403">
        <f t="shared" si="27"/>
        <v>6484.8019999999997</v>
      </c>
      <c r="S78" s="405">
        <f>+'WP -11 Non-Regulated'!$K$29</f>
        <v>0.47014773860644926</v>
      </c>
      <c r="T78" s="403">
        <f t="shared" si="28"/>
        <v>3048.8149956105794</v>
      </c>
      <c r="U78" s="403">
        <f t="shared" si="29"/>
        <v>0</v>
      </c>
      <c r="V78" s="403">
        <f t="shared" si="30"/>
        <v>0</v>
      </c>
      <c r="W78" s="405">
        <v>1</v>
      </c>
      <c r="X78" s="403">
        <f t="shared" si="31"/>
        <v>0</v>
      </c>
      <c r="Y78" s="403">
        <f t="shared" si="32"/>
        <v>3048.8149956105794</v>
      </c>
      <c r="Z78" s="403">
        <f t="shared" si="24"/>
        <v>63323.612502194708</v>
      </c>
      <c r="AA78" s="403">
        <f t="shared" si="11"/>
        <v>121.5</v>
      </c>
      <c r="AB78" s="403">
        <f t="shared" si="12"/>
        <v>122</v>
      </c>
      <c r="AC78" s="403">
        <f t="shared" si="13"/>
        <v>126.5</v>
      </c>
      <c r="AD78" s="403">
        <f t="shared" si="14"/>
        <v>121</v>
      </c>
      <c r="AE78" s="403">
        <f t="shared" si="15"/>
        <v>-8.3333333333333329E-2</v>
      </c>
      <c r="AF78" s="403">
        <f t="shared" si="18"/>
        <v>0</v>
      </c>
    </row>
    <row r="79" spans="2:32">
      <c r="B79" s="317" t="s">
        <v>680</v>
      </c>
      <c r="C79" s="317">
        <v>2021</v>
      </c>
      <c r="D79" s="317">
        <f t="shared" si="0"/>
        <v>121</v>
      </c>
      <c r="E79" s="317">
        <v>3</v>
      </c>
      <c r="F79" s="404">
        <v>0</v>
      </c>
      <c r="G79" s="396" t="s">
        <v>170</v>
      </c>
      <c r="H79" s="317">
        <v>7</v>
      </c>
      <c r="I79" s="317">
        <f t="shared" si="21"/>
        <v>128</v>
      </c>
      <c r="L79" s="403">
        <v>189629.48</v>
      </c>
      <c r="M79" s="403">
        <v>0</v>
      </c>
      <c r="N79" s="403">
        <f t="shared" si="2"/>
        <v>189629.48</v>
      </c>
      <c r="O79" s="403">
        <f t="shared" si="3"/>
        <v>2257.4938095238099</v>
      </c>
      <c r="P79" s="403">
        <f t="shared" si="25"/>
        <v>22574.938095237969</v>
      </c>
      <c r="Q79" s="403">
        <f t="shared" si="26"/>
        <v>0</v>
      </c>
      <c r="R79" s="403">
        <f t="shared" si="27"/>
        <v>22574.938095237969</v>
      </c>
      <c r="S79" s="405">
        <f>+'WP -11 Non-Regulated'!$K$29</f>
        <v>0.47014773860644926</v>
      </c>
      <c r="T79" s="403">
        <f t="shared" si="28"/>
        <v>10613.556094656715</v>
      </c>
      <c r="U79" s="403">
        <f t="shared" si="29"/>
        <v>0</v>
      </c>
      <c r="V79" s="403">
        <f t="shared" si="30"/>
        <v>0</v>
      </c>
      <c r="W79" s="405">
        <v>1</v>
      </c>
      <c r="X79" s="403">
        <f t="shared" si="31"/>
        <v>0</v>
      </c>
      <c r="Y79" s="403">
        <f t="shared" si="32"/>
        <v>10613.556094656715</v>
      </c>
      <c r="Z79" s="403">
        <f t="shared" si="24"/>
        <v>184322.70195267166</v>
      </c>
      <c r="AA79" s="403">
        <f t="shared" si="11"/>
        <v>121.16666666666667</v>
      </c>
      <c r="AB79" s="403">
        <f t="shared" si="12"/>
        <v>122</v>
      </c>
      <c r="AC79" s="403">
        <f t="shared" si="13"/>
        <v>128.16666666666666</v>
      </c>
      <c r="AD79" s="403">
        <f t="shared" si="14"/>
        <v>121</v>
      </c>
      <c r="AE79" s="403">
        <f t="shared" si="15"/>
        <v>-8.3333333333333329E-2</v>
      </c>
      <c r="AF79" s="403">
        <f t="shared" si="18"/>
        <v>0</v>
      </c>
    </row>
    <row r="80" spans="2:32">
      <c r="B80" s="317" t="s">
        <v>679</v>
      </c>
      <c r="C80" s="317">
        <v>2021</v>
      </c>
      <c r="D80" s="317">
        <f t="shared" si="0"/>
        <v>121</v>
      </c>
      <c r="E80" s="317">
        <v>3</v>
      </c>
      <c r="F80" s="404">
        <v>0</v>
      </c>
      <c r="G80" s="396" t="s">
        <v>170</v>
      </c>
      <c r="H80" s="317">
        <v>7</v>
      </c>
      <c r="I80" s="317">
        <f t="shared" si="21"/>
        <v>128</v>
      </c>
      <c r="L80" s="403">
        <v>140675.37</v>
      </c>
      <c r="M80" s="403">
        <v>0</v>
      </c>
      <c r="N80" s="403">
        <f t="shared" si="2"/>
        <v>140675.37</v>
      </c>
      <c r="O80" s="403">
        <f t="shared" si="3"/>
        <v>1674.7067857142856</v>
      </c>
      <c r="P80" s="403">
        <f t="shared" si="25"/>
        <v>16747.06785714276</v>
      </c>
      <c r="Q80" s="403">
        <f t="shared" si="26"/>
        <v>0</v>
      </c>
      <c r="R80" s="403">
        <f t="shared" si="27"/>
        <v>16747.06785714276</v>
      </c>
      <c r="S80" s="405">
        <f>+'WP -11 Non-Regulated'!$K$29</f>
        <v>0.47014773860644926</v>
      </c>
      <c r="T80" s="403">
        <f t="shared" si="28"/>
        <v>7873.5960813244228</v>
      </c>
      <c r="U80" s="403">
        <f t="shared" si="29"/>
        <v>0</v>
      </c>
      <c r="V80" s="403">
        <f t="shared" si="30"/>
        <v>0</v>
      </c>
      <c r="W80" s="405">
        <v>1</v>
      </c>
      <c r="X80" s="403">
        <f t="shared" si="31"/>
        <v>0</v>
      </c>
      <c r="Y80" s="403">
        <f t="shared" si="32"/>
        <v>7873.5960813244228</v>
      </c>
      <c r="Z80" s="403">
        <f t="shared" si="24"/>
        <v>136738.57195933777</v>
      </c>
      <c r="AA80" s="403">
        <f t="shared" si="11"/>
        <v>121.16666666666667</v>
      </c>
      <c r="AB80" s="403">
        <f t="shared" si="12"/>
        <v>122</v>
      </c>
      <c r="AC80" s="403">
        <f t="shared" si="13"/>
        <v>128.16666666666666</v>
      </c>
      <c r="AD80" s="403">
        <f t="shared" si="14"/>
        <v>121</v>
      </c>
      <c r="AE80" s="403">
        <f t="shared" si="15"/>
        <v>-8.3333333333333329E-2</v>
      </c>
      <c r="AF80" s="403">
        <f t="shared" si="18"/>
        <v>0</v>
      </c>
    </row>
    <row r="81" spans="2:32">
      <c r="B81" s="317" t="s">
        <v>678</v>
      </c>
      <c r="C81" s="317">
        <v>2021</v>
      </c>
      <c r="D81" s="317">
        <f t="shared" ref="D81:D99" si="33">+C81-1900</f>
        <v>121</v>
      </c>
      <c r="E81" s="317">
        <v>5</v>
      </c>
      <c r="F81" s="404">
        <v>0</v>
      </c>
      <c r="G81" s="396" t="s">
        <v>170</v>
      </c>
      <c r="H81" s="317">
        <v>7</v>
      </c>
      <c r="I81" s="317">
        <f t="shared" si="21"/>
        <v>128</v>
      </c>
      <c r="L81" s="403">
        <v>190022.87</v>
      </c>
      <c r="M81" s="403">
        <v>0</v>
      </c>
      <c r="N81" s="403">
        <f t="shared" ref="N81:N99" si="34">L81-(+L81*F81)</f>
        <v>190022.87</v>
      </c>
      <c r="O81" s="403">
        <f t="shared" ref="O81:O99" si="35">N81/H81/12</f>
        <v>2262.1770238095237</v>
      </c>
      <c r="P81" s="403">
        <f t="shared" si="25"/>
        <v>18097.416190476317</v>
      </c>
      <c r="Q81" s="403">
        <f t="shared" si="26"/>
        <v>0</v>
      </c>
      <c r="R81" s="403">
        <f t="shared" si="27"/>
        <v>18097.416190476317</v>
      </c>
      <c r="S81" s="405">
        <f>+'WP -11 Non-Regulated'!$K$29</f>
        <v>0.47014773860644926</v>
      </c>
      <c r="T81" s="403">
        <f t="shared" si="28"/>
        <v>8508.4592965721822</v>
      </c>
      <c r="U81" s="403">
        <f t="shared" si="29"/>
        <v>0</v>
      </c>
      <c r="V81" s="403">
        <f t="shared" si="30"/>
        <v>0</v>
      </c>
      <c r="W81" s="405">
        <v>1</v>
      </c>
      <c r="X81" s="403">
        <f t="shared" si="31"/>
        <v>0</v>
      </c>
      <c r="Y81" s="403">
        <f t="shared" si="32"/>
        <v>8508.4592965721822</v>
      </c>
      <c r="Z81" s="403">
        <f t="shared" si="24"/>
        <v>185768.6403517139</v>
      </c>
      <c r="AA81" s="403">
        <f t="shared" si="11"/>
        <v>121.33333333333333</v>
      </c>
      <c r="AB81" s="403">
        <f t="shared" si="12"/>
        <v>122</v>
      </c>
      <c r="AC81" s="403">
        <f t="shared" si="13"/>
        <v>128.33333333333334</v>
      </c>
      <c r="AD81" s="403">
        <f t="shared" si="14"/>
        <v>121</v>
      </c>
      <c r="AE81" s="403">
        <f t="shared" si="15"/>
        <v>-8.3333333333333329E-2</v>
      </c>
      <c r="AF81" s="403">
        <f t="shared" ref="AF81:AF99" si="36">L81-((X81+Y81)/2)-Z81</f>
        <v>0</v>
      </c>
    </row>
    <row r="82" spans="2:32">
      <c r="B82" s="317" t="s">
        <v>677</v>
      </c>
      <c r="C82" s="317">
        <v>2021</v>
      </c>
      <c r="D82" s="317">
        <f t="shared" si="33"/>
        <v>121</v>
      </c>
      <c r="E82" s="317">
        <v>5</v>
      </c>
      <c r="F82" s="404">
        <v>0</v>
      </c>
      <c r="G82" s="396" t="s">
        <v>170</v>
      </c>
      <c r="H82" s="317">
        <v>7</v>
      </c>
      <c r="I82" s="317">
        <f t="shared" si="21"/>
        <v>128</v>
      </c>
      <c r="L82" s="403">
        <v>130209.51</v>
      </c>
      <c r="M82" s="403">
        <v>0</v>
      </c>
      <c r="N82" s="403">
        <f t="shared" si="34"/>
        <v>130209.51</v>
      </c>
      <c r="O82" s="403">
        <f t="shared" si="35"/>
        <v>1550.1132142857141</v>
      </c>
      <c r="P82" s="403">
        <f t="shared" si="25"/>
        <v>12400.9057142858</v>
      </c>
      <c r="Q82" s="403">
        <f t="shared" si="26"/>
        <v>0</v>
      </c>
      <c r="R82" s="403">
        <f t="shared" si="27"/>
        <v>12400.9057142858</v>
      </c>
      <c r="S82" s="405">
        <f>+'WP -11 Non-Regulated'!$K$29</f>
        <v>0.47014773860644926</v>
      </c>
      <c r="T82" s="403">
        <f t="shared" si="28"/>
        <v>5830.2577782432636</v>
      </c>
      <c r="U82" s="403">
        <f t="shared" si="29"/>
        <v>0</v>
      </c>
      <c r="V82" s="403">
        <f t="shared" si="30"/>
        <v>0</v>
      </c>
      <c r="W82" s="405">
        <v>1</v>
      </c>
      <c r="X82" s="403">
        <f t="shared" si="31"/>
        <v>0</v>
      </c>
      <c r="Y82" s="403">
        <f t="shared" si="32"/>
        <v>5830.2577782432636</v>
      </c>
      <c r="Z82" s="403">
        <f t="shared" si="24"/>
        <v>127294.38111087837</v>
      </c>
      <c r="AA82" s="403">
        <f t="shared" si="11"/>
        <v>121.33333333333333</v>
      </c>
      <c r="AB82" s="403">
        <f t="shared" si="12"/>
        <v>122</v>
      </c>
      <c r="AC82" s="403">
        <f t="shared" si="13"/>
        <v>128.33333333333334</v>
      </c>
      <c r="AD82" s="403">
        <f t="shared" si="14"/>
        <v>121</v>
      </c>
      <c r="AE82" s="403">
        <f t="shared" si="15"/>
        <v>-8.3333333333333329E-2</v>
      </c>
      <c r="AF82" s="403">
        <f t="shared" si="36"/>
        <v>0</v>
      </c>
    </row>
    <row r="83" spans="2:32">
      <c r="B83" s="317" t="s">
        <v>676</v>
      </c>
      <c r="C83" s="317">
        <v>2021</v>
      </c>
      <c r="D83" s="317">
        <f t="shared" si="33"/>
        <v>121</v>
      </c>
      <c r="E83" s="317">
        <v>5</v>
      </c>
      <c r="F83" s="404">
        <v>0</v>
      </c>
      <c r="G83" s="396" t="s">
        <v>170</v>
      </c>
      <c r="H83" s="317">
        <v>7</v>
      </c>
      <c r="I83" s="317">
        <f t="shared" si="21"/>
        <v>128</v>
      </c>
      <c r="L83" s="403">
        <v>190022.87</v>
      </c>
      <c r="M83" s="403">
        <v>0</v>
      </c>
      <c r="N83" s="403">
        <f t="shared" si="34"/>
        <v>190022.87</v>
      </c>
      <c r="O83" s="403">
        <f t="shared" si="35"/>
        <v>2262.1770238095237</v>
      </c>
      <c r="P83" s="403">
        <f t="shared" si="25"/>
        <v>18097.416190476317</v>
      </c>
      <c r="Q83" s="403">
        <f t="shared" si="26"/>
        <v>0</v>
      </c>
      <c r="R83" s="403">
        <f t="shared" si="27"/>
        <v>18097.416190476317</v>
      </c>
      <c r="S83" s="405">
        <f>+'WP -11 Non-Regulated'!$K$29</f>
        <v>0.47014773860644926</v>
      </c>
      <c r="T83" s="403">
        <f t="shared" si="28"/>
        <v>8508.4592965721822</v>
      </c>
      <c r="U83" s="403">
        <f t="shared" si="29"/>
        <v>0</v>
      </c>
      <c r="V83" s="403">
        <f t="shared" si="30"/>
        <v>0</v>
      </c>
      <c r="W83" s="405">
        <v>1</v>
      </c>
      <c r="X83" s="403">
        <f t="shared" si="31"/>
        <v>0</v>
      </c>
      <c r="Y83" s="403">
        <f t="shared" si="32"/>
        <v>8508.4592965721822</v>
      </c>
      <c r="Z83" s="403">
        <f t="shared" si="24"/>
        <v>185768.6403517139</v>
      </c>
      <c r="AA83" s="403">
        <f t="shared" si="11"/>
        <v>121.33333333333333</v>
      </c>
      <c r="AB83" s="403">
        <f t="shared" si="12"/>
        <v>122</v>
      </c>
      <c r="AC83" s="403">
        <f t="shared" si="13"/>
        <v>128.33333333333334</v>
      </c>
      <c r="AD83" s="403">
        <f t="shared" si="14"/>
        <v>121</v>
      </c>
      <c r="AE83" s="403">
        <f t="shared" si="15"/>
        <v>-8.3333333333333329E-2</v>
      </c>
      <c r="AF83" s="403">
        <f t="shared" si="36"/>
        <v>0</v>
      </c>
    </row>
    <row r="84" spans="2:32">
      <c r="B84" s="317" t="s">
        <v>675</v>
      </c>
      <c r="C84" s="317">
        <v>2021</v>
      </c>
      <c r="D84" s="317">
        <f t="shared" si="33"/>
        <v>121</v>
      </c>
      <c r="E84" s="317">
        <v>5</v>
      </c>
      <c r="F84" s="404">
        <v>0</v>
      </c>
      <c r="G84" s="396" t="s">
        <v>170</v>
      </c>
      <c r="H84" s="317">
        <v>7</v>
      </c>
      <c r="I84" s="317">
        <f t="shared" si="21"/>
        <v>128</v>
      </c>
      <c r="L84" s="403">
        <v>130209.51</v>
      </c>
      <c r="M84" s="403">
        <v>0</v>
      </c>
      <c r="N84" s="403">
        <f t="shared" si="34"/>
        <v>130209.51</v>
      </c>
      <c r="O84" s="403">
        <f t="shared" si="35"/>
        <v>1550.1132142857141</v>
      </c>
      <c r="P84" s="403">
        <f t="shared" si="25"/>
        <v>12400.9057142858</v>
      </c>
      <c r="Q84" s="403">
        <f t="shared" si="26"/>
        <v>0</v>
      </c>
      <c r="R84" s="403">
        <f t="shared" si="27"/>
        <v>12400.9057142858</v>
      </c>
      <c r="S84" s="405">
        <f>+'WP -11 Non-Regulated'!$K$29</f>
        <v>0.47014773860644926</v>
      </c>
      <c r="T84" s="403">
        <f t="shared" si="28"/>
        <v>5830.2577782432636</v>
      </c>
      <c r="U84" s="403">
        <f t="shared" si="29"/>
        <v>0</v>
      </c>
      <c r="V84" s="403">
        <f t="shared" si="30"/>
        <v>0</v>
      </c>
      <c r="W84" s="405">
        <v>1</v>
      </c>
      <c r="X84" s="403">
        <f t="shared" si="31"/>
        <v>0</v>
      </c>
      <c r="Y84" s="403">
        <f t="shared" si="32"/>
        <v>5830.2577782432636</v>
      </c>
      <c r="Z84" s="403">
        <f t="shared" si="24"/>
        <v>127294.38111087837</v>
      </c>
      <c r="AA84" s="403">
        <f t="shared" si="11"/>
        <v>121.33333333333333</v>
      </c>
      <c r="AB84" s="403">
        <f t="shared" si="12"/>
        <v>122</v>
      </c>
      <c r="AC84" s="403">
        <f t="shared" si="13"/>
        <v>128.33333333333334</v>
      </c>
      <c r="AD84" s="403">
        <f t="shared" si="14"/>
        <v>121</v>
      </c>
      <c r="AE84" s="403">
        <f t="shared" si="15"/>
        <v>-8.3333333333333329E-2</v>
      </c>
      <c r="AF84" s="403">
        <f t="shared" si="36"/>
        <v>0</v>
      </c>
    </row>
    <row r="85" spans="2:32">
      <c r="B85" s="317" t="s">
        <v>674</v>
      </c>
      <c r="C85" s="317">
        <v>2021</v>
      </c>
      <c r="D85" s="317">
        <f t="shared" si="33"/>
        <v>121</v>
      </c>
      <c r="E85" s="317">
        <v>3</v>
      </c>
      <c r="F85" s="404">
        <v>0</v>
      </c>
      <c r="G85" s="396" t="s">
        <v>170</v>
      </c>
      <c r="H85" s="317">
        <v>5</v>
      </c>
      <c r="I85" s="317">
        <f t="shared" si="21"/>
        <v>126</v>
      </c>
      <c r="L85" s="403">
        <v>28216.23</v>
      </c>
      <c r="M85" s="403">
        <v>0</v>
      </c>
      <c r="N85" s="403">
        <f t="shared" si="34"/>
        <v>28216.23</v>
      </c>
      <c r="O85" s="403">
        <f t="shared" si="35"/>
        <v>470.27050000000003</v>
      </c>
      <c r="P85" s="403">
        <f t="shared" si="25"/>
        <v>4702.7049999999736</v>
      </c>
      <c r="Q85" s="403">
        <f t="shared" si="26"/>
        <v>0</v>
      </c>
      <c r="R85" s="403">
        <f t="shared" si="27"/>
        <v>4702.7049999999736</v>
      </c>
      <c r="S85" s="405">
        <f>+'WP -11 Non-Regulated'!$K$29</f>
        <v>0.47014773860644926</v>
      </c>
      <c r="T85" s="403">
        <f t="shared" si="28"/>
        <v>2210.9661210832296</v>
      </c>
      <c r="U85" s="403">
        <f t="shared" si="29"/>
        <v>0</v>
      </c>
      <c r="V85" s="403">
        <f t="shared" si="30"/>
        <v>0</v>
      </c>
      <c r="W85" s="405">
        <v>1</v>
      </c>
      <c r="X85" s="403">
        <f t="shared" si="31"/>
        <v>0</v>
      </c>
      <c r="Y85" s="403">
        <f t="shared" si="32"/>
        <v>2210.9661210832296</v>
      </c>
      <c r="Z85" s="403">
        <f t="shared" si="24"/>
        <v>27110.746939458386</v>
      </c>
      <c r="AA85" s="403">
        <f t="shared" si="11"/>
        <v>121.16666666666667</v>
      </c>
      <c r="AB85" s="403">
        <f t="shared" si="12"/>
        <v>122</v>
      </c>
      <c r="AC85" s="403">
        <f t="shared" si="13"/>
        <v>126.16666666666667</v>
      </c>
      <c r="AD85" s="403">
        <f t="shared" si="14"/>
        <v>121</v>
      </c>
      <c r="AE85" s="403">
        <f t="shared" si="15"/>
        <v>-8.3333333333333329E-2</v>
      </c>
      <c r="AF85" s="403">
        <f t="shared" si="36"/>
        <v>0</v>
      </c>
    </row>
    <row r="86" spans="2:32">
      <c r="B86" s="317" t="s">
        <v>673</v>
      </c>
      <c r="C86" s="317">
        <v>2021</v>
      </c>
      <c r="D86" s="317">
        <f t="shared" si="33"/>
        <v>121</v>
      </c>
      <c r="E86" s="317">
        <v>6</v>
      </c>
      <c r="F86" s="404">
        <v>0</v>
      </c>
      <c r="G86" s="396" t="s">
        <v>170</v>
      </c>
      <c r="H86" s="317">
        <v>5</v>
      </c>
      <c r="I86" s="317">
        <f t="shared" si="21"/>
        <v>126</v>
      </c>
      <c r="L86" s="403">
        <v>33679.550000000003</v>
      </c>
      <c r="M86" s="403">
        <v>0</v>
      </c>
      <c r="N86" s="403">
        <f t="shared" si="34"/>
        <v>33679.550000000003</v>
      </c>
      <c r="O86" s="403">
        <f t="shared" si="35"/>
        <v>561.32583333333343</v>
      </c>
      <c r="P86" s="403">
        <f t="shared" si="25"/>
        <v>3929.2808333333023</v>
      </c>
      <c r="Q86" s="403">
        <f t="shared" si="26"/>
        <v>0</v>
      </c>
      <c r="R86" s="403">
        <f t="shared" si="27"/>
        <v>3929.2808333333023</v>
      </c>
      <c r="S86" s="405">
        <f>+'WP -11 Non-Regulated'!$K$29</f>
        <v>0.47014773860644926</v>
      </c>
      <c r="T86" s="403">
        <f t="shared" si="28"/>
        <v>1847.3424981413166</v>
      </c>
      <c r="U86" s="403">
        <f t="shared" si="29"/>
        <v>0</v>
      </c>
      <c r="V86" s="403">
        <f t="shared" si="30"/>
        <v>0</v>
      </c>
      <c r="W86" s="405">
        <v>1</v>
      </c>
      <c r="X86" s="403">
        <f t="shared" si="31"/>
        <v>0</v>
      </c>
      <c r="Y86" s="403">
        <f t="shared" si="32"/>
        <v>1847.3424981413166</v>
      </c>
      <c r="Z86" s="403">
        <f t="shared" si="24"/>
        <v>32755.878750929343</v>
      </c>
      <c r="AA86" s="403">
        <f t="shared" si="11"/>
        <v>121.41666666666667</v>
      </c>
      <c r="AB86" s="403">
        <f t="shared" si="12"/>
        <v>122</v>
      </c>
      <c r="AC86" s="403">
        <f t="shared" si="13"/>
        <v>126.41666666666667</v>
      </c>
      <c r="AD86" s="403">
        <f t="shared" si="14"/>
        <v>121</v>
      </c>
      <c r="AE86" s="403">
        <f t="shared" si="15"/>
        <v>-8.3333333333333329E-2</v>
      </c>
      <c r="AF86" s="403">
        <f t="shared" si="36"/>
        <v>0</v>
      </c>
    </row>
    <row r="87" spans="2:32">
      <c r="B87" s="317" t="s">
        <v>672</v>
      </c>
      <c r="C87" s="317">
        <v>2021</v>
      </c>
      <c r="D87" s="317">
        <f t="shared" si="33"/>
        <v>121</v>
      </c>
      <c r="E87" s="317">
        <v>9</v>
      </c>
      <c r="F87" s="404">
        <v>0</v>
      </c>
      <c r="G87" s="396" t="s">
        <v>170</v>
      </c>
      <c r="H87" s="317">
        <v>5</v>
      </c>
      <c r="I87" s="317">
        <f t="shared" si="21"/>
        <v>126</v>
      </c>
      <c r="L87" s="403">
        <v>38646.559999999998</v>
      </c>
      <c r="M87" s="403">
        <v>0</v>
      </c>
      <c r="N87" s="403">
        <f t="shared" si="34"/>
        <v>38646.559999999998</v>
      </c>
      <c r="O87" s="403">
        <f t="shared" si="35"/>
        <v>644.10933333333332</v>
      </c>
      <c r="P87" s="403">
        <f t="shared" si="25"/>
        <v>2576.4373333332965</v>
      </c>
      <c r="Q87" s="403">
        <f t="shared" si="26"/>
        <v>0</v>
      </c>
      <c r="R87" s="403">
        <f t="shared" si="27"/>
        <v>2576.4373333332965</v>
      </c>
      <c r="S87" s="405">
        <f>+'WP -11 Non-Regulated'!$K$29</f>
        <v>0.47014773860644926</v>
      </c>
      <c r="T87" s="403">
        <f t="shared" si="28"/>
        <v>1211.3061859278798</v>
      </c>
      <c r="U87" s="403">
        <f t="shared" si="29"/>
        <v>0</v>
      </c>
      <c r="V87" s="403">
        <f t="shared" si="30"/>
        <v>0</v>
      </c>
      <c r="W87" s="405">
        <v>1</v>
      </c>
      <c r="X87" s="403">
        <f t="shared" si="31"/>
        <v>0</v>
      </c>
      <c r="Y87" s="403">
        <f t="shared" si="32"/>
        <v>1211.3061859278798</v>
      </c>
      <c r="Z87" s="403">
        <f t="shared" si="24"/>
        <v>38040.906907036057</v>
      </c>
      <c r="AA87" s="403">
        <f t="shared" si="11"/>
        <v>121.66666666666667</v>
      </c>
      <c r="AB87" s="403">
        <f t="shared" si="12"/>
        <v>122</v>
      </c>
      <c r="AC87" s="403">
        <f t="shared" si="13"/>
        <v>126.66666666666667</v>
      </c>
      <c r="AD87" s="403">
        <f t="shared" si="14"/>
        <v>121</v>
      </c>
      <c r="AE87" s="403">
        <f t="shared" si="15"/>
        <v>-8.3333333333333329E-2</v>
      </c>
      <c r="AF87" s="403">
        <f t="shared" si="36"/>
        <v>0</v>
      </c>
    </row>
    <row r="88" spans="2:32">
      <c r="B88" s="317" t="s">
        <v>671</v>
      </c>
      <c r="C88" s="317">
        <v>2021</v>
      </c>
      <c r="D88" s="317">
        <f t="shared" si="33"/>
        <v>121</v>
      </c>
      <c r="E88" s="317">
        <v>8</v>
      </c>
      <c r="F88" s="404">
        <v>0</v>
      </c>
      <c r="G88" s="396" t="s">
        <v>170</v>
      </c>
      <c r="H88" s="317">
        <v>5</v>
      </c>
      <c r="I88" s="317">
        <f t="shared" si="21"/>
        <v>126</v>
      </c>
      <c r="L88" s="403">
        <v>3398.14</v>
      </c>
      <c r="M88" s="403">
        <v>0</v>
      </c>
      <c r="N88" s="403">
        <f t="shared" si="34"/>
        <v>3398.14</v>
      </c>
      <c r="O88" s="403">
        <f t="shared" si="35"/>
        <v>56.635666666666658</v>
      </c>
      <c r="P88" s="403">
        <f t="shared" si="25"/>
        <v>283.17833333333652</v>
      </c>
      <c r="Q88" s="403">
        <f t="shared" si="26"/>
        <v>0</v>
      </c>
      <c r="R88" s="403">
        <f t="shared" si="27"/>
        <v>283.17833333333652</v>
      </c>
      <c r="S88" s="405">
        <f>+'WP -11 Non-Regulated'!$K$29</f>
        <v>0.47014773860644926</v>
      </c>
      <c r="T88" s="403">
        <f t="shared" si="28"/>
        <v>133.13565303901146</v>
      </c>
      <c r="U88" s="403">
        <f t="shared" si="29"/>
        <v>0</v>
      </c>
      <c r="V88" s="403">
        <f t="shared" si="30"/>
        <v>0</v>
      </c>
      <c r="W88" s="405">
        <v>1</v>
      </c>
      <c r="X88" s="403">
        <f t="shared" si="31"/>
        <v>0</v>
      </c>
      <c r="Y88" s="403">
        <f t="shared" si="32"/>
        <v>133.13565303901146</v>
      </c>
      <c r="Z88" s="403">
        <f t="shared" si="24"/>
        <v>3331.5721734804943</v>
      </c>
      <c r="AA88" s="403">
        <f t="shared" si="11"/>
        <v>121.58333333333333</v>
      </c>
      <c r="AB88" s="403">
        <f t="shared" si="12"/>
        <v>122</v>
      </c>
      <c r="AC88" s="403">
        <f t="shared" si="13"/>
        <v>126.58333333333333</v>
      </c>
      <c r="AD88" s="403">
        <f t="shared" si="14"/>
        <v>121</v>
      </c>
      <c r="AE88" s="403">
        <f t="shared" si="15"/>
        <v>-8.3333333333333329E-2</v>
      </c>
      <c r="AF88" s="403">
        <f t="shared" si="36"/>
        <v>0</v>
      </c>
    </row>
    <row r="89" spans="2:32">
      <c r="B89" s="317" t="s">
        <v>670</v>
      </c>
      <c r="C89" s="317">
        <v>2021</v>
      </c>
      <c r="D89" s="317">
        <f t="shared" si="33"/>
        <v>121</v>
      </c>
      <c r="E89" s="317">
        <v>10</v>
      </c>
      <c r="F89" s="404">
        <v>0</v>
      </c>
      <c r="G89" s="396" t="s">
        <v>170</v>
      </c>
      <c r="H89" s="317">
        <v>5</v>
      </c>
      <c r="I89" s="317">
        <f t="shared" si="21"/>
        <v>126</v>
      </c>
      <c r="L89" s="403">
        <v>2564.21</v>
      </c>
      <c r="M89" s="403">
        <v>0</v>
      </c>
      <c r="N89" s="403">
        <f t="shared" si="34"/>
        <v>2564.21</v>
      </c>
      <c r="O89" s="403">
        <f t="shared" si="35"/>
        <v>42.73683333333333</v>
      </c>
      <c r="P89" s="403">
        <f t="shared" si="25"/>
        <v>128.2105</v>
      </c>
      <c r="Q89" s="403">
        <f t="shared" si="26"/>
        <v>0</v>
      </c>
      <c r="R89" s="403">
        <f t="shared" si="27"/>
        <v>128.2105</v>
      </c>
      <c r="S89" s="405">
        <f>+'WP -11 Non-Regulated'!$K$29</f>
        <v>0.47014773860644926</v>
      </c>
      <c r="T89" s="403">
        <f t="shared" si="28"/>
        <v>60.277876640602159</v>
      </c>
      <c r="U89" s="403">
        <f t="shared" si="29"/>
        <v>0</v>
      </c>
      <c r="V89" s="403">
        <f t="shared" si="30"/>
        <v>0</v>
      </c>
      <c r="W89" s="405">
        <v>1</v>
      </c>
      <c r="X89" s="403">
        <f t="shared" si="31"/>
        <v>0</v>
      </c>
      <c r="Y89" s="403">
        <f t="shared" si="32"/>
        <v>60.277876640602159</v>
      </c>
      <c r="Z89" s="403">
        <f t="shared" si="24"/>
        <v>2534.0710616796991</v>
      </c>
      <c r="AA89" s="403">
        <f t="shared" si="11"/>
        <v>121.75</v>
      </c>
      <c r="AB89" s="403">
        <f t="shared" si="12"/>
        <v>122</v>
      </c>
      <c r="AC89" s="403">
        <f t="shared" si="13"/>
        <v>126.75</v>
      </c>
      <c r="AD89" s="403">
        <f t="shared" si="14"/>
        <v>121</v>
      </c>
      <c r="AE89" s="403">
        <f t="shared" si="15"/>
        <v>-8.3333333333333329E-2</v>
      </c>
      <c r="AF89" s="403">
        <f t="shared" si="36"/>
        <v>0</v>
      </c>
    </row>
    <row r="90" spans="2:32">
      <c r="B90" s="317" t="s">
        <v>669</v>
      </c>
      <c r="C90" s="317">
        <v>2021</v>
      </c>
      <c r="D90" s="317">
        <f t="shared" si="33"/>
        <v>121</v>
      </c>
      <c r="E90" s="317">
        <v>4</v>
      </c>
      <c r="F90" s="404">
        <v>0</v>
      </c>
      <c r="G90" s="396" t="s">
        <v>170</v>
      </c>
      <c r="H90" s="317">
        <v>5</v>
      </c>
      <c r="I90" s="317">
        <f t="shared" si="21"/>
        <v>126</v>
      </c>
      <c r="L90" s="403">
        <v>6059.03</v>
      </c>
      <c r="M90" s="403">
        <v>0</v>
      </c>
      <c r="N90" s="403">
        <f t="shared" si="34"/>
        <v>6059.03</v>
      </c>
      <c r="O90" s="403">
        <f t="shared" si="35"/>
        <v>100.98383333333334</v>
      </c>
      <c r="P90" s="403">
        <f t="shared" si="25"/>
        <v>908.85450000000003</v>
      </c>
      <c r="Q90" s="403">
        <f t="shared" si="26"/>
        <v>0</v>
      </c>
      <c r="R90" s="403">
        <f t="shared" si="27"/>
        <v>908.85450000000003</v>
      </c>
      <c r="S90" s="405">
        <f>+'WP -11 Non-Regulated'!$K$29</f>
        <v>0.47014773860644926</v>
      </c>
      <c r="T90" s="403">
        <f t="shared" si="28"/>
        <v>427.29588789729513</v>
      </c>
      <c r="U90" s="403">
        <f>IF(AA90&gt;AB90,0,IF(AC90&lt;AD90,N90,IF(AND(AC90&gt;=AD90,AC90&lt;=AB90),(N90-R90),IF(AND(AD90&lt;=AA90,AB90&gt;=AA90),0,IF(AC90&gt;AB90,((AD90-AA90)*12)*O90,0)))))</f>
        <v>0</v>
      </c>
      <c r="V90" s="403">
        <f>U90*S90</f>
        <v>0</v>
      </c>
      <c r="W90" s="405">
        <v>1</v>
      </c>
      <c r="X90" s="403">
        <f t="shared" si="31"/>
        <v>0</v>
      </c>
      <c r="Y90" s="403">
        <f>IF(M90&gt;0,0,X90+T90*W90)*W90</f>
        <v>427.29588789729513</v>
      </c>
      <c r="Z90" s="403">
        <f t="shared" si="24"/>
        <v>5845.3820560513523</v>
      </c>
      <c r="AA90" s="403">
        <f t="shared" si="11"/>
        <v>121.25</v>
      </c>
      <c r="AB90" s="403">
        <f t="shared" si="12"/>
        <v>122</v>
      </c>
      <c r="AC90" s="403">
        <f t="shared" si="13"/>
        <v>126.25</v>
      </c>
      <c r="AD90" s="403">
        <f t="shared" si="14"/>
        <v>121</v>
      </c>
      <c r="AE90" s="403">
        <f t="shared" si="15"/>
        <v>-8.3333333333333329E-2</v>
      </c>
      <c r="AF90" s="403">
        <f t="shared" si="36"/>
        <v>0</v>
      </c>
    </row>
    <row r="91" spans="2:32">
      <c r="B91" s="317" t="s">
        <v>668</v>
      </c>
      <c r="C91" s="317">
        <v>2021</v>
      </c>
      <c r="D91" s="317">
        <f t="shared" si="33"/>
        <v>121</v>
      </c>
      <c r="E91" s="317">
        <v>6</v>
      </c>
      <c r="F91" s="404">
        <v>0</v>
      </c>
      <c r="G91" s="396" t="s">
        <v>170</v>
      </c>
      <c r="H91" s="317">
        <v>5</v>
      </c>
      <c r="I91" s="317">
        <f t="shared" si="21"/>
        <v>126</v>
      </c>
      <c r="L91" s="403">
        <v>8455.2000000000007</v>
      </c>
      <c r="M91" s="403">
        <v>0</v>
      </c>
      <c r="N91" s="403">
        <f t="shared" si="34"/>
        <v>8455.2000000000007</v>
      </c>
      <c r="O91" s="403">
        <f t="shared" si="35"/>
        <v>140.92000000000002</v>
      </c>
      <c r="P91" s="403">
        <f t="shared" si="25"/>
        <v>986.4399999999921</v>
      </c>
      <c r="Q91" s="403">
        <f t="shared" si="26"/>
        <v>0</v>
      </c>
      <c r="R91" s="403">
        <f t="shared" si="27"/>
        <v>986.4399999999921</v>
      </c>
      <c r="S91" s="405">
        <f>+'WP -11 Non-Regulated'!$K$29</f>
        <v>0.47014773860644926</v>
      </c>
      <c r="T91" s="403">
        <f t="shared" si="28"/>
        <v>463.77253527094211</v>
      </c>
      <c r="U91" s="403">
        <f t="shared" si="29"/>
        <v>0</v>
      </c>
      <c r="V91" s="403">
        <f t="shared" si="30"/>
        <v>0</v>
      </c>
      <c r="W91" s="405">
        <v>1</v>
      </c>
      <c r="X91" s="403">
        <f t="shared" si="31"/>
        <v>0</v>
      </c>
      <c r="Y91" s="403">
        <f t="shared" si="32"/>
        <v>463.77253527094211</v>
      </c>
      <c r="Z91" s="403">
        <f t="shared" si="24"/>
        <v>8223.3137323645296</v>
      </c>
      <c r="AA91" s="403">
        <f t="shared" si="11"/>
        <v>121.41666666666667</v>
      </c>
      <c r="AB91" s="403">
        <f t="shared" si="12"/>
        <v>122</v>
      </c>
      <c r="AC91" s="403">
        <f t="shared" si="13"/>
        <v>126.41666666666667</v>
      </c>
      <c r="AD91" s="403">
        <f t="shared" si="14"/>
        <v>121</v>
      </c>
      <c r="AE91" s="403">
        <f t="shared" si="15"/>
        <v>-8.3333333333333329E-2</v>
      </c>
      <c r="AF91" s="403">
        <f t="shared" si="36"/>
        <v>0</v>
      </c>
    </row>
    <row r="92" spans="2:32">
      <c r="B92" s="317" t="s">
        <v>667</v>
      </c>
      <c r="C92" s="317">
        <v>2021</v>
      </c>
      <c r="D92" s="317">
        <f t="shared" si="33"/>
        <v>121</v>
      </c>
      <c r="E92" s="317">
        <v>11</v>
      </c>
      <c r="F92" s="404">
        <v>0</v>
      </c>
      <c r="G92" s="396" t="s">
        <v>170</v>
      </c>
      <c r="H92" s="317">
        <v>5</v>
      </c>
      <c r="I92" s="317">
        <f t="shared" si="21"/>
        <v>126</v>
      </c>
      <c r="L92" s="403">
        <v>11467.56</v>
      </c>
      <c r="M92" s="403">
        <v>0</v>
      </c>
      <c r="N92" s="403">
        <f t="shared" si="34"/>
        <v>11467.56</v>
      </c>
      <c r="O92" s="403">
        <f t="shared" si="35"/>
        <v>191.12599999999998</v>
      </c>
      <c r="P92" s="403">
        <f t="shared" si="25"/>
        <v>382.25200000001081</v>
      </c>
      <c r="Q92" s="403">
        <f t="shared" si="26"/>
        <v>0</v>
      </c>
      <c r="R92" s="403">
        <f t="shared" si="27"/>
        <v>382.25200000001081</v>
      </c>
      <c r="S92" s="405">
        <f>+'WP -11 Non-Regulated'!$K$29</f>
        <v>0.47014773860644926</v>
      </c>
      <c r="T92" s="403">
        <f t="shared" si="28"/>
        <v>179.71491337779753</v>
      </c>
      <c r="U92" s="403">
        <f t="shared" si="29"/>
        <v>0</v>
      </c>
      <c r="V92" s="403">
        <f t="shared" si="30"/>
        <v>0</v>
      </c>
      <c r="W92" s="405">
        <v>1</v>
      </c>
      <c r="X92" s="403">
        <f t="shared" si="31"/>
        <v>0</v>
      </c>
      <c r="Y92" s="403">
        <f t="shared" si="32"/>
        <v>179.71491337779753</v>
      </c>
      <c r="Z92" s="403">
        <f t="shared" si="24"/>
        <v>11377.702543311101</v>
      </c>
      <c r="AA92" s="403">
        <f t="shared" si="11"/>
        <v>121.83333333333333</v>
      </c>
      <c r="AB92" s="403">
        <f t="shared" si="12"/>
        <v>122</v>
      </c>
      <c r="AC92" s="403">
        <f t="shared" si="13"/>
        <v>126.83333333333333</v>
      </c>
      <c r="AD92" s="403">
        <f t="shared" si="14"/>
        <v>121</v>
      </c>
      <c r="AE92" s="403">
        <f t="shared" si="15"/>
        <v>-8.3333333333333329E-2</v>
      </c>
      <c r="AF92" s="403">
        <f t="shared" si="36"/>
        <v>0</v>
      </c>
    </row>
    <row r="93" spans="2:32">
      <c r="B93" s="317" t="s">
        <v>666</v>
      </c>
      <c r="C93" s="317">
        <v>2021</v>
      </c>
      <c r="D93" s="317">
        <f t="shared" si="33"/>
        <v>121</v>
      </c>
      <c r="E93" s="317">
        <v>2</v>
      </c>
      <c r="F93" s="404">
        <v>0</v>
      </c>
      <c r="G93" s="396" t="s">
        <v>170</v>
      </c>
      <c r="H93" s="317">
        <v>5</v>
      </c>
      <c r="I93" s="317">
        <f t="shared" si="21"/>
        <v>126</v>
      </c>
      <c r="L93" s="403">
        <v>13978.7</v>
      </c>
      <c r="M93" s="403">
        <v>0</v>
      </c>
      <c r="N93" s="403">
        <f t="shared" si="34"/>
        <v>13978.7</v>
      </c>
      <c r="O93" s="403">
        <f t="shared" si="35"/>
        <v>232.97833333333335</v>
      </c>
      <c r="P93" s="403">
        <f t="shared" si="25"/>
        <v>2562.76166666668</v>
      </c>
      <c r="Q93" s="403">
        <f t="shared" si="26"/>
        <v>0</v>
      </c>
      <c r="R93" s="403">
        <f t="shared" si="27"/>
        <v>2562.76166666668</v>
      </c>
      <c r="S93" s="405">
        <f>+'WP -11 Non-Regulated'!$K$29</f>
        <v>0.47014773860644926</v>
      </c>
      <c r="T93" s="403">
        <f t="shared" si="28"/>
        <v>1204.8766021706344</v>
      </c>
      <c r="U93" s="403">
        <f t="shared" si="29"/>
        <v>0</v>
      </c>
      <c r="V93" s="403">
        <f t="shared" si="30"/>
        <v>0</v>
      </c>
      <c r="W93" s="405">
        <v>1</v>
      </c>
      <c r="X93" s="403">
        <f t="shared" si="31"/>
        <v>0</v>
      </c>
      <c r="Y93" s="403">
        <f t="shared" si="32"/>
        <v>1204.8766021706344</v>
      </c>
      <c r="Z93" s="403">
        <f t="shared" si="24"/>
        <v>13376.261698914683</v>
      </c>
      <c r="AA93" s="403">
        <f t="shared" si="11"/>
        <v>121.08333333333333</v>
      </c>
      <c r="AB93" s="403">
        <f t="shared" si="12"/>
        <v>122</v>
      </c>
      <c r="AC93" s="403">
        <f t="shared" si="13"/>
        <v>126.08333333333333</v>
      </c>
      <c r="AD93" s="403">
        <f t="shared" si="14"/>
        <v>121</v>
      </c>
      <c r="AE93" s="403">
        <f t="shared" si="15"/>
        <v>-8.3333333333333329E-2</v>
      </c>
      <c r="AF93" s="403">
        <f t="shared" si="36"/>
        <v>0</v>
      </c>
    </row>
    <row r="94" spans="2:32" s="397" customFormat="1">
      <c r="B94" s="397" t="s">
        <v>771</v>
      </c>
      <c r="C94" s="397">
        <v>2022</v>
      </c>
      <c r="D94" s="397">
        <f t="shared" si="33"/>
        <v>122</v>
      </c>
      <c r="E94" s="397">
        <v>7</v>
      </c>
      <c r="F94" s="510">
        <v>0</v>
      </c>
      <c r="G94" s="511" t="s">
        <v>170</v>
      </c>
      <c r="H94" s="397">
        <v>7</v>
      </c>
      <c r="I94" s="397">
        <f t="shared" si="21"/>
        <v>129</v>
      </c>
      <c r="L94" s="512">
        <v>204316.2</v>
      </c>
      <c r="M94" s="512"/>
      <c r="N94" s="512">
        <f t="shared" si="34"/>
        <v>204316.2</v>
      </c>
      <c r="O94" s="512">
        <f t="shared" si="35"/>
        <v>2432.3357142857144</v>
      </c>
      <c r="P94" s="512">
        <f t="shared" si="25"/>
        <v>0</v>
      </c>
      <c r="Q94" s="512">
        <f t="shared" si="26"/>
        <v>0</v>
      </c>
      <c r="R94" s="512">
        <f t="shared" si="27"/>
        <v>0</v>
      </c>
      <c r="S94" s="405">
        <f>+'WP -11 Non-Regulated'!$K$29</f>
        <v>0.47014773860644926</v>
      </c>
      <c r="T94" s="512">
        <f t="shared" si="28"/>
        <v>0</v>
      </c>
      <c r="U94" s="512">
        <f t="shared" si="29"/>
        <v>0</v>
      </c>
      <c r="V94" s="512">
        <f t="shared" si="30"/>
        <v>0</v>
      </c>
      <c r="W94" s="513">
        <v>1</v>
      </c>
      <c r="X94" s="512">
        <f t="shared" si="31"/>
        <v>0</v>
      </c>
      <c r="Y94" s="512">
        <f t="shared" si="32"/>
        <v>0</v>
      </c>
      <c r="Z94" s="512">
        <f t="shared" si="24"/>
        <v>204316.2</v>
      </c>
      <c r="AA94" s="512">
        <f t="shared" si="11"/>
        <v>122.5</v>
      </c>
      <c r="AB94" s="512">
        <f t="shared" si="12"/>
        <v>122</v>
      </c>
      <c r="AC94" s="512">
        <f t="shared" si="13"/>
        <v>129.5</v>
      </c>
      <c r="AD94" s="512">
        <f t="shared" si="14"/>
        <v>121</v>
      </c>
      <c r="AE94" s="512">
        <f t="shared" si="15"/>
        <v>-8.3333333333333329E-2</v>
      </c>
      <c r="AF94" s="512">
        <f t="shared" si="36"/>
        <v>0</v>
      </c>
    </row>
    <row r="95" spans="2:32" s="397" customFormat="1">
      <c r="B95" s="397" t="s">
        <v>1050</v>
      </c>
      <c r="C95" s="397">
        <v>2022</v>
      </c>
      <c r="D95" s="397">
        <f t="shared" si="33"/>
        <v>122</v>
      </c>
      <c r="E95" s="397">
        <v>7</v>
      </c>
      <c r="F95" s="510">
        <v>0</v>
      </c>
      <c r="G95" s="511" t="s">
        <v>170</v>
      </c>
      <c r="H95" s="397">
        <v>7</v>
      </c>
      <c r="I95" s="397">
        <f t="shared" si="21"/>
        <v>129</v>
      </c>
      <c r="L95" s="512">
        <v>155075.79</v>
      </c>
      <c r="M95" s="512"/>
      <c r="N95" s="512">
        <f t="shared" si="34"/>
        <v>155075.79</v>
      </c>
      <c r="O95" s="512">
        <f t="shared" si="35"/>
        <v>1846.1403571428573</v>
      </c>
      <c r="P95" s="512">
        <f t="shared" ref="P95:P97" si="37">IF(Q95&gt;0,0,IF(OR(AA95&gt;AB95,AC95&lt;AD95),0,IF(AND(AC95&gt;=AD95,AC95&lt;=AB95),O95*((AC95-AD95)*12),IF(AND(AD95&lt;=AA95,AB95&gt;=AA95),((AB95-AA95)*12)*O95,IF(AC95&gt;AB95,12*O95,0)))))</f>
        <v>0</v>
      </c>
      <c r="Q95" s="512">
        <f t="shared" ref="Q95:Q97" si="38">IF(M95=0,0,IF(AND(AE95&gt;=AD95,AE95&lt;=AC95),((AE95-AD95)*12)*O95,0))</f>
        <v>0</v>
      </c>
      <c r="R95" s="512">
        <f t="shared" ref="R95:R97" si="39">IF(Q95&gt;0,Q95,P95)</f>
        <v>0</v>
      </c>
      <c r="S95" s="405">
        <f>+'WP -11 Non-Regulated'!$K$29</f>
        <v>0.47014773860644926</v>
      </c>
      <c r="T95" s="512">
        <f t="shared" ref="T95:T97" si="40">S95*SUM(P95:Q95)</f>
        <v>0</v>
      </c>
      <c r="U95" s="512">
        <f t="shared" ref="U95:U97" si="41">IF(AA95&gt;AB95,0,IF(AC95&lt;AD95,N95,IF(AND(AC95&gt;=AD95,AC95&lt;=AB95),(N95-R95),IF(AND(AD95&lt;=AA95,AB95&gt;=AA95),0,IF(AC95&gt;AB95,((AD95-AA95)*12)*O95,0)))))</f>
        <v>0</v>
      </c>
      <c r="V95" s="512">
        <f t="shared" ref="V95:V97" si="42">U95*S95</f>
        <v>0</v>
      </c>
      <c r="W95" s="513">
        <v>1</v>
      </c>
      <c r="X95" s="512">
        <f t="shared" ref="X95:X97" si="43">V95*W95</f>
        <v>0</v>
      </c>
      <c r="Y95" s="512">
        <f t="shared" ref="Y95:Y97" si="44">IF(M95&gt;0,0,X95+T95*W95)*W95</f>
        <v>0</v>
      </c>
      <c r="Z95" s="512">
        <f t="shared" ref="Z95:Z97" si="45">L95-((+X95+Y95)/2)</f>
        <v>155075.79</v>
      </c>
      <c r="AA95" s="512">
        <f t="shared" si="11"/>
        <v>122.5</v>
      </c>
      <c r="AB95" s="512">
        <f t="shared" si="12"/>
        <v>122</v>
      </c>
      <c r="AC95" s="512">
        <f t="shared" si="13"/>
        <v>129.5</v>
      </c>
      <c r="AD95" s="512">
        <f t="shared" si="14"/>
        <v>121</v>
      </c>
      <c r="AE95" s="512">
        <f t="shared" si="15"/>
        <v>-8.3333333333333329E-2</v>
      </c>
      <c r="AF95" s="512">
        <f t="shared" ref="AF95:AF97" si="46">L95-((X95+Y95)/2)-Z95</f>
        <v>0</v>
      </c>
    </row>
    <row r="96" spans="2:32" s="397" customFormat="1">
      <c r="B96" s="397" t="s">
        <v>772</v>
      </c>
      <c r="C96" s="397">
        <v>2022</v>
      </c>
      <c r="D96" s="397">
        <f t="shared" si="33"/>
        <v>122</v>
      </c>
      <c r="E96" s="397">
        <v>7</v>
      </c>
      <c r="F96" s="510">
        <v>0</v>
      </c>
      <c r="G96" s="511" t="s">
        <v>170</v>
      </c>
      <c r="H96" s="397">
        <v>7</v>
      </c>
      <c r="I96" s="397">
        <f t="shared" si="21"/>
        <v>129</v>
      </c>
      <c r="L96" s="512">
        <v>166958.24</v>
      </c>
      <c r="M96" s="512"/>
      <c r="N96" s="512">
        <f t="shared" si="34"/>
        <v>166958.24</v>
      </c>
      <c r="O96" s="512">
        <f t="shared" si="35"/>
        <v>1987.5980952380951</v>
      </c>
      <c r="P96" s="512">
        <f t="shared" si="37"/>
        <v>0</v>
      </c>
      <c r="Q96" s="512">
        <f t="shared" si="38"/>
        <v>0</v>
      </c>
      <c r="R96" s="512">
        <f t="shared" si="39"/>
        <v>0</v>
      </c>
      <c r="S96" s="405">
        <f>+'WP -11 Non-Regulated'!$K$29</f>
        <v>0.47014773860644926</v>
      </c>
      <c r="T96" s="512">
        <f t="shared" si="40"/>
        <v>0</v>
      </c>
      <c r="U96" s="512">
        <f t="shared" si="41"/>
        <v>0</v>
      </c>
      <c r="V96" s="512">
        <f t="shared" si="42"/>
        <v>0</v>
      </c>
      <c r="W96" s="513">
        <v>1</v>
      </c>
      <c r="X96" s="512">
        <f t="shared" si="43"/>
        <v>0</v>
      </c>
      <c r="Y96" s="512">
        <f t="shared" si="44"/>
        <v>0</v>
      </c>
      <c r="Z96" s="512">
        <f t="shared" si="45"/>
        <v>166958.24</v>
      </c>
      <c r="AA96" s="512">
        <f t="shared" si="11"/>
        <v>122.5</v>
      </c>
      <c r="AB96" s="512">
        <f t="shared" si="12"/>
        <v>122</v>
      </c>
      <c r="AC96" s="512">
        <f t="shared" si="13"/>
        <v>129.5</v>
      </c>
      <c r="AD96" s="512">
        <f t="shared" si="14"/>
        <v>121</v>
      </c>
      <c r="AE96" s="512">
        <f t="shared" si="15"/>
        <v>-8.3333333333333329E-2</v>
      </c>
      <c r="AF96" s="512">
        <f t="shared" si="46"/>
        <v>0</v>
      </c>
    </row>
    <row r="97" spans="2:37" s="397" customFormat="1">
      <c r="B97" s="397" t="s">
        <v>1051</v>
      </c>
      <c r="C97" s="397">
        <v>2022</v>
      </c>
      <c r="D97" s="397">
        <f t="shared" si="33"/>
        <v>122</v>
      </c>
      <c r="E97" s="397">
        <v>7</v>
      </c>
      <c r="F97" s="510">
        <v>0</v>
      </c>
      <c r="G97" s="511" t="s">
        <v>170</v>
      </c>
      <c r="H97" s="397">
        <v>7</v>
      </c>
      <c r="I97" s="397">
        <f t="shared" si="21"/>
        <v>129</v>
      </c>
      <c r="L97" s="512">
        <v>77285.240000000005</v>
      </c>
      <c r="M97" s="512"/>
      <c r="N97" s="512">
        <f t="shared" si="34"/>
        <v>77285.240000000005</v>
      </c>
      <c r="O97" s="512">
        <f t="shared" si="35"/>
        <v>920.06238095238098</v>
      </c>
      <c r="P97" s="512">
        <f t="shared" si="37"/>
        <v>0</v>
      </c>
      <c r="Q97" s="512">
        <f t="shared" si="38"/>
        <v>0</v>
      </c>
      <c r="R97" s="512">
        <f t="shared" si="39"/>
        <v>0</v>
      </c>
      <c r="S97" s="405">
        <f>+'WP -11 Non-Regulated'!$K$29</f>
        <v>0.47014773860644926</v>
      </c>
      <c r="T97" s="512">
        <f t="shared" si="40"/>
        <v>0</v>
      </c>
      <c r="U97" s="512">
        <f t="shared" si="41"/>
        <v>0</v>
      </c>
      <c r="V97" s="512">
        <f t="shared" si="42"/>
        <v>0</v>
      </c>
      <c r="W97" s="513">
        <v>1</v>
      </c>
      <c r="X97" s="512">
        <f t="shared" si="43"/>
        <v>0</v>
      </c>
      <c r="Y97" s="512">
        <f t="shared" si="44"/>
        <v>0</v>
      </c>
      <c r="Z97" s="512">
        <f t="shared" si="45"/>
        <v>77285.240000000005</v>
      </c>
      <c r="AA97" s="512">
        <f t="shared" si="11"/>
        <v>122.5</v>
      </c>
      <c r="AB97" s="512">
        <f t="shared" si="12"/>
        <v>122</v>
      </c>
      <c r="AC97" s="512">
        <f t="shared" si="13"/>
        <v>129.5</v>
      </c>
      <c r="AD97" s="512">
        <f t="shared" si="14"/>
        <v>121</v>
      </c>
      <c r="AE97" s="512">
        <f t="shared" si="15"/>
        <v>-8.3333333333333329E-2</v>
      </c>
      <c r="AF97" s="512">
        <f t="shared" si="46"/>
        <v>0</v>
      </c>
    </row>
    <row r="98" spans="2:37" s="397" customFormat="1">
      <c r="B98" s="397" t="s">
        <v>982</v>
      </c>
      <c r="C98" s="397">
        <v>2022</v>
      </c>
      <c r="D98" s="397">
        <f t="shared" si="33"/>
        <v>122</v>
      </c>
      <c r="E98" s="397">
        <v>4</v>
      </c>
      <c r="F98" s="510">
        <v>0</v>
      </c>
      <c r="G98" s="511" t="s">
        <v>170</v>
      </c>
      <c r="H98" s="397">
        <v>7</v>
      </c>
      <c r="I98" s="397">
        <f t="shared" si="21"/>
        <v>129</v>
      </c>
      <c r="L98" s="512">
        <v>127995</v>
      </c>
      <c r="M98" s="512"/>
      <c r="N98" s="512">
        <f t="shared" si="34"/>
        <v>127995</v>
      </c>
      <c r="O98" s="512">
        <f t="shared" si="35"/>
        <v>1523.75</v>
      </c>
      <c r="P98" s="512">
        <f t="shared" si="25"/>
        <v>0</v>
      </c>
      <c r="Q98" s="512">
        <f t="shared" si="26"/>
        <v>0</v>
      </c>
      <c r="R98" s="512">
        <f t="shared" si="27"/>
        <v>0</v>
      </c>
      <c r="S98" s="405">
        <f>+'WP -11 Non-Regulated'!$K$29</f>
        <v>0.47014773860644926</v>
      </c>
      <c r="T98" s="512">
        <f t="shared" si="28"/>
        <v>0</v>
      </c>
      <c r="U98" s="512">
        <f t="shared" si="29"/>
        <v>0</v>
      </c>
      <c r="V98" s="512">
        <f t="shared" si="30"/>
        <v>0</v>
      </c>
      <c r="W98" s="513">
        <v>1</v>
      </c>
      <c r="X98" s="512">
        <f t="shared" si="31"/>
        <v>0</v>
      </c>
      <c r="Y98" s="512">
        <f t="shared" si="32"/>
        <v>0</v>
      </c>
      <c r="Z98" s="512">
        <f t="shared" si="24"/>
        <v>127995</v>
      </c>
      <c r="AA98" s="512">
        <f t="shared" si="11"/>
        <v>122.25</v>
      </c>
      <c r="AB98" s="512">
        <f t="shared" si="12"/>
        <v>122</v>
      </c>
      <c r="AC98" s="512">
        <f t="shared" si="13"/>
        <v>129.25</v>
      </c>
      <c r="AD98" s="512">
        <f t="shared" si="14"/>
        <v>121</v>
      </c>
      <c r="AE98" s="512">
        <f t="shared" si="15"/>
        <v>-8.3333333333333329E-2</v>
      </c>
      <c r="AF98" s="512">
        <f t="shared" si="36"/>
        <v>0</v>
      </c>
    </row>
    <row r="99" spans="2:37" s="397" customFormat="1">
      <c r="B99" s="397" t="s">
        <v>983</v>
      </c>
      <c r="C99" s="397">
        <v>2022</v>
      </c>
      <c r="D99" s="397">
        <f t="shared" si="33"/>
        <v>122</v>
      </c>
      <c r="E99" s="397">
        <v>4</v>
      </c>
      <c r="F99" s="510">
        <v>0</v>
      </c>
      <c r="G99" s="511" t="s">
        <v>170</v>
      </c>
      <c r="H99" s="397">
        <v>7</v>
      </c>
      <c r="I99" s="397">
        <f t="shared" si="21"/>
        <v>129</v>
      </c>
      <c r="L99" s="512">
        <v>127995</v>
      </c>
      <c r="M99" s="512"/>
      <c r="N99" s="512">
        <f t="shared" si="34"/>
        <v>127995</v>
      </c>
      <c r="O99" s="512">
        <f t="shared" si="35"/>
        <v>1523.75</v>
      </c>
      <c r="P99" s="512">
        <f t="shared" si="25"/>
        <v>0</v>
      </c>
      <c r="Q99" s="512">
        <f t="shared" si="26"/>
        <v>0</v>
      </c>
      <c r="R99" s="512">
        <f t="shared" si="27"/>
        <v>0</v>
      </c>
      <c r="S99" s="405">
        <f>+'WP -11 Non-Regulated'!$K$29</f>
        <v>0.47014773860644926</v>
      </c>
      <c r="T99" s="512">
        <f t="shared" si="28"/>
        <v>0</v>
      </c>
      <c r="U99" s="512">
        <f t="shared" si="29"/>
        <v>0</v>
      </c>
      <c r="V99" s="512">
        <f t="shared" si="30"/>
        <v>0</v>
      </c>
      <c r="W99" s="513">
        <v>1</v>
      </c>
      <c r="X99" s="512">
        <f t="shared" si="31"/>
        <v>0</v>
      </c>
      <c r="Y99" s="512">
        <f t="shared" si="32"/>
        <v>0</v>
      </c>
      <c r="Z99" s="512">
        <f t="shared" si="24"/>
        <v>127995</v>
      </c>
      <c r="AA99" s="512">
        <f t="shared" si="11"/>
        <v>122.25</v>
      </c>
      <c r="AB99" s="512">
        <f t="shared" si="12"/>
        <v>122</v>
      </c>
      <c r="AC99" s="512">
        <f t="shared" si="13"/>
        <v>129.25</v>
      </c>
      <c r="AD99" s="512">
        <f t="shared" si="14"/>
        <v>121</v>
      </c>
      <c r="AE99" s="512">
        <f t="shared" si="15"/>
        <v>-8.3333333333333329E-2</v>
      </c>
      <c r="AF99" s="512">
        <f t="shared" si="36"/>
        <v>0</v>
      </c>
    </row>
    <row r="100" spans="2:37">
      <c r="F100" s="404"/>
      <c r="G100" s="396"/>
      <c r="L100" s="403"/>
      <c r="M100" s="403"/>
      <c r="N100" s="403"/>
      <c r="O100" s="403"/>
      <c r="P100" s="403"/>
      <c r="Q100" s="403"/>
      <c r="R100" s="403"/>
      <c r="S100" s="405"/>
      <c r="T100" s="403"/>
      <c r="U100" s="403"/>
      <c r="V100" s="403"/>
      <c r="W100" s="405"/>
      <c r="X100" s="403"/>
      <c r="Y100" s="403"/>
      <c r="Z100" s="403"/>
      <c r="AA100" s="403"/>
      <c r="AB100" s="403"/>
      <c r="AC100" s="403"/>
      <c r="AD100" s="403"/>
      <c r="AE100" s="403"/>
      <c r="AF100" s="403"/>
    </row>
    <row r="101" spans="2:37">
      <c r="F101" s="404"/>
      <c r="G101" s="396"/>
      <c r="L101" s="407"/>
      <c r="M101" s="403"/>
      <c r="N101" s="407"/>
      <c r="O101" s="407"/>
      <c r="P101" s="408"/>
      <c r="Q101" s="407"/>
      <c r="R101" s="408"/>
      <c r="S101" s="405"/>
      <c r="T101" s="408"/>
      <c r="U101" s="408"/>
      <c r="V101" s="408"/>
      <c r="W101" s="405"/>
      <c r="X101" s="408"/>
      <c r="Y101" s="408"/>
      <c r="Z101" s="408"/>
      <c r="AA101" s="403"/>
      <c r="AB101" s="403"/>
      <c r="AC101" s="403"/>
      <c r="AD101" s="403"/>
      <c r="AE101" s="403"/>
      <c r="AF101" s="407"/>
    </row>
    <row r="102" spans="2:37">
      <c r="B102" s="409" t="s">
        <v>171</v>
      </c>
      <c r="F102" s="404"/>
      <c r="G102" s="396"/>
      <c r="L102" s="403">
        <f>SUM(L17:L93)</f>
        <v>9446532.0299999975</v>
      </c>
      <c r="M102" s="403"/>
      <c r="N102" s="403">
        <f>SUM(N17:N93)</f>
        <v>9036282.4299999997</v>
      </c>
      <c r="O102" s="403">
        <f>SUM(O17:O93)</f>
        <v>111382.64911904756</v>
      </c>
      <c r="P102" s="403">
        <f>SUM(P17:P93)</f>
        <v>829775.79040476202</v>
      </c>
      <c r="Q102" s="403">
        <f t="shared" ref="Q102:AF102" si="47">SUM(Q17:Q99)</f>
        <v>0</v>
      </c>
      <c r="R102" s="403">
        <f>SUM(R17:R93)</f>
        <v>829775.79040476202</v>
      </c>
      <c r="S102" s="403"/>
      <c r="T102" s="403">
        <f>SUM(T17:T93)</f>
        <v>390117.21140917816</v>
      </c>
      <c r="U102" s="403">
        <f>SUM(U17:U93)</f>
        <v>5125357.421857141</v>
      </c>
      <c r="V102" s="403">
        <f>SUM(V17:V93)</f>
        <v>2409675.2014359161</v>
      </c>
      <c r="W102" s="403"/>
      <c r="X102" s="403">
        <f>SUM(X17:X93)</f>
        <v>2409675.2014359161</v>
      </c>
      <c r="Y102" s="403">
        <f>SUM(Y17:Y93)</f>
        <v>2799792.4128450928</v>
      </c>
      <c r="Z102" s="403">
        <f>SUM(Z17:Z93)</f>
        <v>3338610.1038442329</v>
      </c>
      <c r="AA102" s="403"/>
      <c r="AB102" s="403"/>
      <c r="AC102" s="403"/>
      <c r="AD102" s="403"/>
      <c r="AE102" s="403"/>
      <c r="AF102" s="403">
        <f t="shared" si="47"/>
        <v>3396883.8598118736</v>
      </c>
    </row>
    <row r="103" spans="2:37">
      <c r="F103" s="404"/>
      <c r="G103" s="396"/>
      <c r="L103" s="403"/>
      <c r="M103" s="403"/>
      <c r="N103" s="403"/>
      <c r="O103" s="403"/>
      <c r="P103" s="403"/>
      <c r="Q103" s="403"/>
      <c r="R103" s="403"/>
      <c r="S103" s="405"/>
      <c r="T103" s="403"/>
      <c r="U103" s="403"/>
      <c r="V103" s="403"/>
      <c r="W103" s="405"/>
      <c r="X103" s="403"/>
      <c r="Y103" s="403"/>
      <c r="Z103" s="403"/>
      <c r="AA103" s="403"/>
      <c r="AB103" s="403"/>
      <c r="AC103" s="403"/>
      <c r="AD103" s="403"/>
      <c r="AE103" s="403"/>
      <c r="AF103" s="403"/>
    </row>
    <row r="104" spans="2:37" ht="16.5" thickBot="1">
      <c r="B104" s="319" t="s">
        <v>379</v>
      </c>
      <c r="K104" s="410" t="s">
        <v>205</v>
      </c>
      <c r="L104" s="411">
        <f>SUM(L102:L103)</f>
        <v>9446532.0299999975</v>
      </c>
      <c r="M104" s="403"/>
      <c r="N104" s="411">
        <f>SUM(N102:N103)</f>
        <v>9036282.4299999997</v>
      </c>
      <c r="O104" s="411">
        <f>SUM(O102:O103)</f>
        <v>111382.64911904756</v>
      </c>
      <c r="P104" s="411">
        <f>SUM(P102:P103)</f>
        <v>829775.79040476202</v>
      </c>
      <c r="Q104" s="411"/>
      <c r="R104" s="411">
        <f>SUM(R102:R103)</f>
        <v>829775.79040476202</v>
      </c>
      <c r="S104" s="412"/>
      <c r="T104" s="411">
        <f>SUM(T102:T103)</f>
        <v>390117.21140917816</v>
      </c>
      <c r="U104" s="411">
        <f>SUM(U102:U103)</f>
        <v>5125357.421857141</v>
      </c>
      <c r="V104" s="411">
        <f>SUM(V102:V103)</f>
        <v>2409675.2014359161</v>
      </c>
      <c r="W104" s="412"/>
      <c r="X104" s="411">
        <f>SUM(X102:X103)</f>
        <v>2409675.2014359161</v>
      </c>
      <c r="Y104" s="411">
        <f>SUM(Y102:Y103)</f>
        <v>2799792.4128450928</v>
      </c>
      <c r="Z104" s="411">
        <f>SUM(Z102:Z103)</f>
        <v>3338610.1038442329</v>
      </c>
      <c r="AA104" s="403"/>
      <c r="AB104" s="403"/>
      <c r="AC104" s="403"/>
      <c r="AD104" s="403"/>
      <c r="AE104" s="403"/>
      <c r="AF104" s="811">
        <f>SUM(AF102:AF103)</f>
        <v>3396883.8598118736</v>
      </c>
      <c r="AG104" s="412"/>
      <c r="AH104" s="412"/>
      <c r="AI104" s="412"/>
      <c r="AJ104" s="412"/>
      <c r="AK104" s="412"/>
    </row>
    <row r="105" spans="2:37" ht="16.5" thickTop="1">
      <c r="L105" s="403"/>
      <c r="M105" s="403"/>
      <c r="N105" s="403"/>
      <c r="O105" s="403"/>
      <c r="P105" s="403"/>
      <c r="Q105" s="403"/>
      <c r="R105" s="403"/>
      <c r="S105" s="412"/>
      <c r="T105" s="403"/>
      <c r="U105" s="403"/>
      <c r="V105" s="403"/>
      <c r="W105" s="412"/>
      <c r="X105" s="403"/>
      <c r="Y105" s="403"/>
      <c r="Z105" s="403"/>
      <c r="AA105" s="403"/>
      <c r="AB105" s="403"/>
      <c r="AC105" s="403"/>
      <c r="AD105" s="403"/>
      <c r="AE105" s="403"/>
      <c r="AF105" s="403"/>
      <c r="AG105" s="412"/>
      <c r="AH105" s="412"/>
      <c r="AI105" s="412"/>
      <c r="AJ105" s="412"/>
      <c r="AK105" s="412"/>
    </row>
    <row r="106" spans="2:37">
      <c r="B106" s="319" t="s">
        <v>984</v>
      </c>
      <c r="L106" s="403"/>
      <c r="M106" s="403"/>
      <c r="N106" s="403"/>
      <c r="O106" s="403"/>
      <c r="P106" s="403"/>
      <c r="Q106" s="403"/>
      <c r="R106" s="403"/>
      <c r="T106" s="403"/>
      <c r="U106" s="403"/>
      <c r="V106" s="403"/>
      <c r="X106" s="403"/>
      <c r="Y106" s="403"/>
      <c r="Z106" s="403"/>
      <c r="AA106" s="403"/>
      <c r="AB106" s="403"/>
      <c r="AC106" s="403"/>
      <c r="AD106" s="403"/>
      <c r="AE106" s="403"/>
      <c r="AF106" s="403"/>
    </row>
    <row r="107" spans="2:37" s="690" customFormat="1">
      <c r="B107" s="691" t="s">
        <v>985</v>
      </c>
      <c r="C107" s="702">
        <v>1994</v>
      </c>
      <c r="D107" s="690">
        <f t="shared" ref="D107:D126" si="48">+C107-1900</f>
        <v>94</v>
      </c>
      <c r="E107" s="692">
        <v>9</v>
      </c>
      <c r="F107" s="690">
        <v>0</v>
      </c>
      <c r="G107" s="690" t="s">
        <v>170</v>
      </c>
      <c r="H107" s="692">
        <v>31</v>
      </c>
      <c r="I107" s="690">
        <f t="shared" ref="I107:I126" si="49">D107+H107</f>
        <v>125</v>
      </c>
      <c r="L107" s="692">
        <v>2378</v>
      </c>
      <c r="M107" s="693"/>
      <c r="N107" s="693">
        <f t="shared" ref="N107:N126" si="50">L107-(+L107*F107)</f>
        <v>2378</v>
      </c>
      <c r="O107" s="693">
        <f t="shared" ref="O107:O126" si="51">N107/H107/12</f>
        <v>6.3924731182795691</v>
      </c>
      <c r="P107" s="693">
        <f>IF(Q107&gt;0,0,IF(OR(AA107&gt;AB107,AC107&lt;AD107),0,IF(AND(AC107&gt;=AD107,AC107&lt;=AB107),O107*((AC107-AD107)*12),IF(AND(AD107&lt;=AA107,AB107&gt;=AA107),((AB107-AA107)*12)*O107,IF(AC107&gt;AB107,12*O107,0)))))</f>
        <v>76.709677419354833</v>
      </c>
      <c r="Q107" s="693">
        <f>IF(M107=0,0,IF(AND(AE107&gt;=AD107,AE107&lt;=AC107),((AE107-AD107)*12)*O107,0))</f>
        <v>0</v>
      </c>
      <c r="R107" s="693">
        <f>IF(Q107&gt;0,Q107,P107)</f>
        <v>76.709677419354833</v>
      </c>
      <c r="S107" s="694">
        <f>+'WP -11 Non-Regulated'!$K$29</f>
        <v>0.47014773860644926</v>
      </c>
      <c r="T107" s="693">
        <f>S107*SUM(P107:Q107)</f>
        <v>36.064881367939883</v>
      </c>
      <c r="U107" s="693">
        <f>IF(AA107&gt;AB107,0,IF(AC107&lt;AD107,N107,IF(AND(AC107&gt;=AD107,AC107&lt;=AB107),(N107-R107),IF(AND(AD107&lt;=AA107,AB107&gt;=AA107),0,IF(AC107&gt;AB107,((AD107-AA107)*12)*O107,0)))))</f>
        <v>2020.0215053763434</v>
      </c>
      <c r="V107" s="693">
        <f>U107*S107</f>
        <v>949.70854268908317</v>
      </c>
      <c r="W107" s="694">
        <v>1</v>
      </c>
      <c r="X107" s="693">
        <f>V107*W107</f>
        <v>949.70854268908317</v>
      </c>
      <c r="Y107" s="693">
        <f>IF(M107&gt;0,0,X107+T107*W107)*W107</f>
        <v>985.77342405702302</v>
      </c>
      <c r="Z107" s="693">
        <f t="shared" ref="Z107:Z126" si="52">L107-((+X107+Y107)/2)</f>
        <v>1410.259016626947</v>
      </c>
      <c r="AA107" s="693">
        <f t="shared" ref="AA107:AA126" si="53">$D107+(($E107-1)/12)</f>
        <v>94.666666666666671</v>
      </c>
      <c r="AB107" s="693">
        <f t="shared" ref="AB107:AB126" si="54">($B$10+1)-($B$7/12)</f>
        <v>122</v>
      </c>
      <c r="AC107" s="693">
        <f t="shared" ref="AC107:AC126" si="55">$I107+(($E107-1)/12)</f>
        <v>125.66666666666667</v>
      </c>
      <c r="AD107" s="693">
        <f t="shared" ref="AD107:AD126" si="56">$B$9+($B$8/12)</f>
        <v>121</v>
      </c>
      <c r="AE107" s="693">
        <f t="shared" ref="AE107:AE126" si="57">$J107+(($K107-1)/12)</f>
        <v>-8.3333333333333329E-2</v>
      </c>
      <c r="AF107" s="693">
        <f t="shared" ref="AF107:AF126" si="58">L107-((X107+Y107)/2)-Z107</f>
        <v>0</v>
      </c>
    </row>
    <row r="108" spans="2:37" s="690" customFormat="1">
      <c r="B108" s="691" t="s">
        <v>986</v>
      </c>
      <c r="C108" s="702">
        <v>1994</v>
      </c>
      <c r="D108" s="690">
        <f t="shared" si="48"/>
        <v>94</v>
      </c>
      <c r="E108" s="692">
        <v>9</v>
      </c>
      <c r="F108" s="690">
        <v>0</v>
      </c>
      <c r="G108" s="690" t="s">
        <v>170</v>
      </c>
      <c r="H108" s="692">
        <v>31</v>
      </c>
      <c r="I108" s="690">
        <f t="shared" si="49"/>
        <v>125</v>
      </c>
      <c r="L108" s="692">
        <v>4007</v>
      </c>
      <c r="M108" s="693"/>
      <c r="N108" s="693">
        <f t="shared" si="50"/>
        <v>4007</v>
      </c>
      <c r="O108" s="693">
        <f t="shared" si="51"/>
        <v>10.771505376344086</v>
      </c>
      <c r="P108" s="693">
        <f t="shared" ref="P108:P126" si="59">IF(Q108&gt;0,0,IF(OR(AA108&gt;AB108,AC108&lt;AD108),0,IF(AND(AC108&gt;=AD108,AC108&lt;=AB108),O108*((AC108-AD108)*12),IF(AND(AD108&lt;=AA108,AB108&gt;=AA108),((AB108-AA108)*12)*O108,IF(AC108&gt;AB108,12*O108,0)))))</f>
        <v>129.25806451612902</v>
      </c>
      <c r="Q108" s="693">
        <f t="shared" ref="Q108:Q126" si="60">IF(M108=0,0,IF(AND(AE108&gt;=AD108,AE108&lt;=AC108),((AE108-AD108)*12)*O108,0))</f>
        <v>0</v>
      </c>
      <c r="R108" s="693">
        <f t="shared" ref="R108:R126" si="61">IF(Q108&gt;0,Q108,P108)</f>
        <v>129.25806451612902</v>
      </c>
      <c r="S108" s="694">
        <f>+'WP -11 Non-Regulated'!$K$29</f>
        <v>0.47014773860644926</v>
      </c>
      <c r="T108" s="693">
        <f t="shared" ref="T108:T126" si="62">S108*SUM(P108:Q108)</f>
        <v>60.770386728904583</v>
      </c>
      <c r="U108" s="693">
        <f t="shared" ref="U108:U126" si="63">IF(AA108&gt;AB108,0,IF(AC108&lt;AD108,N108,IF(AND(AC108&gt;=AD108,AC108&lt;=AB108),(N108-R108),IF(AND(AD108&lt;=AA108,AB108&gt;=AA108),0,IF(AC108&gt;AB108,((AD108-AA108)*12)*O108,0)))))</f>
        <v>3403.7956989247305</v>
      </c>
      <c r="V108" s="693">
        <f t="shared" ref="V108:V126" si="64">U108*S108</f>
        <v>1600.2868505278204</v>
      </c>
      <c r="W108" s="694">
        <v>1</v>
      </c>
      <c r="X108" s="693">
        <f t="shared" ref="X108:X126" si="65">V108*W108</f>
        <v>1600.2868505278204</v>
      </c>
      <c r="Y108" s="693">
        <f t="shared" ref="Y108:Y126" si="66">IF(M108&gt;0,0,X108+T108*W108)*W108</f>
        <v>1661.0572372567251</v>
      </c>
      <c r="Z108" s="693">
        <f t="shared" si="52"/>
        <v>2376.327956107727</v>
      </c>
      <c r="AA108" s="693">
        <f t="shared" si="53"/>
        <v>94.666666666666671</v>
      </c>
      <c r="AB108" s="693">
        <f t="shared" si="54"/>
        <v>122</v>
      </c>
      <c r="AC108" s="693">
        <f t="shared" si="55"/>
        <v>125.66666666666667</v>
      </c>
      <c r="AD108" s="693">
        <f t="shared" si="56"/>
        <v>121</v>
      </c>
      <c r="AE108" s="693">
        <f t="shared" si="57"/>
        <v>-8.3333333333333329E-2</v>
      </c>
      <c r="AF108" s="693">
        <f t="shared" si="58"/>
        <v>0</v>
      </c>
    </row>
    <row r="109" spans="2:37" s="690" customFormat="1">
      <c r="B109" s="691" t="s">
        <v>987</v>
      </c>
      <c r="C109" s="702">
        <v>1994</v>
      </c>
      <c r="D109" s="690">
        <f t="shared" si="48"/>
        <v>94</v>
      </c>
      <c r="E109" s="692">
        <v>9</v>
      </c>
      <c r="F109" s="690">
        <v>0</v>
      </c>
      <c r="G109" s="690" t="s">
        <v>170</v>
      </c>
      <c r="H109" s="692">
        <v>31</v>
      </c>
      <c r="I109" s="690">
        <f t="shared" si="49"/>
        <v>125</v>
      </c>
      <c r="L109" s="692">
        <v>3066</v>
      </c>
      <c r="M109" s="693"/>
      <c r="N109" s="693">
        <f t="shared" si="50"/>
        <v>3066</v>
      </c>
      <c r="O109" s="693">
        <f t="shared" si="51"/>
        <v>8.241935483870968</v>
      </c>
      <c r="P109" s="693">
        <f t="shared" si="59"/>
        <v>98.903225806451616</v>
      </c>
      <c r="Q109" s="693">
        <f t="shared" si="60"/>
        <v>0</v>
      </c>
      <c r="R109" s="693">
        <f t="shared" si="61"/>
        <v>98.903225806451616</v>
      </c>
      <c r="S109" s="694">
        <f>+'WP -11 Non-Regulated'!$K$29</f>
        <v>0.47014773860644926</v>
      </c>
      <c r="T109" s="693">
        <f t="shared" si="62"/>
        <v>46.499127953786243</v>
      </c>
      <c r="U109" s="693">
        <f t="shared" si="63"/>
        <v>2604.4516129032254</v>
      </c>
      <c r="V109" s="693">
        <f t="shared" si="64"/>
        <v>1224.4770361163708</v>
      </c>
      <c r="W109" s="694">
        <v>1</v>
      </c>
      <c r="X109" s="693">
        <f t="shared" si="65"/>
        <v>1224.4770361163708</v>
      </c>
      <c r="Y109" s="693">
        <f t="shared" si="66"/>
        <v>1270.976164070157</v>
      </c>
      <c r="Z109" s="693">
        <f t="shared" si="52"/>
        <v>1818.2733999067361</v>
      </c>
      <c r="AA109" s="693">
        <f t="shared" si="53"/>
        <v>94.666666666666671</v>
      </c>
      <c r="AB109" s="693">
        <f t="shared" si="54"/>
        <v>122</v>
      </c>
      <c r="AC109" s="693">
        <f t="shared" si="55"/>
        <v>125.66666666666667</v>
      </c>
      <c r="AD109" s="693">
        <f t="shared" si="56"/>
        <v>121</v>
      </c>
      <c r="AE109" s="693">
        <f t="shared" si="57"/>
        <v>-8.3333333333333329E-2</v>
      </c>
      <c r="AF109" s="693">
        <f t="shared" si="58"/>
        <v>0</v>
      </c>
    </row>
    <row r="110" spans="2:37" s="690" customFormat="1">
      <c r="B110" s="691" t="s">
        <v>988</v>
      </c>
      <c r="C110" s="702">
        <v>1994</v>
      </c>
      <c r="D110" s="690">
        <f t="shared" si="48"/>
        <v>94</v>
      </c>
      <c r="E110" s="692">
        <v>9</v>
      </c>
      <c r="F110" s="690">
        <v>0</v>
      </c>
      <c r="G110" s="690" t="s">
        <v>170</v>
      </c>
      <c r="H110" s="692">
        <v>31</v>
      </c>
      <c r="I110" s="690">
        <f t="shared" si="49"/>
        <v>125</v>
      </c>
      <c r="L110" s="692">
        <v>800</v>
      </c>
      <c r="M110" s="693"/>
      <c r="N110" s="693">
        <f t="shared" si="50"/>
        <v>800</v>
      </c>
      <c r="O110" s="693">
        <f t="shared" si="51"/>
        <v>2.150537634408602</v>
      </c>
      <c r="P110" s="693">
        <f t="shared" si="59"/>
        <v>25.806451612903224</v>
      </c>
      <c r="Q110" s="693">
        <f t="shared" si="60"/>
        <v>0</v>
      </c>
      <c r="R110" s="693">
        <f t="shared" si="61"/>
        <v>25.806451612903224</v>
      </c>
      <c r="S110" s="694">
        <f>+'WP -11 Non-Regulated'!$K$29</f>
        <v>0.47014773860644926</v>
      </c>
      <c r="T110" s="693">
        <f t="shared" si="62"/>
        <v>12.132844867263206</v>
      </c>
      <c r="U110" s="693">
        <f t="shared" si="63"/>
        <v>679.5698924731181</v>
      </c>
      <c r="V110" s="693">
        <f t="shared" si="64"/>
        <v>319.49824817126438</v>
      </c>
      <c r="W110" s="694">
        <v>1</v>
      </c>
      <c r="X110" s="693">
        <f t="shared" si="65"/>
        <v>319.49824817126438</v>
      </c>
      <c r="Y110" s="693">
        <f t="shared" si="66"/>
        <v>331.63109303852758</v>
      </c>
      <c r="Z110" s="693">
        <f t="shared" si="52"/>
        <v>474.43532939510402</v>
      </c>
      <c r="AA110" s="693">
        <f t="shared" si="53"/>
        <v>94.666666666666671</v>
      </c>
      <c r="AB110" s="693">
        <f t="shared" si="54"/>
        <v>122</v>
      </c>
      <c r="AC110" s="693">
        <f t="shared" si="55"/>
        <v>125.66666666666667</v>
      </c>
      <c r="AD110" s="693">
        <f t="shared" si="56"/>
        <v>121</v>
      </c>
      <c r="AE110" s="693">
        <f t="shared" si="57"/>
        <v>-8.3333333333333329E-2</v>
      </c>
      <c r="AF110" s="693">
        <f t="shared" si="58"/>
        <v>0</v>
      </c>
    </row>
    <row r="111" spans="2:37" s="690" customFormat="1">
      <c r="B111" s="691" t="s">
        <v>989</v>
      </c>
      <c r="C111" s="702">
        <v>1994</v>
      </c>
      <c r="D111" s="690">
        <f t="shared" si="48"/>
        <v>94</v>
      </c>
      <c r="E111" s="692">
        <v>9</v>
      </c>
      <c r="F111" s="690">
        <v>0</v>
      </c>
      <c r="G111" s="690" t="s">
        <v>170</v>
      </c>
      <c r="H111" s="692">
        <v>31</v>
      </c>
      <c r="I111" s="690">
        <f t="shared" si="49"/>
        <v>125</v>
      </c>
      <c r="L111" s="692">
        <v>728</v>
      </c>
      <c r="M111" s="693"/>
      <c r="N111" s="693">
        <f t="shared" si="50"/>
        <v>728</v>
      </c>
      <c r="O111" s="693">
        <f t="shared" si="51"/>
        <v>1.956989247311828</v>
      </c>
      <c r="P111" s="693">
        <f t="shared" si="59"/>
        <v>23.483870967741936</v>
      </c>
      <c r="Q111" s="693">
        <f t="shared" si="60"/>
        <v>0</v>
      </c>
      <c r="R111" s="693">
        <f t="shared" si="61"/>
        <v>23.483870967741936</v>
      </c>
      <c r="S111" s="694">
        <f>+'WP -11 Non-Regulated'!$K$29</f>
        <v>0.47014773860644926</v>
      </c>
      <c r="T111" s="693">
        <f t="shared" si="62"/>
        <v>11.040888829209518</v>
      </c>
      <c r="U111" s="693">
        <f t="shared" si="63"/>
        <v>618.40860215053749</v>
      </c>
      <c r="V111" s="693">
        <f t="shared" si="64"/>
        <v>290.74340583585058</v>
      </c>
      <c r="W111" s="694">
        <v>1</v>
      </c>
      <c r="X111" s="693">
        <f t="shared" si="65"/>
        <v>290.74340583585058</v>
      </c>
      <c r="Y111" s="693">
        <f t="shared" si="66"/>
        <v>301.78429466506009</v>
      </c>
      <c r="Z111" s="693">
        <f t="shared" si="52"/>
        <v>431.73614974954467</v>
      </c>
      <c r="AA111" s="693">
        <f t="shared" si="53"/>
        <v>94.666666666666671</v>
      </c>
      <c r="AB111" s="693">
        <f t="shared" si="54"/>
        <v>122</v>
      </c>
      <c r="AC111" s="693">
        <f t="shared" si="55"/>
        <v>125.66666666666667</v>
      </c>
      <c r="AD111" s="693">
        <f t="shared" si="56"/>
        <v>121</v>
      </c>
      <c r="AE111" s="693">
        <f t="shared" si="57"/>
        <v>-8.3333333333333329E-2</v>
      </c>
      <c r="AF111" s="693">
        <f t="shared" si="58"/>
        <v>0</v>
      </c>
    </row>
    <row r="112" spans="2:37" s="690" customFormat="1">
      <c r="B112" s="691" t="s">
        <v>990</v>
      </c>
      <c r="C112" s="702">
        <v>1994</v>
      </c>
      <c r="D112" s="690">
        <f t="shared" si="48"/>
        <v>94</v>
      </c>
      <c r="E112" s="692">
        <v>9</v>
      </c>
      <c r="F112" s="690">
        <v>0</v>
      </c>
      <c r="G112" s="690" t="s">
        <v>170</v>
      </c>
      <c r="H112" s="692">
        <v>31</v>
      </c>
      <c r="I112" s="690">
        <f t="shared" si="49"/>
        <v>125</v>
      </c>
      <c r="L112" s="692">
        <v>321</v>
      </c>
      <c r="M112" s="693"/>
      <c r="N112" s="693">
        <f t="shared" si="50"/>
        <v>321</v>
      </c>
      <c r="O112" s="693">
        <f t="shared" si="51"/>
        <v>0.86290322580645162</v>
      </c>
      <c r="P112" s="693">
        <f t="shared" si="59"/>
        <v>10.35483870967742</v>
      </c>
      <c r="Q112" s="693">
        <f t="shared" si="60"/>
        <v>0</v>
      </c>
      <c r="R112" s="693">
        <f t="shared" si="61"/>
        <v>10.35483870967742</v>
      </c>
      <c r="S112" s="694">
        <f>+'WP -11 Non-Regulated'!$K$29</f>
        <v>0.47014773860644926</v>
      </c>
      <c r="T112" s="693">
        <f t="shared" si="62"/>
        <v>4.8683040029893618</v>
      </c>
      <c r="U112" s="693">
        <f t="shared" si="63"/>
        <v>272.67741935483866</v>
      </c>
      <c r="V112" s="693">
        <f t="shared" si="64"/>
        <v>128.19867207871982</v>
      </c>
      <c r="W112" s="694">
        <v>1</v>
      </c>
      <c r="X112" s="693">
        <f t="shared" si="65"/>
        <v>128.19867207871982</v>
      </c>
      <c r="Y112" s="693">
        <f t="shared" si="66"/>
        <v>133.06697608170919</v>
      </c>
      <c r="Z112" s="693">
        <f t="shared" si="52"/>
        <v>190.3671759197855</v>
      </c>
      <c r="AA112" s="693">
        <f t="shared" si="53"/>
        <v>94.666666666666671</v>
      </c>
      <c r="AB112" s="693">
        <f t="shared" si="54"/>
        <v>122</v>
      </c>
      <c r="AC112" s="693">
        <f t="shared" si="55"/>
        <v>125.66666666666667</v>
      </c>
      <c r="AD112" s="693">
        <f t="shared" si="56"/>
        <v>121</v>
      </c>
      <c r="AE112" s="693">
        <f t="shared" si="57"/>
        <v>-8.3333333333333329E-2</v>
      </c>
      <c r="AF112" s="693">
        <f t="shared" si="58"/>
        <v>0</v>
      </c>
    </row>
    <row r="113" spans="2:35" s="690" customFormat="1">
      <c r="B113" s="691" t="s">
        <v>991</v>
      </c>
      <c r="C113" s="702">
        <v>1994</v>
      </c>
      <c r="D113" s="690">
        <f t="shared" si="48"/>
        <v>94</v>
      </c>
      <c r="E113" s="692">
        <v>9</v>
      </c>
      <c r="F113" s="690">
        <v>0</v>
      </c>
      <c r="G113" s="690" t="s">
        <v>170</v>
      </c>
      <c r="H113" s="692">
        <v>31</v>
      </c>
      <c r="I113" s="690">
        <f t="shared" si="49"/>
        <v>125</v>
      </c>
      <c r="L113" s="692">
        <v>526</v>
      </c>
      <c r="M113" s="693"/>
      <c r="N113" s="693">
        <f t="shared" si="50"/>
        <v>526</v>
      </c>
      <c r="O113" s="693">
        <f t="shared" si="51"/>
        <v>1.413978494623656</v>
      </c>
      <c r="P113" s="693">
        <f t="shared" si="59"/>
        <v>16.967741935483872</v>
      </c>
      <c r="Q113" s="693">
        <f t="shared" si="60"/>
        <v>0</v>
      </c>
      <c r="R113" s="693">
        <f t="shared" si="61"/>
        <v>16.967741935483872</v>
      </c>
      <c r="S113" s="694">
        <f>+'WP -11 Non-Regulated'!$K$29</f>
        <v>0.47014773860644926</v>
      </c>
      <c r="T113" s="693">
        <f t="shared" si="62"/>
        <v>7.9773455002255584</v>
      </c>
      <c r="U113" s="693">
        <f t="shared" si="63"/>
        <v>446.81720430107521</v>
      </c>
      <c r="V113" s="693">
        <f t="shared" si="64"/>
        <v>210.07009817260635</v>
      </c>
      <c r="W113" s="694">
        <v>1</v>
      </c>
      <c r="X113" s="693">
        <f t="shared" si="65"/>
        <v>210.07009817260635</v>
      </c>
      <c r="Y113" s="693">
        <f t="shared" si="66"/>
        <v>218.04744367283192</v>
      </c>
      <c r="Z113" s="693">
        <f t="shared" si="52"/>
        <v>311.94122907728087</v>
      </c>
      <c r="AA113" s="693">
        <f t="shared" si="53"/>
        <v>94.666666666666671</v>
      </c>
      <c r="AB113" s="693">
        <f t="shared" si="54"/>
        <v>122</v>
      </c>
      <c r="AC113" s="693">
        <f t="shared" si="55"/>
        <v>125.66666666666667</v>
      </c>
      <c r="AD113" s="693">
        <f t="shared" si="56"/>
        <v>121</v>
      </c>
      <c r="AE113" s="693">
        <f t="shared" si="57"/>
        <v>-8.3333333333333329E-2</v>
      </c>
      <c r="AF113" s="693">
        <f t="shared" si="58"/>
        <v>0</v>
      </c>
    </row>
    <row r="114" spans="2:35" s="690" customFormat="1">
      <c r="B114" s="691" t="s">
        <v>992</v>
      </c>
      <c r="C114" s="702">
        <v>1994</v>
      </c>
      <c r="D114" s="690">
        <f t="shared" si="48"/>
        <v>94</v>
      </c>
      <c r="E114" s="692">
        <v>9</v>
      </c>
      <c r="F114" s="690">
        <v>0</v>
      </c>
      <c r="G114" s="690" t="s">
        <v>170</v>
      </c>
      <c r="H114" s="692">
        <v>31</v>
      </c>
      <c r="I114" s="690">
        <f t="shared" si="49"/>
        <v>125</v>
      </c>
      <c r="L114" s="692">
        <v>629</v>
      </c>
      <c r="M114" s="693"/>
      <c r="N114" s="693">
        <f t="shared" si="50"/>
        <v>629</v>
      </c>
      <c r="O114" s="693">
        <f t="shared" si="51"/>
        <v>1.6908602150537633</v>
      </c>
      <c r="P114" s="693">
        <f t="shared" si="59"/>
        <v>20.29032258064516</v>
      </c>
      <c r="Q114" s="693">
        <f t="shared" si="60"/>
        <v>0</v>
      </c>
      <c r="R114" s="693">
        <f t="shared" si="61"/>
        <v>20.29032258064516</v>
      </c>
      <c r="S114" s="694">
        <f>+'WP -11 Non-Regulated'!$K$29</f>
        <v>0.47014773860644926</v>
      </c>
      <c r="T114" s="693">
        <f t="shared" si="62"/>
        <v>9.539449276885696</v>
      </c>
      <c r="U114" s="693">
        <f t="shared" si="63"/>
        <v>534.31182795698908</v>
      </c>
      <c r="V114" s="693">
        <f t="shared" si="64"/>
        <v>251.2054976246566</v>
      </c>
      <c r="W114" s="694">
        <v>1</v>
      </c>
      <c r="X114" s="693">
        <f t="shared" si="65"/>
        <v>251.2054976246566</v>
      </c>
      <c r="Y114" s="693">
        <f t="shared" si="66"/>
        <v>260.74494690154228</v>
      </c>
      <c r="Z114" s="693">
        <f t="shared" si="52"/>
        <v>373.02477773690055</v>
      </c>
      <c r="AA114" s="693">
        <f t="shared" si="53"/>
        <v>94.666666666666671</v>
      </c>
      <c r="AB114" s="693">
        <f t="shared" si="54"/>
        <v>122</v>
      </c>
      <c r="AC114" s="693">
        <f t="shared" si="55"/>
        <v>125.66666666666667</v>
      </c>
      <c r="AD114" s="693">
        <f t="shared" si="56"/>
        <v>121</v>
      </c>
      <c r="AE114" s="693">
        <f t="shared" si="57"/>
        <v>-8.3333333333333329E-2</v>
      </c>
      <c r="AF114" s="693">
        <f t="shared" si="58"/>
        <v>0</v>
      </c>
    </row>
    <row r="115" spans="2:35" s="690" customFormat="1">
      <c r="B115" s="691" t="s">
        <v>993</v>
      </c>
      <c r="C115" s="702">
        <v>1994</v>
      </c>
      <c r="D115" s="690">
        <f t="shared" si="48"/>
        <v>94</v>
      </c>
      <c r="E115" s="692">
        <v>9</v>
      </c>
      <c r="F115" s="690">
        <v>0</v>
      </c>
      <c r="G115" s="690" t="s">
        <v>170</v>
      </c>
      <c r="H115" s="692">
        <v>31</v>
      </c>
      <c r="I115" s="690">
        <f t="shared" si="49"/>
        <v>125</v>
      </c>
      <c r="L115" s="692">
        <v>135</v>
      </c>
      <c r="M115" s="693"/>
      <c r="N115" s="693">
        <f t="shared" si="50"/>
        <v>135</v>
      </c>
      <c r="O115" s="693">
        <f t="shared" si="51"/>
        <v>0.36290322580645157</v>
      </c>
      <c r="P115" s="693">
        <f t="shared" si="59"/>
        <v>4.354838709677419</v>
      </c>
      <c r="Q115" s="693">
        <f t="shared" si="60"/>
        <v>0</v>
      </c>
      <c r="R115" s="693">
        <f t="shared" si="61"/>
        <v>4.354838709677419</v>
      </c>
      <c r="S115" s="694">
        <f>+'WP -11 Non-Regulated'!$K$29</f>
        <v>0.47014773860644926</v>
      </c>
      <c r="T115" s="693">
        <f t="shared" si="62"/>
        <v>2.0474175713506662</v>
      </c>
      <c r="U115" s="693">
        <f t="shared" si="63"/>
        <v>114.67741935483868</v>
      </c>
      <c r="V115" s="693">
        <f t="shared" si="64"/>
        <v>53.915329378900857</v>
      </c>
      <c r="W115" s="694">
        <v>1</v>
      </c>
      <c r="X115" s="693">
        <f t="shared" si="65"/>
        <v>53.915329378900857</v>
      </c>
      <c r="Y115" s="693">
        <f t="shared" si="66"/>
        <v>55.962746950251521</v>
      </c>
      <c r="Z115" s="693">
        <f t="shared" si="52"/>
        <v>80.060961835423811</v>
      </c>
      <c r="AA115" s="693">
        <f t="shared" si="53"/>
        <v>94.666666666666671</v>
      </c>
      <c r="AB115" s="693">
        <f t="shared" si="54"/>
        <v>122</v>
      </c>
      <c r="AC115" s="693">
        <f t="shared" si="55"/>
        <v>125.66666666666667</v>
      </c>
      <c r="AD115" s="693">
        <f t="shared" si="56"/>
        <v>121</v>
      </c>
      <c r="AE115" s="693">
        <f t="shared" si="57"/>
        <v>-8.3333333333333329E-2</v>
      </c>
      <c r="AF115" s="693">
        <f t="shared" si="58"/>
        <v>0</v>
      </c>
    </row>
    <row r="116" spans="2:35" s="690" customFormat="1">
      <c r="B116" s="691" t="s">
        <v>994</v>
      </c>
      <c r="C116" s="702">
        <v>1994</v>
      </c>
      <c r="D116" s="690">
        <f t="shared" si="48"/>
        <v>94</v>
      </c>
      <c r="E116" s="692">
        <v>9</v>
      </c>
      <c r="F116" s="690">
        <v>0</v>
      </c>
      <c r="G116" s="690" t="s">
        <v>170</v>
      </c>
      <c r="H116" s="692">
        <v>31</v>
      </c>
      <c r="I116" s="690">
        <f t="shared" si="49"/>
        <v>125</v>
      </c>
      <c r="L116" s="692">
        <v>750</v>
      </c>
      <c r="M116" s="693"/>
      <c r="N116" s="693">
        <f t="shared" si="50"/>
        <v>750</v>
      </c>
      <c r="O116" s="693">
        <f t="shared" si="51"/>
        <v>2.0161290322580645</v>
      </c>
      <c r="P116" s="693">
        <f t="shared" si="59"/>
        <v>24.193548387096776</v>
      </c>
      <c r="Q116" s="693">
        <f t="shared" si="60"/>
        <v>0</v>
      </c>
      <c r="R116" s="693">
        <f t="shared" si="61"/>
        <v>24.193548387096776</v>
      </c>
      <c r="S116" s="694">
        <f>+'WP -11 Non-Regulated'!$K$29</f>
        <v>0.47014773860644926</v>
      </c>
      <c r="T116" s="693">
        <f t="shared" si="62"/>
        <v>11.374542063059257</v>
      </c>
      <c r="U116" s="693">
        <f t="shared" si="63"/>
        <v>637.0967741935483</v>
      </c>
      <c r="V116" s="693">
        <f t="shared" si="64"/>
        <v>299.52960766056037</v>
      </c>
      <c r="W116" s="694">
        <v>1</v>
      </c>
      <c r="X116" s="693">
        <f t="shared" si="65"/>
        <v>299.52960766056037</v>
      </c>
      <c r="Y116" s="693">
        <f t="shared" si="66"/>
        <v>310.90414972361964</v>
      </c>
      <c r="Z116" s="693">
        <f t="shared" si="52"/>
        <v>444.78312130790999</v>
      </c>
      <c r="AA116" s="693">
        <f t="shared" si="53"/>
        <v>94.666666666666671</v>
      </c>
      <c r="AB116" s="693">
        <f t="shared" si="54"/>
        <v>122</v>
      </c>
      <c r="AC116" s="693">
        <f t="shared" si="55"/>
        <v>125.66666666666667</v>
      </c>
      <c r="AD116" s="693">
        <f t="shared" si="56"/>
        <v>121</v>
      </c>
      <c r="AE116" s="693">
        <f t="shared" si="57"/>
        <v>-8.3333333333333329E-2</v>
      </c>
      <c r="AF116" s="693">
        <f t="shared" si="58"/>
        <v>0</v>
      </c>
    </row>
    <row r="117" spans="2:35" s="690" customFormat="1">
      <c r="B117" s="691" t="s">
        <v>995</v>
      </c>
      <c r="C117" s="702">
        <v>1994</v>
      </c>
      <c r="D117" s="690">
        <f t="shared" si="48"/>
        <v>94</v>
      </c>
      <c r="E117" s="692">
        <v>9</v>
      </c>
      <c r="F117" s="690">
        <v>0</v>
      </c>
      <c r="G117" s="690" t="s">
        <v>170</v>
      </c>
      <c r="H117" s="692">
        <v>31</v>
      </c>
      <c r="I117" s="690">
        <f t="shared" si="49"/>
        <v>125</v>
      </c>
      <c r="L117" s="692">
        <v>605</v>
      </c>
      <c r="M117" s="693"/>
      <c r="N117" s="693">
        <f t="shared" si="50"/>
        <v>605</v>
      </c>
      <c r="O117" s="693">
        <f t="shared" si="51"/>
        <v>1.6263440860215053</v>
      </c>
      <c r="P117" s="693">
        <f t="shared" si="59"/>
        <v>19.516129032258064</v>
      </c>
      <c r="Q117" s="693">
        <f t="shared" si="60"/>
        <v>0</v>
      </c>
      <c r="R117" s="693">
        <f t="shared" si="61"/>
        <v>19.516129032258064</v>
      </c>
      <c r="S117" s="694">
        <f>+'WP -11 Non-Regulated'!$K$29</f>
        <v>0.47014773860644926</v>
      </c>
      <c r="T117" s="693">
        <f t="shared" si="62"/>
        <v>9.1754639308677994</v>
      </c>
      <c r="U117" s="693">
        <f t="shared" si="63"/>
        <v>513.92473118279554</v>
      </c>
      <c r="V117" s="693">
        <f t="shared" si="64"/>
        <v>241.62055017951866</v>
      </c>
      <c r="W117" s="694">
        <v>1</v>
      </c>
      <c r="X117" s="693">
        <f t="shared" si="65"/>
        <v>241.62055017951866</v>
      </c>
      <c r="Y117" s="693">
        <f t="shared" si="66"/>
        <v>250.79601411038647</v>
      </c>
      <c r="Z117" s="693">
        <f t="shared" si="52"/>
        <v>358.79171785504741</v>
      </c>
      <c r="AA117" s="693">
        <f t="shared" si="53"/>
        <v>94.666666666666671</v>
      </c>
      <c r="AB117" s="693">
        <f t="shared" si="54"/>
        <v>122</v>
      </c>
      <c r="AC117" s="693">
        <f t="shared" si="55"/>
        <v>125.66666666666667</v>
      </c>
      <c r="AD117" s="693">
        <f t="shared" si="56"/>
        <v>121</v>
      </c>
      <c r="AE117" s="693">
        <f t="shared" si="57"/>
        <v>-8.3333333333333329E-2</v>
      </c>
      <c r="AF117" s="693">
        <f t="shared" si="58"/>
        <v>0</v>
      </c>
    </row>
    <row r="118" spans="2:35" s="690" customFormat="1">
      <c r="B118" s="691" t="s">
        <v>996</v>
      </c>
      <c r="C118" s="702">
        <v>1994</v>
      </c>
      <c r="D118" s="690">
        <f t="shared" si="48"/>
        <v>94</v>
      </c>
      <c r="E118" s="692">
        <v>9</v>
      </c>
      <c r="F118" s="690">
        <v>0</v>
      </c>
      <c r="G118" s="690" t="s">
        <v>170</v>
      </c>
      <c r="H118" s="692">
        <v>31</v>
      </c>
      <c r="I118" s="690">
        <f t="shared" si="49"/>
        <v>125</v>
      </c>
      <c r="L118" s="692">
        <v>5203</v>
      </c>
      <c r="M118" s="693"/>
      <c r="N118" s="693">
        <f t="shared" si="50"/>
        <v>5203</v>
      </c>
      <c r="O118" s="693">
        <f t="shared" si="51"/>
        <v>13.986559139784946</v>
      </c>
      <c r="P118" s="693">
        <f t="shared" si="59"/>
        <v>167.83870967741936</v>
      </c>
      <c r="Q118" s="693">
        <f t="shared" si="60"/>
        <v>0</v>
      </c>
      <c r="R118" s="693">
        <f t="shared" si="61"/>
        <v>167.83870967741936</v>
      </c>
      <c r="S118" s="694">
        <f>+'WP -11 Non-Regulated'!$K$29</f>
        <v>0.47014773860644926</v>
      </c>
      <c r="T118" s="693">
        <f t="shared" si="62"/>
        <v>78.908989805463079</v>
      </c>
      <c r="U118" s="693">
        <f t="shared" si="63"/>
        <v>4419.7526881720423</v>
      </c>
      <c r="V118" s="693">
        <f t="shared" si="64"/>
        <v>2077.9367315438608</v>
      </c>
      <c r="W118" s="694">
        <v>1</v>
      </c>
      <c r="X118" s="693">
        <f t="shared" si="65"/>
        <v>2077.9367315438608</v>
      </c>
      <c r="Y118" s="693">
        <f t="shared" si="66"/>
        <v>2156.8457213493239</v>
      </c>
      <c r="Z118" s="693">
        <f t="shared" si="52"/>
        <v>3085.6087735534074</v>
      </c>
      <c r="AA118" s="693">
        <f t="shared" si="53"/>
        <v>94.666666666666671</v>
      </c>
      <c r="AB118" s="693">
        <f t="shared" si="54"/>
        <v>122</v>
      </c>
      <c r="AC118" s="693">
        <f t="shared" si="55"/>
        <v>125.66666666666667</v>
      </c>
      <c r="AD118" s="693">
        <f t="shared" si="56"/>
        <v>121</v>
      </c>
      <c r="AE118" s="693">
        <f t="shared" si="57"/>
        <v>-8.3333333333333329E-2</v>
      </c>
      <c r="AF118" s="693">
        <f t="shared" si="58"/>
        <v>0</v>
      </c>
    </row>
    <row r="119" spans="2:35" s="690" customFormat="1">
      <c r="B119" s="691" t="s">
        <v>997</v>
      </c>
      <c r="C119" s="702">
        <v>1994</v>
      </c>
      <c r="D119" s="690">
        <f t="shared" si="48"/>
        <v>94</v>
      </c>
      <c r="E119" s="692">
        <v>9</v>
      </c>
      <c r="F119" s="690">
        <v>0</v>
      </c>
      <c r="G119" s="690" t="s">
        <v>170</v>
      </c>
      <c r="H119" s="692">
        <v>31</v>
      </c>
      <c r="I119" s="690">
        <f t="shared" si="49"/>
        <v>125</v>
      </c>
      <c r="L119" s="692">
        <v>229264</v>
      </c>
      <c r="M119" s="693"/>
      <c r="N119" s="693">
        <f t="shared" si="50"/>
        <v>229264</v>
      </c>
      <c r="O119" s="693">
        <f t="shared" si="51"/>
        <v>616.30107526881727</v>
      </c>
      <c r="P119" s="693">
        <f t="shared" si="59"/>
        <v>7395.6129032258068</v>
      </c>
      <c r="Q119" s="693">
        <f t="shared" si="60"/>
        <v>0</v>
      </c>
      <c r="R119" s="693">
        <f t="shared" si="61"/>
        <v>7395.6129032258068</v>
      </c>
      <c r="S119" s="694">
        <f>+'WP -11 Non-Regulated'!$K$29</f>
        <v>0.47014773860644926</v>
      </c>
      <c r="T119" s="693">
        <f t="shared" si="62"/>
        <v>3477.03068206029</v>
      </c>
      <c r="U119" s="693">
        <f t="shared" si="63"/>
        <v>194751.13978494622</v>
      </c>
      <c r="V119" s="693">
        <f t="shared" si="64"/>
        <v>91561.807960920953</v>
      </c>
      <c r="W119" s="694">
        <v>1</v>
      </c>
      <c r="X119" s="693">
        <f t="shared" si="65"/>
        <v>91561.807960920953</v>
      </c>
      <c r="Y119" s="693">
        <f t="shared" si="66"/>
        <v>95038.838642981238</v>
      </c>
      <c r="Z119" s="693">
        <f t="shared" si="52"/>
        <v>135963.67669804889</v>
      </c>
      <c r="AA119" s="693">
        <f t="shared" si="53"/>
        <v>94.666666666666671</v>
      </c>
      <c r="AB119" s="693">
        <f t="shared" si="54"/>
        <v>122</v>
      </c>
      <c r="AC119" s="693">
        <f t="shared" si="55"/>
        <v>125.66666666666667</v>
      </c>
      <c r="AD119" s="693">
        <f t="shared" si="56"/>
        <v>121</v>
      </c>
      <c r="AE119" s="693">
        <f t="shared" si="57"/>
        <v>-8.3333333333333329E-2</v>
      </c>
      <c r="AF119" s="693">
        <f t="shared" si="58"/>
        <v>0</v>
      </c>
    </row>
    <row r="120" spans="2:35" s="690" customFormat="1">
      <c r="B120" s="691" t="s">
        <v>998</v>
      </c>
      <c r="C120" s="702">
        <v>1995</v>
      </c>
      <c r="D120" s="690">
        <f t="shared" si="48"/>
        <v>95</v>
      </c>
      <c r="E120" s="692">
        <v>7</v>
      </c>
      <c r="F120" s="690">
        <v>0</v>
      </c>
      <c r="G120" s="690" t="s">
        <v>170</v>
      </c>
      <c r="H120" s="692">
        <v>31</v>
      </c>
      <c r="I120" s="690">
        <f t="shared" si="49"/>
        <v>126</v>
      </c>
      <c r="L120" s="692">
        <v>5869</v>
      </c>
      <c r="M120" s="693"/>
      <c r="N120" s="693">
        <f t="shared" si="50"/>
        <v>5869</v>
      </c>
      <c r="O120" s="693">
        <f t="shared" si="51"/>
        <v>15.776881720430106</v>
      </c>
      <c r="P120" s="693">
        <f t="shared" si="59"/>
        <v>189.32258064516128</v>
      </c>
      <c r="Q120" s="693">
        <f t="shared" si="60"/>
        <v>0</v>
      </c>
      <c r="R120" s="693">
        <f t="shared" si="61"/>
        <v>189.32258064516128</v>
      </c>
      <c r="S120" s="694">
        <f>+'WP -11 Non-Regulated'!$K$29</f>
        <v>0.47014773860644926</v>
      </c>
      <c r="T120" s="693">
        <f t="shared" si="62"/>
        <v>89.009583157459701</v>
      </c>
      <c r="U120" s="693">
        <f t="shared" si="63"/>
        <v>4827.7258064516127</v>
      </c>
      <c r="V120" s="693">
        <f t="shared" si="64"/>
        <v>2269.7443705152223</v>
      </c>
      <c r="W120" s="694">
        <v>1</v>
      </c>
      <c r="X120" s="693">
        <f t="shared" si="65"/>
        <v>2269.7443705152223</v>
      </c>
      <c r="Y120" s="693">
        <f t="shared" si="66"/>
        <v>2358.7539536726817</v>
      </c>
      <c r="Z120" s="693">
        <f t="shared" si="52"/>
        <v>3554.7508379060482</v>
      </c>
      <c r="AA120" s="693">
        <f t="shared" si="53"/>
        <v>95.5</v>
      </c>
      <c r="AB120" s="693">
        <f t="shared" si="54"/>
        <v>122</v>
      </c>
      <c r="AC120" s="693">
        <f t="shared" si="55"/>
        <v>126.5</v>
      </c>
      <c r="AD120" s="693">
        <f t="shared" si="56"/>
        <v>121</v>
      </c>
      <c r="AE120" s="693">
        <f t="shared" si="57"/>
        <v>-8.3333333333333329E-2</v>
      </c>
      <c r="AF120" s="693">
        <f t="shared" si="58"/>
        <v>0</v>
      </c>
    </row>
    <row r="121" spans="2:35" s="690" customFormat="1">
      <c r="B121" s="691" t="s">
        <v>999</v>
      </c>
      <c r="C121" s="702">
        <v>1997</v>
      </c>
      <c r="D121" s="690">
        <f t="shared" si="48"/>
        <v>97</v>
      </c>
      <c r="E121" s="692">
        <v>11</v>
      </c>
      <c r="F121" s="690">
        <v>0</v>
      </c>
      <c r="G121" s="690" t="s">
        <v>170</v>
      </c>
      <c r="H121" s="692">
        <v>39</v>
      </c>
      <c r="I121" s="690">
        <f t="shared" si="49"/>
        <v>136</v>
      </c>
      <c r="L121" s="692">
        <v>420896</v>
      </c>
      <c r="M121" s="693"/>
      <c r="N121" s="693">
        <f t="shared" si="50"/>
        <v>420896</v>
      </c>
      <c r="O121" s="693">
        <f t="shared" si="51"/>
        <v>899.35042735042737</v>
      </c>
      <c r="P121" s="693">
        <f t="shared" si="59"/>
        <v>10792.205128205129</v>
      </c>
      <c r="Q121" s="693">
        <f t="shared" si="60"/>
        <v>0</v>
      </c>
      <c r="R121" s="693">
        <f t="shared" si="61"/>
        <v>10792.205128205129</v>
      </c>
      <c r="S121" s="694">
        <f>+'WP -11 Non-Regulated'!$K$29</f>
        <v>0.47014773860644926</v>
      </c>
      <c r="T121" s="693">
        <f t="shared" si="62"/>
        <v>5073.9308356025658</v>
      </c>
      <c r="U121" s="693">
        <f t="shared" si="63"/>
        <v>250019.41880341887</v>
      </c>
      <c r="V121" s="693">
        <f t="shared" si="64"/>
        <v>117546.06435812614</v>
      </c>
      <c r="W121" s="694">
        <v>1</v>
      </c>
      <c r="X121" s="693">
        <f t="shared" si="65"/>
        <v>117546.06435812614</v>
      </c>
      <c r="Y121" s="693">
        <f t="shared" si="66"/>
        <v>122619.99519372871</v>
      </c>
      <c r="Z121" s="693">
        <f t="shared" si="52"/>
        <v>300812.97022407257</v>
      </c>
      <c r="AA121" s="693">
        <f t="shared" si="53"/>
        <v>97.833333333333329</v>
      </c>
      <c r="AB121" s="693">
        <f t="shared" si="54"/>
        <v>122</v>
      </c>
      <c r="AC121" s="693">
        <f t="shared" si="55"/>
        <v>136.83333333333334</v>
      </c>
      <c r="AD121" s="693">
        <f t="shared" si="56"/>
        <v>121</v>
      </c>
      <c r="AE121" s="693">
        <f t="shared" si="57"/>
        <v>-8.3333333333333329E-2</v>
      </c>
      <c r="AF121" s="693">
        <f t="shared" si="58"/>
        <v>0</v>
      </c>
    </row>
    <row r="122" spans="2:35" s="690" customFormat="1">
      <c r="B122" s="691" t="s">
        <v>1000</v>
      </c>
      <c r="C122" s="702">
        <v>1998</v>
      </c>
      <c r="D122" s="690">
        <f t="shared" si="48"/>
        <v>98</v>
      </c>
      <c r="E122" s="692">
        <v>7</v>
      </c>
      <c r="F122" s="690">
        <v>0</v>
      </c>
      <c r="G122" s="690" t="s">
        <v>170</v>
      </c>
      <c r="H122" s="692">
        <v>39</v>
      </c>
      <c r="I122" s="690">
        <f t="shared" si="49"/>
        <v>137</v>
      </c>
      <c r="L122" s="692">
        <v>111494</v>
      </c>
      <c r="M122" s="693"/>
      <c r="N122" s="693">
        <f t="shared" si="50"/>
        <v>111494</v>
      </c>
      <c r="O122" s="693">
        <f t="shared" si="51"/>
        <v>238.23504273504273</v>
      </c>
      <c r="P122" s="693">
        <f t="shared" si="59"/>
        <v>2858.8205128205127</v>
      </c>
      <c r="Q122" s="693">
        <f t="shared" si="60"/>
        <v>0</v>
      </c>
      <c r="R122" s="693">
        <f t="shared" si="61"/>
        <v>2858.8205128205127</v>
      </c>
      <c r="S122" s="694">
        <f>+'WP -11 Non-Regulated'!$K$29</f>
        <v>0.47014773860644926</v>
      </c>
      <c r="T122" s="693">
        <f t="shared" si="62"/>
        <v>1344.0679991842937</v>
      </c>
      <c r="U122" s="693">
        <f t="shared" si="63"/>
        <v>64323.461538461539</v>
      </c>
      <c r="V122" s="693">
        <f t="shared" si="64"/>
        <v>30241.529981646607</v>
      </c>
      <c r="W122" s="694">
        <v>1</v>
      </c>
      <c r="X122" s="693">
        <f t="shared" si="65"/>
        <v>30241.529981646607</v>
      </c>
      <c r="Y122" s="693">
        <f t="shared" si="66"/>
        <v>31585.597980830902</v>
      </c>
      <c r="Z122" s="693">
        <f t="shared" si="52"/>
        <v>80580.436018761247</v>
      </c>
      <c r="AA122" s="693">
        <f t="shared" si="53"/>
        <v>98.5</v>
      </c>
      <c r="AB122" s="693">
        <f t="shared" si="54"/>
        <v>122</v>
      </c>
      <c r="AC122" s="693">
        <f t="shared" si="55"/>
        <v>137.5</v>
      </c>
      <c r="AD122" s="693">
        <f t="shared" si="56"/>
        <v>121</v>
      </c>
      <c r="AE122" s="693">
        <f t="shared" si="57"/>
        <v>-8.3333333333333329E-2</v>
      </c>
      <c r="AF122" s="693">
        <f t="shared" si="58"/>
        <v>0</v>
      </c>
    </row>
    <row r="123" spans="2:35" s="690" customFormat="1">
      <c r="B123" s="691" t="s">
        <v>1001</v>
      </c>
      <c r="C123" s="702">
        <v>2001</v>
      </c>
      <c r="D123" s="690">
        <f t="shared" si="48"/>
        <v>101</v>
      </c>
      <c r="E123" s="692">
        <v>12</v>
      </c>
      <c r="F123" s="690">
        <v>0</v>
      </c>
      <c r="G123" s="690" t="s">
        <v>170</v>
      </c>
      <c r="H123" s="692">
        <v>39</v>
      </c>
      <c r="I123" s="690">
        <f t="shared" si="49"/>
        <v>140</v>
      </c>
      <c r="L123" s="692">
        <v>20083</v>
      </c>
      <c r="M123" s="693"/>
      <c r="N123" s="693">
        <f t="shared" si="50"/>
        <v>20083</v>
      </c>
      <c r="O123" s="693">
        <f t="shared" si="51"/>
        <v>42.912393162393158</v>
      </c>
      <c r="P123" s="693">
        <f t="shared" si="59"/>
        <v>514.9487179487179</v>
      </c>
      <c r="Q123" s="693">
        <f t="shared" si="60"/>
        <v>0</v>
      </c>
      <c r="R123" s="693">
        <f t="shared" si="61"/>
        <v>514.9487179487179</v>
      </c>
      <c r="S123" s="694">
        <f>+'WP -11 Non-Regulated'!$K$29</f>
        <v>0.47014773860644926</v>
      </c>
      <c r="T123" s="693">
        <f t="shared" si="62"/>
        <v>242.10197524187998</v>
      </c>
      <c r="U123" s="693">
        <f t="shared" si="63"/>
        <v>9826.9380341880315</v>
      </c>
      <c r="V123" s="693">
        <f t="shared" si="64"/>
        <v>4620.1126941992088</v>
      </c>
      <c r="W123" s="694">
        <v>1</v>
      </c>
      <c r="X123" s="693">
        <f t="shared" si="65"/>
        <v>4620.1126941992088</v>
      </c>
      <c r="Y123" s="693">
        <f t="shared" si="66"/>
        <v>4862.2146694410885</v>
      </c>
      <c r="Z123" s="693">
        <f t="shared" si="52"/>
        <v>15341.836318179852</v>
      </c>
      <c r="AA123" s="693">
        <f t="shared" si="53"/>
        <v>101.91666666666667</v>
      </c>
      <c r="AB123" s="693">
        <f t="shared" si="54"/>
        <v>122</v>
      </c>
      <c r="AC123" s="693">
        <f t="shared" si="55"/>
        <v>140.91666666666666</v>
      </c>
      <c r="AD123" s="693">
        <f t="shared" si="56"/>
        <v>121</v>
      </c>
      <c r="AE123" s="693">
        <f t="shared" si="57"/>
        <v>-8.3333333333333329E-2</v>
      </c>
      <c r="AF123" s="693">
        <f t="shared" si="58"/>
        <v>0</v>
      </c>
    </row>
    <row r="124" spans="2:35" s="690" customFormat="1">
      <c r="B124" s="691" t="s">
        <v>1002</v>
      </c>
      <c r="C124" s="702">
        <v>1994</v>
      </c>
      <c r="D124" s="690">
        <f t="shared" si="48"/>
        <v>94</v>
      </c>
      <c r="E124" s="692">
        <v>6</v>
      </c>
      <c r="F124" s="690">
        <v>0</v>
      </c>
      <c r="G124" s="690" t="s">
        <v>170</v>
      </c>
      <c r="H124" s="692">
        <v>31</v>
      </c>
      <c r="I124" s="690">
        <f t="shared" si="49"/>
        <v>125</v>
      </c>
      <c r="L124" s="692">
        <v>14083</v>
      </c>
      <c r="M124" s="693"/>
      <c r="N124" s="693">
        <f t="shared" si="50"/>
        <v>14083</v>
      </c>
      <c r="O124" s="693">
        <f t="shared" si="51"/>
        <v>37.857526881720432</v>
      </c>
      <c r="P124" s="693">
        <f t="shared" si="59"/>
        <v>454.29032258064518</v>
      </c>
      <c r="Q124" s="693">
        <f t="shared" si="60"/>
        <v>0</v>
      </c>
      <c r="R124" s="693">
        <f t="shared" si="61"/>
        <v>454.29032258064518</v>
      </c>
      <c r="S124" s="694">
        <f>+'WP -11 Non-Regulated'!$K$29</f>
        <v>0.47014773860644926</v>
      </c>
      <c r="T124" s="693">
        <f t="shared" si="62"/>
        <v>213.5835678320847</v>
      </c>
      <c r="U124" s="693">
        <f t="shared" si="63"/>
        <v>12076.551075268815</v>
      </c>
      <c r="V124" s="693">
        <f t="shared" si="64"/>
        <v>5677.7631782029166</v>
      </c>
      <c r="W124" s="694">
        <v>1</v>
      </c>
      <c r="X124" s="693">
        <f t="shared" si="65"/>
        <v>5677.7631782029166</v>
      </c>
      <c r="Y124" s="693">
        <f t="shared" si="66"/>
        <v>5891.3467460350012</v>
      </c>
      <c r="Z124" s="693">
        <f t="shared" si="52"/>
        <v>8298.4450378810416</v>
      </c>
      <c r="AA124" s="693">
        <f t="shared" si="53"/>
        <v>94.416666666666671</v>
      </c>
      <c r="AB124" s="693">
        <f t="shared" si="54"/>
        <v>122</v>
      </c>
      <c r="AC124" s="693">
        <f t="shared" si="55"/>
        <v>125.41666666666667</v>
      </c>
      <c r="AD124" s="693">
        <f t="shared" si="56"/>
        <v>121</v>
      </c>
      <c r="AE124" s="693">
        <f t="shared" si="57"/>
        <v>-8.3333333333333329E-2</v>
      </c>
      <c r="AF124" s="693">
        <f t="shared" si="58"/>
        <v>0</v>
      </c>
    </row>
    <row r="125" spans="2:35" s="690" customFormat="1">
      <c r="B125" s="691" t="s">
        <v>1003</v>
      </c>
      <c r="C125" s="702">
        <v>1994</v>
      </c>
      <c r="D125" s="690">
        <f t="shared" si="48"/>
        <v>94</v>
      </c>
      <c r="E125" s="692">
        <v>9</v>
      </c>
      <c r="F125" s="690">
        <v>0</v>
      </c>
      <c r="G125" s="690" t="s">
        <v>170</v>
      </c>
      <c r="H125" s="692">
        <v>31</v>
      </c>
      <c r="I125" s="690">
        <f t="shared" si="49"/>
        <v>125</v>
      </c>
      <c r="L125" s="692">
        <v>33692</v>
      </c>
      <c r="M125" s="693"/>
      <c r="N125" s="693">
        <f t="shared" si="50"/>
        <v>33692</v>
      </c>
      <c r="O125" s="693">
        <f t="shared" si="51"/>
        <v>90.569892473118273</v>
      </c>
      <c r="P125" s="693">
        <f t="shared" si="59"/>
        <v>1086.8387096774193</v>
      </c>
      <c r="Q125" s="693">
        <f t="shared" si="60"/>
        <v>0</v>
      </c>
      <c r="R125" s="693">
        <f t="shared" si="61"/>
        <v>1086.8387096774193</v>
      </c>
      <c r="S125" s="694">
        <f>+'WP -11 Non-Regulated'!$K$29</f>
        <v>0.47014773860644926</v>
      </c>
      <c r="T125" s="693">
        <f t="shared" si="62"/>
        <v>510.97476158478992</v>
      </c>
      <c r="U125" s="693">
        <f t="shared" si="63"/>
        <v>28620.086021505369</v>
      </c>
      <c r="V125" s="693">
        <f t="shared" si="64"/>
        <v>13455.668721732798</v>
      </c>
      <c r="W125" s="694">
        <v>1</v>
      </c>
      <c r="X125" s="693">
        <f t="shared" si="65"/>
        <v>13455.668721732798</v>
      </c>
      <c r="Y125" s="693">
        <f t="shared" si="66"/>
        <v>13966.643483317588</v>
      </c>
      <c r="Z125" s="693">
        <f t="shared" si="52"/>
        <v>19980.843897474806</v>
      </c>
      <c r="AA125" s="693">
        <f t="shared" si="53"/>
        <v>94.666666666666671</v>
      </c>
      <c r="AB125" s="693">
        <f t="shared" si="54"/>
        <v>122</v>
      </c>
      <c r="AC125" s="693">
        <f t="shared" si="55"/>
        <v>125.66666666666667</v>
      </c>
      <c r="AD125" s="693">
        <f t="shared" si="56"/>
        <v>121</v>
      </c>
      <c r="AE125" s="693">
        <f t="shared" si="57"/>
        <v>-8.3333333333333329E-2</v>
      </c>
      <c r="AF125" s="693">
        <f t="shared" si="58"/>
        <v>0</v>
      </c>
    </row>
    <row r="126" spans="2:35" s="690" customFormat="1">
      <c r="B126" s="691" t="s">
        <v>1004</v>
      </c>
      <c r="C126" s="702">
        <v>2004</v>
      </c>
      <c r="D126" s="690">
        <f t="shared" si="48"/>
        <v>104</v>
      </c>
      <c r="E126" s="692">
        <v>1</v>
      </c>
      <c r="F126" s="690">
        <v>0</v>
      </c>
      <c r="G126" s="690" t="s">
        <v>170</v>
      </c>
      <c r="H126" s="692">
        <v>50</v>
      </c>
      <c r="I126" s="690">
        <f t="shared" si="49"/>
        <v>154</v>
      </c>
      <c r="L126" s="692">
        <v>6754</v>
      </c>
      <c r="M126" s="693"/>
      <c r="N126" s="693">
        <f t="shared" si="50"/>
        <v>6754</v>
      </c>
      <c r="O126" s="693">
        <f t="shared" si="51"/>
        <v>11.256666666666668</v>
      </c>
      <c r="P126" s="693">
        <f t="shared" si="59"/>
        <v>135.08000000000001</v>
      </c>
      <c r="Q126" s="693">
        <f t="shared" si="60"/>
        <v>0</v>
      </c>
      <c r="R126" s="693">
        <f t="shared" si="61"/>
        <v>135.08000000000001</v>
      </c>
      <c r="S126" s="694">
        <f>+'WP -11 Non-Regulated'!$K$29</f>
        <v>0.47014773860644926</v>
      </c>
      <c r="T126" s="693">
        <f t="shared" si="62"/>
        <v>63.507556530959171</v>
      </c>
      <c r="U126" s="693">
        <f t="shared" si="63"/>
        <v>2296.36</v>
      </c>
      <c r="V126" s="693">
        <f t="shared" si="64"/>
        <v>1079.6284610263058</v>
      </c>
      <c r="W126" s="694">
        <v>1</v>
      </c>
      <c r="X126" s="693">
        <f t="shared" si="65"/>
        <v>1079.6284610263058</v>
      </c>
      <c r="Y126" s="693">
        <f t="shared" si="66"/>
        <v>1143.1360175572649</v>
      </c>
      <c r="Z126" s="693">
        <f t="shared" si="52"/>
        <v>5642.6177607082145</v>
      </c>
      <c r="AA126" s="693">
        <f t="shared" si="53"/>
        <v>104</v>
      </c>
      <c r="AB126" s="693">
        <f t="shared" si="54"/>
        <v>122</v>
      </c>
      <c r="AC126" s="693">
        <f t="shared" si="55"/>
        <v>154</v>
      </c>
      <c r="AD126" s="693">
        <f t="shared" si="56"/>
        <v>121</v>
      </c>
      <c r="AE126" s="693">
        <f t="shared" si="57"/>
        <v>-8.3333333333333329E-2</v>
      </c>
      <c r="AF126" s="693">
        <f t="shared" si="58"/>
        <v>0</v>
      </c>
    </row>
    <row r="127" spans="2:35">
      <c r="B127" s="319"/>
      <c r="L127" s="403"/>
      <c r="M127" s="403"/>
      <c r="N127" s="403"/>
      <c r="O127" s="403"/>
      <c r="P127" s="403"/>
      <c r="Q127" s="403"/>
      <c r="R127" s="403"/>
      <c r="T127" s="403"/>
      <c r="U127" s="403"/>
      <c r="V127" s="403"/>
      <c r="X127" s="403"/>
      <c r="Y127" s="403"/>
      <c r="Z127" s="403"/>
      <c r="AA127" s="403"/>
      <c r="AB127" s="403"/>
      <c r="AC127" s="403"/>
      <c r="AD127" s="403"/>
      <c r="AE127" s="403"/>
      <c r="AF127" s="403"/>
    </row>
    <row r="128" spans="2:35">
      <c r="B128" s="406" t="s">
        <v>735</v>
      </c>
      <c r="C128" s="317">
        <v>2010</v>
      </c>
      <c r="D128" s="317">
        <f>+C128-1900</f>
        <v>110</v>
      </c>
      <c r="E128" s="317">
        <v>6</v>
      </c>
      <c r="F128" s="404">
        <v>0</v>
      </c>
      <c r="G128" s="396" t="s">
        <v>170</v>
      </c>
      <c r="H128" s="317">
        <v>20</v>
      </c>
      <c r="I128" s="317">
        <f>D128+H128</f>
        <v>130</v>
      </c>
      <c r="L128" s="403">
        <v>306632</v>
      </c>
      <c r="M128" s="403">
        <v>0</v>
      </c>
      <c r="N128" s="403">
        <f>L128-(+L128*F128)</f>
        <v>306632</v>
      </c>
      <c r="O128" s="403">
        <f>N128/H128/12</f>
        <v>1277.6333333333334</v>
      </c>
      <c r="P128" s="403">
        <f>IF(Q128&gt;0,0,IF(OR(AA128&gt;AB128,AC128&lt;AD128),0,IF(AND(AC128&gt;=AD128,AC128&lt;=AB128),O128*((AC128-AD128)*12),IF(AND(AD128&lt;=AA128,AB128&gt;=AA128),((AB128-AA128)*12)*O128,IF(AC128&gt;AB128,12*O128,0)))))</f>
        <v>15331.600000000002</v>
      </c>
      <c r="Q128" s="403">
        <f>IF(M128=0,0,IF(AND(AE128&gt;=AD128,AE128&lt;=AC128),((AE128-AD128)*12)*O128,0))</f>
        <v>0</v>
      </c>
      <c r="R128" s="403">
        <f>IF(Q128&gt;0,Q128,P128)</f>
        <v>15331.600000000002</v>
      </c>
      <c r="S128" s="405">
        <f>+'WP -11 Non-Regulated'!$K$29</f>
        <v>0.47014773860644926</v>
      </c>
      <c r="T128" s="403">
        <f>S128*SUM(P128:Q128)</f>
        <v>7208.1170692186388</v>
      </c>
      <c r="U128" s="403">
        <f>IF(AA128&gt;AB128,0,IF(AC128&lt;AD128,N128,IF(AND(AC128&gt;=AD128,AC128&lt;=AB128),(N128-R128),IF(AND(AD128&lt;=AA128,AB128&gt;=AA128),0,IF(AC128&gt;AB128,((AD128-AA128)*12)*O128,0)))))</f>
        <v>162259.43333333326</v>
      </c>
      <c r="V128" s="403">
        <f>U128*S128</f>
        <v>76285.905649230554</v>
      </c>
      <c r="W128" s="405">
        <v>1</v>
      </c>
      <c r="X128" s="403">
        <f>V128*W128</f>
        <v>76285.905649230554</v>
      </c>
      <c r="Y128" s="403">
        <f>IF(M128&gt;0,0,X128+T128*W128)*W128</f>
        <v>83494.022718449196</v>
      </c>
      <c r="Z128" s="403">
        <f>IF(M128&gt;0,(L128-X128)/2,IF(AA128&gt;=AD128,(((L128*S128)*W128)-Y128)/2,((((L128*S128)*W128)-X128)+(((L128*S128)*W128)-Y128))/2))</f>
        <v>64272.377200532886</v>
      </c>
      <c r="AA128" s="403">
        <f>$D128+(($E128-1)/12)</f>
        <v>110.41666666666667</v>
      </c>
      <c r="AB128" s="403">
        <f>($B$10+1)-($B$7/12)</f>
        <v>122</v>
      </c>
      <c r="AC128" s="403">
        <f>$I128+(($E128-1)/12)</f>
        <v>130.41666666666666</v>
      </c>
      <c r="AD128" s="403">
        <f>$B$9+($B$8/12)</f>
        <v>121</v>
      </c>
      <c r="AE128" s="403">
        <f>$J128+(($K128-1)/12)</f>
        <v>-8.3333333333333329E-2</v>
      </c>
      <c r="AF128" s="403">
        <f>L128-((X128+Y128)/2)-Z128</f>
        <v>162469.65861562724</v>
      </c>
      <c r="AG128" s="403"/>
      <c r="AH128" s="403"/>
      <c r="AI128" s="403"/>
    </row>
    <row r="129" spans="2:35">
      <c r="B129" s="406" t="s">
        <v>736</v>
      </c>
      <c r="C129" s="317">
        <v>2010</v>
      </c>
      <c r="D129" s="317">
        <f t="shared" ref="D129:D134" si="67">+C129-1900</f>
        <v>110</v>
      </c>
      <c r="E129" s="317">
        <v>6</v>
      </c>
      <c r="F129" s="404">
        <v>0</v>
      </c>
      <c r="G129" s="396" t="s">
        <v>170</v>
      </c>
      <c r="H129" s="317">
        <v>20</v>
      </c>
      <c r="I129" s="317">
        <f>D129+H129</f>
        <v>130</v>
      </c>
      <c r="L129" s="403">
        <v>24008</v>
      </c>
      <c r="M129" s="403">
        <v>0</v>
      </c>
      <c r="N129" s="403">
        <f>L129-(+L129*F129)</f>
        <v>24008</v>
      </c>
      <c r="O129" s="403">
        <f>N129/H129/12</f>
        <v>100.03333333333335</v>
      </c>
      <c r="P129" s="403">
        <f>IF(Q129&gt;0,0,IF(OR(AA129&gt;AB129,AC129&lt;AD129),0,IF(AND(AC129&gt;=AD129,AC129&lt;=AB129),O129*((AC129-AD129)*12),IF(AND(AD129&lt;=AA129,AB129&gt;=AA129),((AB129-AA129)*12)*O129,IF(AC129&gt;AB129,12*O129,0)))))</f>
        <v>1200.4000000000001</v>
      </c>
      <c r="Q129" s="403">
        <f>IF(M129=0,0,IF(AND(AE129&gt;=AD129,AE129&lt;=AC129),((AE129-AD129)*12)*O129,0))</f>
        <v>0</v>
      </c>
      <c r="R129" s="403">
        <f>IF(Q129&gt;0,Q129,P129)</f>
        <v>1200.4000000000001</v>
      </c>
      <c r="S129" s="405">
        <f>+'WP -11 Non-Regulated'!$K$29</f>
        <v>0.47014773860644926</v>
      </c>
      <c r="T129" s="403">
        <f>S129*SUM(P129:Q129)</f>
        <v>564.36534542318168</v>
      </c>
      <c r="U129" s="403">
        <f>IF(AA129&gt;AB129,0,IF(AC129&lt;AD129,N129,IF(AND(AC129&gt;=AD129,AC129&lt;=AB129),(N129-R129),IF(AND(AD129&lt;=AA129,AB129&gt;=AA129),0,IF(AC129&gt;AB129,((AD129-AA129)*12)*O129,0)))))</f>
        <v>12704.23333333333</v>
      </c>
      <c r="V129" s="403">
        <f>U129*S129</f>
        <v>5972.8665723953382</v>
      </c>
      <c r="W129" s="405">
        <v>1</v>
      </c>
      <c r="X129" s="403">
        <f>V129*W129</f>
        <v>5972.8665723953382</v>
      </c>
      <c r="Y129" s="403">
        <f>IF(M129&gt;0,0,X129+T129*W129)*W129</f>
        <v>6537.2319178185198</v>
      </c>
      <c r="Z129" s="403">
        <f>IF(M129&gt;0,(L129-X129)/2,IF(AA129&gt;=AD129,(((L129*S129)*W129)-Y129)/2,((((L129*S129)*W129)-X129)+(((L129*S129)*W129)-Y129))/2))</f>
        <v>5032.2576633567041</v>
      </c>
      <c r="AA129" s="403">
        <f>$D129+(($E129-1)/12)</f>
        <v>110.41666666666667</v>
      </c>
      <c r="AB129" s="403">
        <f>($B$10+1)-($B$7/12)</f>
        <v>122</v>
      </c>
      <c r="AC129" s="403">
        <f>$I129+(($E129-1)/12)</f>
        <v>130.41666666666666</v>
      </c>
      <c r="AD129" s="403">
        <f>$B$9+($B$8/12)</f>
        <v>121</v>
      </c>
      <c r="AE129" s="403">
        <f>$J129+(($K129-1)/12)</f>
        <v>-8.3333333333333329E-2</v>
      </c>
      <c r="AF129" s="403">
        <f>L129-((X129+Y129)/2)-Z129</f>
        <v>12720.693091536366</v>
      </c>
      <c r="AG129" s="403"/>
      <c r="AH129" s="403"/>
      <c r="AI129" s="403"/>
    </row>
    <row r="130" spans="2:35">
      <c r="B130" s="406" t="s">
        <v>737</v>
      </c>
      <c r="C130" s="317">
        <v>2019</v>
      </c>
      <c r="D130" s="317">
        <f t="shared" si="67"/>
        <v>119</v>
      </c>
      <c r="E130" s="317">
        <v>9</v>
      </c>
      <c r="F130" s="404">
        <v>0</v>
      </c>
      <c r="G130" s="396" t="s">
        <v>170</v>
      </c>
      <c r="H130" s="317">
        <v>40</v>
      </c>
      <c r="I130" s="317">
        <f t="shared" ref="I130:I134" si="68">D130+H130</f>
        <v>159</v>
      </c>
      <c r="L130" s="403">
        <v>492188</v>
      </c>
      <c r="M130" s="403">
        <v>0</v>
      </c>
      <c r="N130" s="403">
        <f t="shared" ref="N130:N134" si="69">L130-(+L130*F130)</f>
        <v>492188</v>
      </c>
      <c r="O130" s="403">
        <f t="shared" ref="O130:O134" si="70">N130/H130/12</f>
        <v>1025.3916666666667</v>
      </c>
      <c r="P130" s="403">
        <f t="shared" ref="P130:P134" si="71">IF(Q130&gt;0,0,IF(OR(AA130&gt;AB130,AC130&lt;AD130),0,IF(AND(AC130&gt;=AD130,AC130&lt;=AB130),O130*((AC130-AD130)*12),IF(AND(AD130&lt;=AA130,AB130&gt;=AA130),((AB130-AA130)*12)*O130,IF(AC130&gt;AB130,12*O130,0)))))</f>
        <v>12304.7</v>
      </c>
      <c r="Q130" s="403">
        <f t="shared" ref="Q130:Q134" si="72">IF(M130=0,0,IF(AND(AE130&gt;=AD130,AE130&lt;=AC130),((AE130-AD130)*12)*O130,0))</f>
        <v>0</v>
      </c>
      <c r="R130" s="403">
        <f t="shared" ref="R130:R134" si="73">IF(Q130&gt;0,Q130,P130)</f>
        <v>12304.7</v>
      </c>
      <c r="S130" s="405">
        <f>75%*'WP -11 Non-Regulated'!K29</f>
        <v>0.35261080395483696</v>
      </c>
      <c r="T130" s="403">
        <f t="shared" ref="T130:T134" si="74">S130*SUM(P130:Q130)</f>
        <v>4338.770159423083</v>
      </c>
      <c r="U130" s="403">
        <f t="shared" ref="U130:U134" si="75">IF(AA130&gt;AB130,0,IF(AC130&lt;AD130,N130,IF(AND(AC130&gt;=AD130,AC130&lt;=AB130),(N130-R130),IF(AND(AD130&lt;=AA130,AB130&gt;=AA130),0,IF(AC130&gt;AB130,((AD130-AA130)*12)*O130,0)))))</f>
        <v>16406.266666666608</v>
      </c>
      <c r="V130" s="403">
        <f t="shared" ref="V130:V134" si="76">U130*S130</f>
        <v>5785.0268792307561</v>
      </c>
      <c r="W130" s="405">
        <v>1</v>
      </c>
      <c r="X130" s="403">
        <f t="shared" ref="X130:X134" si="77">V130*W130</f>
        <v>5785.0268792307561</v>
      </c>
      <c r="Y130" s="403">
        <f t="shared" ref="Y130:Y134" si="78">IF(M130&gt;0,0,X130+T130*W130)*W130</f>
        <v>10123.79703865384</v>
      </c>
      <c r="Z130" s="403">
        <f t="shared" ref="Z130:Z134" si="79">IF(M130&gt;0,(L130-X130)/2,IF(AA130&gt;=AD130,(((L130*S130)*W130)-Y130)/2,((((L130*S130)*W130)-X130)+(((L130*S130)*W130)-Y130))/2))</f>
        <v>165596.39441798098</v>
      </c>
      <c r="AA130" s="403">
        <f t="shared" ref="AA130:AA134" si="80">$D130+(($E130-1)/12)</f>
        <v>119.66666666666667</v>
      </c>
      <c r="AB130" s="403">
        <f t="shared" ref="AB130:AB134" si="81">($B$10+1)-($B$7/12)</f>
        <v>122</v>
      </c>
      <c r="AC130" s="403">
        <f t="shared" ref="AC130:AC134" si="82">$I130+(($E130-1)/12)</f>
        <v>159.66666666666666</v>
      </c>
      <c r="AD130" s="403">
        <f t="shared" ref="AD130:AD134" si="83">$B$9+($B$8/12)</f>
        <v>121</v>
      </c>
      <c r="AE130" s="403">
        <f t="shared" ref="AE130:AE134" si="84">$J130+(($K130-1)/12)</f>
        <v>-8.3333333333333329E-2</v>
      </c>
      <c r="AF130" s="403">
        <f t="shared" ref="AF130:AF134" si="85">L130-((X130+Y130)/2)-Z130</f>
        <v>318637.19362307672</v>
      </c>
      <c r="AG130" s="403"/>
      <c r="AH130" s="403"/>
      <c r="AI130" s="403"/>
    </row>
    <row r="131" spans="2:35">
      <c r="B131" s="406" t="s">
        <v>738</v>
      </c>
      <c r="C131" s="317">
        <v>2020</v>
      </c>
      <c r="D131" s="317">
        <f t="shared" si="67"/>
        <v>120</v>
      </c>
      <c r="E131" s="317">
        <v>1</v>
      </c>
      <c r="F131" s="404">
        <v>0</v>
      </c>
      <c r="G131" s="396" t="s">
        <v>170</v>
      </c>
      <c r="H131" s="317">
        <v>40</v>
      </c>
      <c r="I131" s="317">
        <f t="shared" si="68"/>
        <v>160</v>
      </c>
      <c r="L131" s="403">
        <v>7436.8</v>
      </c>
      <c r="M131" s="403">
        <v>0</v>
      </c>
      <c r="N131" s="403">
        <f t="shared" si="69"/>
        <v>7436.8</v>
      </c>
      <c r="O131" s="403">
        <f t="shared" si="70"/>
        <v>15.493333333333334</v>
      </c>
      <c r="P131" s="403">
        <f t="shared" si="71"/>
        <v>185.92000000000002</v>
      </c>
      <c r="Q131" s="403">
        <f t="shared" si="72"/>
        <v>0</v>
      </c>
      <c r="R131" s="403">
        <f t="shared" si="73"/>
        <v>185.92000000000002</v>
      </c>
      <c r="S131" s="405">
        <f>+'WP -11 Non-Regulated'!$K$29</f>
        <v>0.47014773860644926</v>
      </c>
      <c r="T131" s="403">
        <f t="shared" si="74"/>
        <v>87.409867561711053</v>
      </c>
      <c r="U131" s="403">
        <f t="shared" si="75"/>
        <v>185.92000000000002</v>
      </c>
      <c r="V131" s="403">
        <f t="shared" si="76"/>
        <v>87.409867561711053</v>
      </c>
      <c r="W131" s="405">
        <v>1</v>
      </c>
      <c r="X131" s="403">
        <f t="shared" si="77"/>
        <v>87.409867561711053</v>
      </c>
      <c r="Y131" s="403">
        <f t="shared" si="78"/>
        <v>174.81973512342211</v>
      </c>
      <c r="Z131" s="403">
        <f t="shared" si="79"/>
        <v>3365.2799011258758</v>
      </c>
      <c r="AA131" s="403">
        <f t="shared" si="80"/>
        <v>120</v>
      </c>
      <c r="AB131" s="403">
        <f t="shared" si="81"/>
        <v>122</v>
      </c>
      <c r="AC131" s="403">
        <f t="shared" si="82"/>
        <v>160</v>
      </c>
      <c r="AD131" s="403">
        <f t="shared" si="83"/>
        <v>121</v>
      </c>
      <c r="AE131" s="403">
        <f t="shared" si="84"/>
        <v>-8.3333333333333329E-2</v>
      </c>
      <c r="AF131" s="403">
        <f t="shared" si="85"/>
        <v>3940.4052975315581</v>
      </c>
      <c r="AG131" s="403"/>
      <c r="AH131" s="403"/>
      <c r="AI131" s="403"/>
    </row>
    <row r="132" spans="2:35">
      <c r="B132" s="406" t="s">
        <v>739</v>
      </c>
      <c r="C132" s="317">
        <v>2020</v>
      </c>
      <c r="D132" s="317">
        <f t="shared" si="67"/>
        <v>120</v>
      </c>
      <c r="E132" s="317">
        <v>6</v>
      </c>
      <c r="F132" s="404">
        <v>0</v>
      </c>
      <c r="G132" s="396" t="s">
        <v>170</v>
      </c>
      <c r="H132" s="317">
        <v>10</v>
      </c>
      <c r="I132" s="317">
        <f t="shared" si="68"/>
        <v>130</v>
      </c>
      <c r="L132" s="403">
        <v>50877.48</v>
      </c>
      <c r="M132" s="403">
        <v>0</v>
      </c>
      <c r="N132" s="403">
        <f t="shared" si="69"/>
        <v>50877.48</v>
      </c>
      <c r="O132" s="403">
        <f t="shared" si="70"/>
        <v>423.97900000000004</v>
      </c>
      <c r="P132" s="403">
        <f t="shared" si="71"/>
        <v>5087.7480000000005</v>
      </c>
      <c r="Q132" s="403">
        <f t="shared" si="72"/>
        <v>0</v>
      </c>
      <c r="R132" s="403">
        <f t="shared" si="73"/>
        <v>5087.7480000000005</v>
      </c>
      <c r="S132" s="405">
        <f>+'WP -11 Non-Regulated'!$K$29</f>
        <v>0.47014773860644926</v>
      </c>
      <c r="T132" s="403">
        <f t="shared" si="74"/>
        <v>2391.9932167994853</v>
      </c>
      <c r="U132" s="403">
        <f t="shared" si="75"/>
        <v>2967.8529999999764</v>
      </c>
      <c r="V132" s="403">
        <f t="shared" si="76"/>
        <v>1395.3293764663551</v>
      </c>
      <c r="W132" s="405">
        <v>1</v>
      </c>
      <c r="X132" s="403">
        <f t="shared" si="77"/>
        <v>1395.3293764663551</v>
      </c>
      <c r="Y132" s="403">
        <f t="shared" si="78"/>
        <v>3787.3225932658406</v>
      </c>
      <c r="Z132" s="403">
        <f t="shared" si="79"/>
        <v>21328.606183128752</v>
      </c>
      <c r="AA132" s="403">
        <f t="shared" si="80"/>
        <v>120.41666666666667</v>
      </c>
      <c r="AB132" s="403">
        <f t="shared" si="81"/>
        <v>122</v>
      </c>
      <c r="AC132" s="403">
        <f t="shared" si="82"/>
        <v>130.41666666666666</v>
      </c>
      <c r="AD132" s="403">
        <f t="shared" si="83"/>
        <v>121</v>
      </c>
      <c r="AE132" s="403">
        <f t="shared" si="84"/>
        <v>-8.3333333333333329E-2</v>
      </c>
      <c r="AF132" s="403">
        <f t="shared" si="85"/>
        <v>26957.547832005155</v>
      </c>
      <c r="AG132" s="403"/>
      <c r="AH132" s="403"/>
      <c r="AI132" s="403"/>
    </row>
    <row r="133" spans="2:35">
      <c r="B133" s="406" t="s">
        <v>737</v>
      </c>
      <c r="C133" s="317">
        <v>2019</v>
      </c>
      <c r="D133" s="317">
        <f t="shared" si="67"/>
        <v>119</v>
      </c>
      <c r="E133" s="317">
        <v>9</v>
      </c>
      <c r="F133" s="404">
        <v>0</v>
      </c>
      <c r="G133" s="396" t="s">
        <v>170</v>
      </c>
      <c r="H133" s="317">
        <v>40</v>
      </c>
      <c r="I133" s="317">
        <f t="shared" si="68"/>
        <v>159</v>
      </c>
      <c r="L133" s="403">
        <v>2240741.58</v>
      </c>
      <c r="M133" s="403">
        <v>0</v>
      </c>
      <c r="N133" s="403">
        <f t="shared" si="69"/>
        <v>2240741.58</v>
      </c>
      <c r="O133" s="403">
        <f t="shared" si="70"/>
        <v>4668.2116249999999</v>
      </c>
      <c r="P133" s="403">
        <f t="shared" si="71"/>
        <v>56018.539499999999</v>
      </c>
      <c r="Q133" s="403">
        <f t="shared" si="72"/>
        <v>0</v>
      </c>
      <c r="R133" s="403">
        <f t="shared" si="73"/>
        <v>56018.539499999999</v>
      </c>
      <c r="S133" s="405">
        <f>0.75*'WP -11 Non-Regulated'!$K$29</f>
        <v>0.35261080395483696</v>
      </c>
      <c r="T133" s="403">
        <f t="shared" si="74"/>
        <v>19752.74224947079</v>
      </c>
      <c r="U133" s="403">
        <f t="shared" si="75"/>
        <v>74691.385999999737</v>
      </c>
      <c r="V133" s="403">
        <f t="shared" si="76"/>
        <v>26336.989665960962</v>
      </c>
      <c r="W133" s="405">
        <v>1</v>
      </c>
      <c r="X133" s="403">
        <f t="shared" si="77"/>
        <v>26336.989665960962</v>
      </c>
      <c r="Y133" s="403">
        <f t="shared" si="78"/>
        <v>46089.731915431752</v>
      </c>
      <c r="Z133" s="403">
        <f t="shared" si="79"/>
        <v>753896.32918813522</v>
      </c>
      <c r="AA133" s="403">
        <f t="shared" si="80"/>
        <v>119.66666666666667</v>
      </c>
      <c r="AB133" s="403">
        <f t="shared" si="81"/>
        <v>122</v>
      </c>
      <c r="AC133" s="403">
        <f t="shared" si="82"/>
        <v>159.66666666666666</v>
      </c>
      <c r="AD133" s="403">
        <f t="shared" si="83"/>
        <v>121</v>
      </c>
      <c r="AE133" s="403">
        <f t="shared" si="84"/>
        <v>-8.3333333333333329E-2</v>
      </c>
      <c r="AF133" s="403">
        <f t="shared" si="85"/>
        <v>1450631.8900211684</v>
      </c>
      <c r="AG133" s="403"/>
      <c r="AH133" s="403"/>
      <c r="AI133" s="403"/>
    </row>
    <row r="134" spans="2:35">
      <c r="B134" s="406" t="s">
        <v>740</v>
      </c>
      <c r="C134" s="317">
        <v>2019</v>
      </c>
      <c r="D134" s="317">
        <f t="shared" si="67"/>
        <v>119</v>
      </c>
      <c r="E134" s="317">
        <v>12</v>
      </c>
      <c r="F134" s="404">
        <v>1</v>
      </c>
      <c r="G134" s="396" t="s">
        <v>170</v>
      </c>
      <c r="H134" s="317">
        <v>40</v>
      </c>
      <c r="I134" s="317">
        <f t="shared" si="68"/>
        <v>159</v>
      </c>
      <c r="L134" s="403">
        <v>352242</v>
      </c>
      <c r="M134" s="403">
        <v>0</v>
      </c>
      <c r="N134" s="403">
        <f t="shared" si="69"/>
        <v>0</v>
      </c>
      <c r="O134" s="403">
        <f t="shared" si="70"/>
        <v>0</v>
      </c>
      <c r="P134" s="403">
        <f t="shared" si="71"/>
        <v>0</v>
      </c>
      <c r="Q134" s="403">
        <f t="shared" si="72"/>
        <v>0</v>
      </c>
      <c r="R134" s="403">
        <f t="shared" si="73"/>
        <v>0</v>
      </c>
      <c r="S134" s="405">
        <f>+'WP -11 Non-Regulated'!$K$29</f>
        <v>0.47014773860644926</v>
      </c>
      <c r="T134" s="403">
        <f t="shared" si="74"/>
        <v>0</v>
      </c>
      <c r="U134" s="403">
        <f t="shared" si="75"/>
        <v>0</v>
      </c>
      <c r="V134" s="403">
        <f t="shared" si="76"/>
        <v>0</v>
      </c>
      <c r="W134" s="405">
        <v>1</v>
      </c>
      <c r="X134" s="403">
        <f t="shared" si="77"/>
        <v>0</v>
      </c>
      <c r="Y134" s="403">
        <f t="shared" si="78"/>
        <v>0</v>
      </c>
      <c r="Z134" s="403">
        <f t="shared" si="79"/>
        <v>165605.77974221291</v>
      </c>
      <c r="AA134" s="403">
        <f t="shared" si="80"/>
        <v>119.91666666666667</v>
      </c>
      <c r="AB134" s="403">
        <f t="shared" si="81"/>
        <v>122</v>
      </c>
      <c r="AC134" s="403">
        <f t="shared" si="82"/>
        <v>159.91666666666666</v>
      </c>
      <c r="AD134" s="403">
        <f t="shared" si="83"/>
        <v>121</v>
      </c>
      <c r="AE134" s="403">
        <f t="shared" si="84"/>
        <v>-8.3333333333333329E-2</v>
      </c>
      <c r="AF134" s="403">
        <f t="shared" si="85"/>
        <v>186636.22025778709</v>
      </c>
      <c r="AG134" s="403"/>
      <c r="AH134" s="403"/>
      <c r="AI134" s="403"/>
    </row>
    <row r="135" spans="2:35">
      <c r="F135" s="404"/>
      <c r="G135" s="396"/>
      <c r="L135" s="407"/>
      <c r="M135" s="403"/>
      <c r="N135" s="407"/>
      <c r="O135" s="407"/>
      <c r="P135" s="407"/>
      <c r="Q135" s="407"/>
      <c r="R135" s="407"/>
      <c r="S135" s="403"/>
      <c r="T135" s="407"/>
      <c r="U135" s="407"/>
      <c r="V135" s="407"/>
      <c r="W135" s="403"/>
      <c r="X135" s="407"/>
      <c r="Y135" s="407"/>
      <c r="Z135" s="407"/>
      <c r="AA135" s="403"/>
      <c r="AB135" s="403"/>
      <c r="AC135" s="403"/>
      <c r="AD135" s="403"/>
      <c r="AE135" s="403"/>
      <c r="AF135" s="407"/>
      <c r="AG135" s="403"/>
      <c r="AH135" s="403"/>
      <c r="AI135" s="403"/>
    </row>
    <row r="136" spans="2:35">
      <c r="B136" s="409" t="s">
        <v>171</v>
      </c>
      <c r="L136" s="403">
        <f>SUM(L107:L134)</f>
        <v>4335408.8600000003</v>
      </c>
      <c r="M136" s="403"/>
      <c r="N136" s="403">
        <f>SUM(N107:N134)</f>
        <v>3983166.8600000003</v>
      </c>
      <c r="O136" s="403">
        <f>SUM(O107:O134)</f>
        <v>9514.475316204851</v>
      </c>
      <c r="P136" s="403">
        <f>SUM(P107:P134)</f>
        <v>114173.70379445824</v>
      </c>
      <c r="Q136" s="403">
        <f>SUM(Q107:Q134)</f>
        <v>0</v>
      </c>
      <c r="R136" s="403">
        <f>SUM(R107:R134)</f>
        <v>114173.70379445824</v>
      </c>
      <c r="S136" s="403"/>
      <c r="T136" s="403">
        <f>SUM(T107:T134)</f>
        <v>45648.004510989158</v>
      </c>
      <c r="U136" s="403">
        <f>SUM(U107:U134)</f>
        <v>852222.27877391735</v>
      </c>
      <c r="V136" s="403">
        <f>SUM(V107:V134)</f>
        <v>389963.03830719495</v>
      </c>
      <c r="W136" s="403"/>
      <c r="X136" s="403">
        <f>SUM(X107:X134)</f>
        <v>389963.03830719495</v>
      </c>
      <c r="Y136" s="403">
        <f>SUM(Y107:Y134)</f>
        <v>435611.04281818424</v>
      </c>
      <c r="Z136" s="403">
        <f>SUM(Z107:Z134)</f>
        <v>1760628.210698578</v>
      </c>
      <c r="AA136" s="403"/>
      <c r="AB136" s="403"/>
      <c r="AC136" s="403"/>
      <c r="AD136" s="403"/>
      <c r="AE136" s="403"/>
      <c r="AF136" s="403">
        <f>SUM(AF107:AF134)</f>
        <v>2161993.6087387325</v>
      </c>
      <c r="AG136" s="403"/>
      <c r="AH136" s="403"/>
      <c r="AI136" s="403"/>
    </row>
    <row r="137" spans="2:35">
      <c r="B137" s="409"/>
      <c r="L137" s="403"/>
      <c r="M137" s="403"/>
      <c r="N137" s="403"/>
      <c r="O137" s="403"/>
      <c r="P137" s="403"/>
      <c r="Q137" s="403"/>
      <c r="R137" s="403"/>
      <c r="S137" s="412"/>
      <c r="T137" s="403"/>
      <c r="U137" s="403"/>
      <c r="V137" s="403"/>
      <c r="W137" s="412"/>
      <c r="X137" s="403"/>
      <c r="Y137" s="403"/>
      <c r="Z137" s="403"/>
      <c r="AA137" s="403"/>
      <c r="AB137" s="403"/>
      <c r="AC137" s="403"/>
      <c r="AD137" s="403"/>
      <c r="AE137" s="403"/>
      <c r="AF137" s="403"/>
      <c r="AG137" s="403"/>
      <c r="AH137" s="403"/>
      <c r="AI137" s="403"/>
    </row>
    <row r="138" spans="2:35" ht="16.5" thickBot="1">
      <c r="B138" s="319" t="s">
        <v>381</v>
      </c>
      <c r="K138" s="410" t="s">
        <v>205</v>
      </c>
      <c r="L138" s="411">
        <f>SUM(L136:L137)</f>
        <v>4335408.8600000003</v>
      </c>
      <c r="M138" s="403"/>
      <c r="N138" s="411">
        <f>SUM(N136:N137)</f>
        <v>3983166.8600000003</v>
      </c>
      <c r="O138" s="411">
        <f>SUM(O136:O137)</f>
        <v>9514.475316204851</v>
      </c>
      <c r="P138" s="411">
        <f>SUM(P136:P137)</f>
        <v>114173.70379445824</v>
      </c>
      <c r="Q138" s="411"/>
      <c r="R138" s="411">
        <f>SUM(R136:R137)</f>
        <v>114173.70379445824</v>
      </c>
      <c r="S138" s="412"/>
      <c r="T138" s="411">
        <f>SUM(T136:T137)</f>
        <v>45648.004510989158</v>
      </c>
      <c r="U138" s="411">
        <f>SUM(U136:U137)</f>
        <v>852222.27877391735</v>
      </c>
      <c r="V138" s="411">
        <f>SUM(V136:V137)</f>
        <v>389963.03830719495</v>
      </c>
      <c r="W138" s="412"/>
      <c r="X138" s="411">
        <f>SUM(X136:X137)</f>
        <v>389963.03830719495</v>
      </c>
      <c r="Y138" s="411">
        <f>SUM(Y136:Y137)</f>
        <v>435611.04281818424</v>
      </c>
      <c r="Z138" s="411">
        <f>SUM(Z136:Z137)</f>
        <v>1760628.210698578</v>
      </c>
      <c r="AA138" s="403"/>
      <c r="AB138" s="403"/>
      <c r="AC138" s="403"/>
      <c r="AD138" s="403"/>
      <c r="AE138" s="403"/>
      <c r="AF138" s="811">
        <f>SUM(AF136:AF137)</f>
        <v>2161993.6087387325</v>
      </c>
      <c r="AG138" s="403"/>
      <c r="AH138" s="403"/>
      <c r="AI138" s="403"/>
    </row>
    <row r="139" spans="2:35" ht="16.5" thickTop="1">
      <c r="B139" s="409"/>
      <c r="F139" s="404"/>
      <c r="L139" s="403"/>
      <c r="M139" s="403"/>
      <c r="N139" s="403"/>
      <c r="O139" s="403"/>
      <c r="P139" s="403"/>
      <c r="Q139" s="403"/>
      <c r="R139" s="403"/>
      <c r="S139" s="403"/>
      <c r="T139" s="403"/>
      <c r="U139" s="403"/>
      <c r="V139" s="403"/>
      <c r="W139" s="403"/>
      <c r="X139" s="403"/>
      <c r="Y139" s="403"/>
      <c r="Z139" s="403"/>
      <c r="AA139" s="403"/>
      <c r="AB139" s="403"/>
      <c r="AC139" s="403"/>
      <c r="AD139" s="403"/>
      <c r="AE139" s="403"/>
      <c r="AF139" s="403"/>
      <c r="AG139" s="403"/>
      <c r="AH139" s="403"/>
      <c r="AI139" s="403"/>
    </row>
    <row r="140" spans="2:35">
      <c r="B140" s="319" t="s">
        <v>382</v>
      </c>
      <c r="C140" s="413"/>
      <c r="D140" s="413"/>
      <c r="F140" s="404"/>
      <c r="L140" s="403"/>
      <c r="M140" s="403"/>
      <c r="N140" s="403"/>
      <c r="O140" s="403"/>
      <c r="P140" s="403"/>
      <c r="Q140" s="403"/>
      <c r="R140" s="403"/>
      <c r="S140" s="405"/>
      <c r="T140" s="403"/>
      <c r="U140" s="403"/>
      <c r="V140" s="403"/>
      <c r="W140" s="405"/>
      <c r="X140" s="403"/>
      <c r="Y140" s="403"/>
      <c r="Z140" s="403"/>
      <c r="AA140" s="403"/>
      <c r="AB140" s="403"/>
      <c r="AC140" s="403"/>
      <c r="AD140" s="403"/>
      <c r="AE140" s="403"/>
      <c r="AF140" s="403"/>
      <c r="AG140" s="403"/>
      <c r="AH140" s="403"/>
      <c r="AI140" s="403"/>
    </row>
    <row r="141" spans="2:35">
      <c r="B141" s="406" t="s">
        <v>755</v>
      </c>
      <c r="C141" s="317">
        <v>2010</v>
      </c>
      <c r="D141" s="317">
        <f t="shared" ref="D141:D146" si="86">+C141-1900</f>
        <v>110</v>
      </c>
      <c r="E141" s="317">
        <v>6</v>
      </c>
      <c r="F141" s="404">
        <v>0</v>
      </c>
      <c r="G141" s="396" t="s">
        <v>170</v>
      </c>
      <c r="H141" s="317">
        <v>7</v>
      </c>
      <c r="I141" s="317">
        <f t="shared" ref="I141:I146" si="87">D141+H141</f>
        <v>117</v>
      </c>
      <c r="L141" s="695">
        <v>11669</v>
      </c>
      <c r="M141" s="403">
        <v>0</v>
      </c>
      <c r="N141" s="403">
        <f>L141-(+L141*F141)</f>
        <v>11669</v>
      </c>
      <c r="O141" s="403">
        <f>N141/H141/12</f>
        <v>138.91666666666666</v>
      </c>
      <c r="P141" s="403">
        <f t="shared" ref="P141:P146" si="88">IF(Q141&gt;0,0,IF(OR(AA141&gt;AB141,AC141&lt;AD141),0,IF(AND(AC141&gt;=AD141,AC141&lt;=AB141),O141*((AC141-AD141)*12),IF(AND(AD141&lt;=AA141,AB141&gt;=AA141),((AB141-AA141)*12)*O141,IF(AC141&gt;AB141,12*O141,0)))))</f>
        <v>0</v>
      </c>
      <c r="Q141" s="403">
        <f t="shared" ref="Q141:Q146" si="89">IF(M141=0,0,IF(AND(AE141&gt;=AD141,AE141&lt;=AC141),((AE141-AD141)*12)*O141,0))</f>
        <v>0</v>
      </c>
      <c r="R141" s="403">
        <f t="shared" ref="R141:R146" si="90">IF(Q141&gt;0,Q141,P141)</f>
        <v>0</v>
      </c>
      <c r="S141" s="405">
        <f>+'WP -11 Non-Regulated'!$K$29</f>
        <v>0.47014773860644926</v>
      </c>
      <c r="T141" s="403">
        <f>S141*SUM(P141:Q141)</f>
        <v>0</v>
      </c>
      <c r="U141" s="403">
        <f t="shared" ref="U141:U146" si="91">IF(AA141&gt;AB141,0,IF(AC141&lt;AD141,N141,IF(AND(AC141&gt;=AD141,AC141&lt;=AB141),(N141-R141),IF(AND(AD141&lt;=AA141,AB141&gt;=AA141),0,IF(AC141&gt;AB141,((AD141-AA141)*12)*O141,0)))))</f>
        <v>11669</v>
      </c>
      <c r="V141" s="403">
        <f t="shared" ref="V141:V146" si="92">U141*S141</f>
        <v>5486.1539617986564</v>
      </c>
      <c r="W141" s="405">
        <v>1</v>
      </c>
      <c r="X141" s="403">
        <f t="shared" ref="X141:X146" si="93">V141*W141</f>
        <v>5486.1539617986564</v>
      </c>
      <c r="Y141" s="403">
        <f t="shared" ref="Y141:Y146" si="94">IF(M141&gt;0,0,X141+T141*W141)*W141</f>
        <v>5486.1539617986564</v>
      </c>
      <c r="Z141" s="403">
        <f t="shared" ref="Z141:Z146" si="95">IF(M141&gt;0,(L141-X141)/2,IF(AA141&gt;=AD141,(((L141*S141)*W141)-Y141)/2,((((L141*S141)*W141)-X141)+(((L141*S141)*W141)-Y141))/2))</f>
        <v>0</v>
      </c>
      <c r="AA141" s="403">
        <f t="shared" ref="AA141:AA146" si="96">$D141+(($E141-1)/12)</f>
        <v>110.41666666666667</v>
      </c>
      <c r="AB141" s="403">
        <f t="shared" ref="AB141:AB146" si="97">($B$10+1)-($B$7/12)</f>
        <v>122</v>
      </c>
      <c r="AC141" s="403">
        <f t="shared" ref="AC141:AC146" si="98">$I141+(($E141-1)/12)</f>
        <v>117.41666666666667</v>
      </c>
      <c r="AD141" s="403">
        <f t="shared" ref="AD141:AD146" si="99">$B$9+($B$8/12)</f>
        <v>121</v>
      </c>
      <c r="AE141" s="403">
        <f t="shared" ref="AE141:AE146" si="100">$J141+(($K141-1)/12)</f>
        <v>-8.3333333333333329E-2</v>
      </c>
      <c r="AF141" s="403">
        <f>L141-((X141+Y141)/2)-Z141</f>
        <v>6182.8460382013436</v>
      </c>
      <c r="AG141" s="403"/>
      <c r="AH141" s="403"/>
      <c r="AI141" s="403"/>
    </row>
    <row r="142" spans="2:35">
      <c r="B142" s="406" t="s">
        <v>756</v>
      </c>
      <c r="C142" s="317">
        <v>2020</v>
      </c>
      <c r="D142" s="317">
        <f t="shared" si="86"/>
        <v>120</v>
      </c>
      <c r="E142" s="317">
        <v>2</v>
      </c>
      <c r="F142" s="404">
        <v>0</v>
      </c>
      <c r="G142" s="396" t="s">
        <v>170</v>
      </c>
      <c r="H142" s="317">
        <v>7</v>
      </c>
      <c r="I142" s="317">
        <f t="shared" si="87"/>
        <v>127</v>
      </c>
      <c r="L142" s="695">
        <v>20856</v>
      </c>
      <c r="M142" s="403">
        <v>0</v>
      </c>
      <c r="N142" s="403">
        <f t="shared" ref="N142:N146" si="101">L142-(+L142*F142)</f>
        <v>20856</v>
      </c>
      <c r="O142" s="403">
        <f t="shared" ref="O142:O146" si="102">N142/H142/12</f>
        <v>248.28571428571431</v>
      </c>
      <c r="P142" s="403">
        <f t="shared" si="88"/>
        <v>2979.4285714285716</v>
      </c>
      <c r="Q142" s="403">
        <f t="shared" si="89"/>
        <v>0</v>
      </c>
      <c r="R142" s="403">
        <f t="shared" si="90"/>
        <v>2979.4285714285716</v>
      </c>
      <c r="S142" s="405">
        <f>+'WP -11 Non-Regulated'!$K$29</f>
        <v>0.47014773860644926</v>
      </c>
      <c r="T142" s="403">
        <f t="shared" ref="T142:T146" si="103">S142*SUM(P142:Q142)</f>
        <v>1400.7716051965865</v>
      </c>
      <c r="U142" s="403">
        <f t="shared" si="91"/>
        <v>2731.1428571428714</v>
      </c>
      <c r="V142" s="403">
        <f t="shared" si="92"/>
        <v>1284.0406380968777</v>
      </c>
      <c r="W142" s="405">
        <v>1</v>
      </c>
      <c r="X142" s="403">
        <f t="shared" si="93"/>
        <v>1284.0406380968777</v>
      </c>
      <c r="Y142" s="403">
        <f t="shared" si="94"/>
        <v>2684.8122432934642</v>
      </c>
      <c r="Z142" s="403">
        <f t="shared" si="95"/>
        <v>7820.9747956809351</v>
      </c>
      <c r="AA142" s="403">
        <f t="shared" si="96"/>
        <v>120.08333333333333</v>
      </c>
      <c r="AB142" s="403">
        <f t="shared" si="97"/>
        <v>122</v>
      </c>
      <c r="AC142" s="403">
        <f t="shared" si="98"/>
        <v>127.08333333333333</v>
      </c>
      <c r="AD142" s="403">
        <f t="shared" si="99"/>
        <v>121</v>
      </c>
      <c r="AE142" s="403">
        <f t="shared" si="100"/>
        <v>-8.3333333333333329E-2</v>
      </c>
      <c r="AF142" s="403">
        <f t="shared" ref="AF142:AF146" si="104">L142-((X142+Y142)/2)-Z142</f>
        <v>11050.598763623895</v>
      </c>
      <c r="AG142" s="403"/>
      <c r="AH142" s="403"/>
      <c r="AI142" s="403"/>
    </row>
    <row r="143" spans="2:35">
      <c r="B143" s="406" t="s">
        <v>757</v>
      </c>
      <c r="C143" s="317">
        <v>2020</v>
      </c>
      <c r="D143" s="317">
        <f t="shared" si="86"/>
        <v>120</v>
      </c>
      <c r="E143" s="317">
        <v>4</v>
      </c>
      <c r="F143" s="404">
        <v>0</v>
      </c>
      <c r="G143" s="396" t="s">
        <v>170</v>
      </c>
      <c r="H143" s="317">
        <v>7</v>
      </c>
      <c r="I143" s="317">
        <f t="shared" si="87"/>
        <v>127</v>
      </c>
      <c r="L143" s="695">
        <v>38957.4</v>
      </c>
      <c r="M143" s="403">
        <v>0</v>
      </c>
      <c r="N143" s="403">
        <f t="shared" si="101"/>
        <v>38957.4</v>
      </c>
      <c r="O143" s="403">
        <f t="shared" si="102"/>
        <v>463.77857142857147</v>
      </c>
      <c r="P143" s="403">
        <f t="shared" si="88"/>
        <v>5565.3428571428576</v>
      </c>
      <c r="Q143" s="403">
        <f t="shared" si="89"/>
        <v>0</v>
      </c>
      <c r="R143" s="403">
        <f t="shared" si="90"/>
        <v>5565.3428571428576</v>
      </c>
      <c r="S143" s="405">
        <f>+'WP -11 Non-Regulated'!$K$29</f>
        <v>0.47014773860644926</v>
      </c>
      <c r="T143" s="403">
        <f t="shared" si="103"/>
        <v>2616.5333588552699</v>
      </c>
      <c r="U143" s="403">
        <f t="shared" si="91"/>
        <v>4174.0071428571428</v>
      </c>
      <c r="V143" s="403">
        <f t="shared" si="92"/>
        <v>1962.400019141452</v>
      </c>
      <c r="W143" s="405">
        <v>1</v>
      </c>
      <c r="X143" s="403">
        <f t="shared" si="93"/>
        <v>1962.400019141452</v>
      </c>
      <c r="Y143" s="403">
        <f t="shared" si="94"/>
        <v>4578.9333779967219</v>
      </c>
      <c r="Z143" s="403">
        <f t="shared" si="95"/>
        <v>15045.066813417801</v>
      </c>
      <c r="AA143" s="403">
        <f t="shared" si="96"/>
        <v>120.25</v>
      </c>
      <c r="AB143" s="403">
        <f t="shared" si="97"/>
        <v>122</v>
      </c>
      <c r="AC143" s="403">
        <f t="shared" si="98"/>
        <v>127.25</v>
      </c>
      <c r="AD143" s="403">
        <f t="shared" si="99"/>
        <v>121</v>
      </c>
      <c r="AE143" s="403">
        <f t="shared" si="100"/>
        <v>-8.3333333333333329E-2</v>
      </c>
      <c r="AF143" s="403">
        <f t="shared" si="104"/>
        <v>20641.66648801311</v>
      </c>
      <c r="AG143" s="403"/>
      <c r="AH143" s="403"/>
      <c r="AI143" s="403"/>
    </row>
    <row r="144" spans="2:35">
      <c r="B144" s="406" t="s">
        <v>758</v>
      </c>
      <c r="C144" s="317">
        <v>2020</v>
      </c>
      <c r="D144" s="317">
        <f t="shared" si="86"/>
        <v>120</v>
      </c>
      <c r="E144" s="317">
        <v>1</v>
      </c>
      <c r="F144" s="404">
        <v>0</v>
      </c>
      <c r="G144" s="396" t="s">
        <v>170</v>
      </c>
      <c r="H144" s="317">
        <v>7</v>
      </c>
      <c r="I144" s="317">
        <f t="shared" si="87"/>
        <v>127</v>
      </c>
      <c r="L144" s="695">
        <v>55058.99</v>
      </c>
      <c r="M144" s="403">
        <v>0</v>
      </c>
      <c r="N144" s="403">
        <f t="shared" si="101"/>
        <v>55058.99</v>
      </c>
      <c r="O144" s="403">
        <f t="shared" si="102"/>
        <v>655.46416666666664</v>
      </c>
      <c r="P144" s="403">
        <f t="shared" si="88"/>
        <v>7865.57</v>
      </c>
      <c r="Q144" s="403">
        <f t="shared" si="89"/>
        <v>0</v>
      </c>
      <c r="R144" s="403">
        <f t="shared" si="90"/>
        <v>7865.57</v>
      </c>
      <c r="S144" s="405">
        <f>+'WP -11 Non-Regulated'!$K$29</f>
        <v>0.47014773860644926</v>
      </c>
      <c r="T144" s="403">
        <f t="shared" si="103"/>
        <v>3697.979948350729</v>
      </c>
      <c r="U144" s="403">
        <f t="shared" si="91"/>
        <v>7865.57</v>
      </c>
      <c r="V144" s="403">
        <f t="shared" si="92"/>
        <v>3697.979948350729</v>
      </c>
      <c r="W144" s="405">
        <v>1</v>
      </c>
      <c r="X144" s="403">
        <f t="shared" si="93"/>
        <v>3697.979948350729</v>
      </c>
      <c r="Y144" s="403">
        <f t="shared" si="94"/>
        <v>7395.9598967014581</v>
      </c>
      <c r="Z144" s="403">
        <f t="shared" si="95"/>
        <v>20338.889715929006</v>
      </c>
      <c r="AA144" s="403">
        <f t="shared" si="96"/>
        <v>120</v>
      </c>
      <c r="AB144" s="403">
        <f t="shared" si="97"/>
        <v>122</v>
      </c>
      <c r="AC144" s="403">
        <f t="shared" si="98"/>
        <v>127</v>
      </c>
      <c r="AD144" s="403">
        <f t="shared" si="99"/>
        <v>121</v>
      </c>
      <c r="AE144" s="403">
        <f t="shared" si="100"/>
        <v>-8.3333333333333329E-2</v>
      </c>
      <c r="AF144" s="403">
        <f t="shared" si="104"/>
        <v>29173.1303615449</v>
      </c>
      <c r="AG144" s="403"/>
      <c r="AH144" s="403"/>
      <c r="AI144" s="403"/>
    </row>
    <row r="145" spans="2:35">
      <c r="B145" s="406" t="s">
        <v>758</v>
      </c>
      <c r="C145" s="317">
        <v>2020</v>
      </c>
      <c r="D145" s="317">
        <f t="shared" si="86"/>
        <v>120</v>
      </c>
      <c r="E145" s="317">
        <v>5</v>
      </c>
      <c r="F145" s="404">
        <v>0</v>
      </c>
      <c r="G145" s="396" t="s">
        <v>170</v>
      </c>
      <c r="H145" s="317">
        <v>7</v>
      </c>
      <c r="I145" s="317">
        <f t="shared" si="87"/>
        <v>127</v>
      </c>
      <c r="L145" s="695">
        <v>7103.2</v>
      </c>
      <c r="M145" s="403">
        <v>0</v>
      </c>
      <c r="N145" s="403">
        <f t="shared" si="101"/>
        <v>7103.2</v>
      </c>
      <c r="O145" s="403">
        <f t="shared" si="102"/>
        <v>84.561904761904756</v>
      </c>
      <c r="P145" s="403">
        <f t="shared" si="88"/>
        <v>1014.742857142857</v>
      </c>
      <c r="Q145" s="403">
        <f t="shared" si="89"/>
        <v>0</v>
      </c>
      <c r="R145" s="403">
        <f t="shared" si="90"/>
        <v>1014.742857142857</v>
      </c>
      <c r="S145" s="405">
        <f>+'WP -11 Non-Regulated'!$K$29</f>
        <v>0.47014773860644926</v>
      </c>
      <c r="T145" s="403">
        <f t="shared" si="103"/>
        <v>477.07905955276141</v>
      </c>
      <c r="U145" s="403">
        <f t="shared" si="91"/>
        <v>676.49523809524283</v>
      </c>
      <c r="V145" s="403">
        <f t="shared" si="92"/>
        <v>318.05270636850986</v>
      </c>
      <c r="W145" s="405">
        <v>1</v>
      </c>
      <c r="X145" s="403">
        <f t="shared" si="93"/>
        <v>318.05270636850986</v>
      </c>
      <c r="Y145" s="403">
        <f t="shared" si="94"/>
        <v>795.13176592127127</v>
      </c>
      <c r="Z145" s="403">
        <f t="shared" si="95"/>
        <v>2782.9611807244396</v>
      </c>
      <c r="AA145" s="403">
        <f t="shared" si="96"/>
        <v>120.33333333333333</v>
      </c>
      <c r="AB145" s="403">
        <f t="shared" si="97"/>
        <v>122</v>
      </c>
      <c r="AC145" s="403">
        <f t="shared" si="98"/>
        <v>127.33333333333333</v>
      </c>
      <c r="AD145" s="403">
        <f t="shared" si="99"/>
        <v>121</v>
      </c>
      <c r="AE145" s="403">
        <f t="shared" si="100"/>
        <v>-8.3333333333333329E-2</v>
      </c>
      <c r="AF145" s="403">
        <f t="shared" si="104"/>
        <v>3763.64658313067</v>
      </c>
      <c r="AG145" s="403"/>
      <c r="AH145" s="403"/>
      <c r="AI145" s="403"/>
    </row>
    <row r="146" spans="2:35">
      <c r="B146" s="406" t="s">
        <v>759</v>
      </c>
      <c r="C146" s="317">
        <v>2021</v>
      </c>
      <c r="D146" s="317">
        <f t="shared" si="86"/>
        <v>121</v>
      </c>
      <c r="E146" s="317">
        <v>2</v>
      </c>
      <c r="F146" s="404">
        <v>0</v>
      </c>
      <c r="G146" s="396" t="s">
        <v>170</v>
      </c>
      <c r="H146" s="317">
        <v>7</v>
      </c>
      <c r="I146" s="317">
        <f t="shared" si="87"/>
        <v>128</v>
      </c>
      <c r="L146" s="695">
        <v>2759.06</v>
      </c>
      <c r="M146" s="403">
        <v>0</v>
      </c>
      <c r="N146" s="403">
        <f t="shared" si="101"/>
        <v>2759.06</v>
      </c>
      <c r="O146" s="403">
        <f t="shared" si="102"/>
        <v>32.845952380952376</v>
      </c>
      <c r="P146" s="403">
        <f t="shared" si="88"/>
        <v>361.30547619047798</v>
      </c>
      <c r="Q146" s="403">
        <f t="shared" si="89"/>
        <v>0</v>
      </c>
      <c r="R146" s="403">
        <f t="shared" si="90"/>
        <v>361.30547619047798</v>
      </c>
      <c r="S146" s="405">
        <f>+'WP -11 Non-Regulated'!$K$29</f>
        <v>0.47014773860644926</v>
      </c>
      <c r="T146" s="403">
        <f t="shared" si="103"/>
        <v>169.86695257707953</v>
      </c>
      <c r="U146" s="403">
        <f t="shared" si="91"/>
        <v>0</v>
      </c>
      <c r="V146" s="403">
        <f t="shared" si="92"/>
        <v>0</v>
      </c>
      <c r="W146" s="405">
        <v>1</v>
      </c>
      <c r="X146" s="403">
        <f t="shared" si="93"/>
        <v>0</v>
      </c>
      <c r="Y146" s="403">
        <f t="shared" si="94"/>
        <v>169.86695257707953</v>
      </c>
      <c r="Z146" s="403">
        <f t="shared" si="95"/>
        <v>563.64943355121522</v>
      </c>
      <c r="AA146" s="403">
        <f t="shared" si="96"/>
        <v>121.08333333333333</v>
      </c>
      <c r="AB146" s="403">
        <f t="shared" si="97"/>
        <v>122</v>
      </c>
      <c r="AC146" s="403">
        <f t="shared" si="98"/>
        <v>128.08333333333334</v>
      </c>
      <c r="AD146" s="403">
        <f t="shared" si="99"/>
        <v>121</v>
      </c>
      <c r="AE146" s="403">
        <f t="shared" si="100"/>
        <v>-8.3333333333333329E-2</v>
      </c>
      <c r="AF146" s="403">
        <f t="shared" si="104"/>
        <v>2110.4770901602451</v>
      </c>
      <c r="AG146" s="403"/>
      <c r="AH146" s="403"/>
      <c r="AI146" s="403"/>
    </row>
    <row r="147" spans="2:35">
      <c r="F147" s="404"/>
      <c r="G147" s="396"/>
      <c r="L147" s="403"/>
      <c r="M147" s="403"/>
      <c r="N147" s="403"/>
      <c r="O147" s="403"/>
      <c r="P147" s="403"/>
      <c r="Q147" s="403"/>
      <c r="R147" s="403"/>
      <c r="S147" s="405"/>
      <c r="T147" s="403"/>
      <c r="U147" s="403"/>
      <c r="V147" s="403"/>
      <c r="W147" s="405"/>
      <c r="X147" s="403"/>
      <c r="Y147" s="403"/>
      <c r="Z147" s="403"/>
      <c r="AA147" s="403"/>
      <c r="AB147" s="403"/>
      <c r="AC147" s="403"/>
      <c r="AD147" s="403"/>
      <c r="AE147" s="403"/>
      <c r="AF147" s="403"/>
      <c r="AG147" s="403"/>
      <c r="AH147" s="403"/>
      <c r="AI147" s="403"/>
    </row>
    <row r="148" spans="2:35">
      <c r="B148" s="409" t="s">
        <v>171</v>
      </c>
      <c r="L148" s="414">
        <f>SUM(L141:L146)</f>
        <v>136403.65</v>
      </c>
      <c r="M148" s="403"/>
      <c r="N148" s="414">
        <f>SUM(N141:N146)</f>
        <v>136403.65</v>
      </c>
      <c r="O148" s="414">
        <f>SUM(O141:O146)</f>
        <v>1623.8529761904763</v>
      </c>
      <c r="P148" s="414">
        <f>SUM(P141:P146)</f>
        <v>17786.389761904764</v>
      </c>
      <c r="Q148" s="414">
        <f>SUM(Q141:Q146)</f>
        <v>0</v>
      </c>
      <c r="R148" s="414">
        <f>SUM(R141:R146)</f>
        <v>17786.389761904764</v>
      </c>
      <c r="S148" s="403"/>
      <c r="T148" s="414">
        <f>SUM(T141:T146)</f>
        <v>8362.2309245324268</v>
      </c>
      <c r="U148" s="414">
        <f>SUM(U141:U146)</f>
        <v>27116.215238095258</v>
      </c>
      <c r="V148" s="414">
        <f>SUM(V141:V146)</f>
        <v>12748.627273756225</v>
      </c>
      <c r="W148" s="403"/>
      <c r="X148" s="414">
        <f>SUM(X141:X146)</f>
        <v>12748.627273756225</v>
      </c>
      <c r="Y148" s="414">
        <f>SUM(Y141:Y146)</f>
        <v>21110.85819828865</v>
      </c>
      <c r="Z148" s="414">
        <f>SUM(Z141:Z146)</f>
        <v>46551.541939303395</v>
      </c>
      <c r="AA148" s="403"/>
      <c r="AB148" s="403"/>
      <c r="AC148" s="403"/>
      <c r="AD148" s="403"/>
      <c r="AE148" s="403"/>
      <c r="AF148" s="414">
        <f>SUM(AF141:AF146)</f>
        <v>72922.36532467416</v>
      </c>
      <c r="AG148" s="403"/>
      <c r="AH148" s="403"/>
      <c r="AI148" s="403"/>
    </row>
    <row r="149" spans="2:35">
      <c r="B149" s="415"/>
      <c r="F149" s="404"/>
      <c r="G149" s="396"/>
      <c r="L149" s="403"/>
      <c r="M149" s="403"/>
      <c r="N149" s="403"/>
      <c r="O149" s="403"/>
      <c r="P149" s="403"/>
      <c r="Q149" s="403"/>
      <c r="R149" s="403"/>
      <c r="S149" s="405"/>
      <c r="T149" s="403"/>
      <c r="U149" s="403"/>
      <c r="V149" s="403"/>
      <c r="W149" s="405"/>
      <c r="X149" s="403"/>
      <c r="Y149" s="403"/>
      <c r="Z149" s="403"/>
      <c r="AA149" s="403"/>
      <c r="AB149" s="403"/>
      <c r="AC149" s="403"/>
      <c r="AD149" s="403"/>
      <c r="AE149" s="403"/>
      <c r="AF149" s="403"/>
      <c r="AG149" s="403"/>
      <c r="AH149" s="403"/>
      <c r="AI149" s="403"/>
    </row>
    <row r="150" spans="2:35">
      <c r="B150" s="409" t="s">
        <v>1005</v>
      </c>
      <c r="F150" s="404"/>
      <c r="G150" s="396"/>
      <c r="L150" s="407">
        <f>SUM(L148:L149)</f>
        <v>136403.65</v>
      </c>
      <c r="M150" s="403"/>
      <c r="N150" s="407">
        <f>SUM(N148:N149)</f>
        <v>136403.65</v>
      </c>
      <c r="O150" s="407">
        <f>SUM(O148:O149)</f>
        <v>1623.8529761904763</v>
      </c>
      <c r="P150" s="407">
        <f>SUM(P148:P149)</f>
        <v>17786.389761904764</v>
      </c>
      <c r="Q150" s="407">
        <f>SUM(Q148:Q149)</f>
        <v>0</v>
      </c>
      <c r="R150" s="407">
        <f>SUM(R148:R149)</f>
        <v>17786.389761904764</v>
      </c>
      <c r="S150" s="405"/>
      <c r="T150" s="407">
        <f>SUM(T148:T149)</f>
        <v>8362.2309245324268</v>
      </c>
      <c r="U150" s="407">
        <f>SUM(U148:U149)</f>
        <v>27116.215238095258</v>
      </c>
      <c r="V150" s="407">
        <f>SUM(V148:V149)</f>
        <v>12748.627273756225</v>
      </c>
      <c r="W150" s="403"/>
      <c r="X150" s="407">
        <f>SUM(X148:X149)</f>
        <v>12748.627273756225</v>
      </c>
      <c r="Y150" s="407">
        <f>SUM(Y148:Y149)</f>
        <v>21110.85819828865</v>
      </c>
      <c r="Z150" s="407">
        <f>SUM(Z148:Z149)</f>
        <v>46551.541939303395</v>
      </c>
      <c r="AA150" s="403"/>
      <c r="AB150" s="403"/>
      <c r="AC150" s="403"/>
      <c r="AD150" s="403"/>
      <c r="AE150" s="403"/>
      <c r="AF150" s="407">
        <f>SUM(AF148:AF149)</f>
        <v>72922.36532467416</v>
      </c>
      <c r="AG150" s="403"/>
      <c r="AH150" s="403"/>
      <c r="AI150" s="403"/>
    </row>
    <row r="151" spans="2:35">
      <c r="L151" s="403"/>
      <c r="M151" s="403"/>
      <c r="N151" s="403"/>
      <c r="O151" s="403"/>
      <c r="P151" s="403"/>
      <c r="Q151" s="403"/>
      <c r="R151" s="403"/>
      <c r="S151" s="412"/>
      <c r="T151" s="403"/>
      <c r="U151" s="403"/>
      <c r="V151" s="403"/>
      <c r="W151" s="412"/>
      <c r="X151" s="403"/>
      <c r="Y151" s="403"/>
      <c r="Z151" s="403"/>
      <c r="AA151" s="403"/>
      <c r="AB151" s="403"/>
      <c r="AC151" s="403"/>
      <c r="AD151" s="403"/>
      <c r="AE151" s="403"/>
      <c r="AF151" s="403"/>
      <c r="AG151" s="403"/>
      <c r="AH151" s="403"/>
      <c r="AI151" s="403"/>
    </row>
    <row r="152" spans="2:35" ht="16.5" thickBot="1">
      <c r="B152" s="319" t="s">
        <v>383</v>
      </c>
      <c r="H152" s="395"/>
      <c r="K152" s="410" t="s">
        <v>205</v>
      </c>
      <c r="L152" s="411">
        <f>+L150</f>
        <v>136403.65</v>
      </c>
      <c r="M152" s="403"/>
      <c r="N152" s="411">
        <f>+N150</f>
        <v>136403.65</v>
      </c>
      <c r="O152" s="411">
        <f t="shared" ref="O152:Z152" si="105">+O150</f>
        <v>1623.8529761904763</v>
      </c>
      <c r="P152" s="411">
        <f t="shared" si="105"/>
        <v>17786.389761904764</v>
      </c>
      <c r="Q152" s="411"/>
      <c r="R152" s="411">
        <f t="shared" si="105"/>
        <v>17786.389761904764</v>
      </c>
      <c r="S152" s="412"/>
      <c r="T152" s="411">
        <f t="shared" si="105"/>
        <v>8362.2309245324268</v>
      </c>
      <c r="U152" s="411">
        <f t="shared" si="105"/>
        <v>27116.215238095258</v>
      </c>
      <c r="V152" s="411">
        <f t="shared" si="105"/>
        <v>12748.627273756225</v>
      </c>
      <c r="W152" s="412"/>
      <c r="X152" s="411">
        <f t="shared" si="105"/>
        <v>12748.627273756225</v>
      </c>
      <c r="Y152" s="411">
        <f t="shared" si="105"/>
        <v>21110.85819828865</v>
      </c>
      <c r="Z152" s="411">
        <f t="shared" si="105"/>
        <v>46551.541939303395</v>
      </c>
      <c r="AA152" s="403"/>
      <c r="AB152" s="403"/>
      <c r="AC152" s="403"/>
      <c r="AD152" s="403"/>
      <c r="AE152" s="403"/>
      <c r="AF152" s="411">
        <f>+AF150</f>
        <v>72922.36532467416</v>
      </c>
      <c r="AG152" s="403"/>
      <c r="AH152" s="403"/>
      <c r="AI152" s="403"/>
    </row>
    <row r="153" spans="2:35" ht="16.5" thickTop="1">
      <c r="B153" s="319"/>
      <c r="M153" s="403"/>
      <c r="N153" s="395"/>
      <c r="O153" s="395"/>
      <c r="P153" s="395"/>
      <c r="Q153" s="403"/>
      <c r="R153" s="395"/>
      <c r="S153" s="412"/>
      <c r="T153" s="395"/>
      <c r="U153" s="395"/>
      <c r="V153" s="395"/>
      <c r="W153" s="412"/>
      <c r="X153" s="395"/>
      <c r="Y153" s="395"/>
      <c r="Z153" s="395"/>
      <c r="AA153" s="403"/>
      <c r="AB153" s="403"/>
      <c r="AC153" s="403"/>
      <c r="AD153" s="403"/>
      <c r="AE153" s="403"/>
      <c r="AF153" s="403"/>
      <c r="AG153" s="403"/>
      <c r="AH153" s="403"/>
      <c r="AI153" s="403"/>
    </row>
    <row r="154" spans="2:35">
      <c r="B154" s="409"/>
      <c r="L154" s="574"/>
      <c r="M154" s="416"/>
      <c r="N154" s="403"/>
      <c r="O154" s="403"/>
      <c r="P154" s="403"/>
      <c r="Q154" s="403"/>
      <c r="R154" s="403"/>
      <c r="S154" s="412"/>
      <c r="T154" s="403"/>
      <c r="U154" s="403"/>
      <c r="V154" s="403"/>
      <c r="W154" s="412"/>
      <c r="X154" s="403"/>
      <c r="Y154" s="403"/>
      <c r="Z154" s="395"/>
      <c r="AA154" s="403"/>
      <c r="AB154" s="403"/>
      <c r="AC154" s="403"/>
      <c r="AD154" s="403"/>
      <c r="AE154" s="403"/>
      <c r="AF154" s="403"/>
      <c r="AG154" s="403"/>
      <c r="AH154" s="403"/>
      <c r="AI154" s="403"/>
    </row>
    <row r="155" spans="2:35">
      <c r="B155" s="319" t="s">
        <v>384</v>
      </c>
      <c r="L155" s="403"/>
      <c r="M155" s="403"/>
      <c r="N155" s="403"/>
      <c r="O155" s="403"/>
      <c r="P155" s="403"/>
      <c r="Q155" s="403"/>
      <c r="R155" s="403"/>
      <c r="T155" s="403"/>
      <c r="U155" s="403"/>
      <c r="V155" s="403"/>
      <c r="X155" s="403"/>
      <c r="Y155" s="403"/>
      <c r="Z155" s="403"/>
      <c r="AA155" s="403"/>
      <c r="AB155" s="403"/>
      <c r="AC155" s="403"/>
      <c r="AD155" s="403"/>
      <c r="AE155" s="403"/>
      <c r="AF155" s="403"/>
      <c r="AG155" s="403"/>
      <c r="AH155" s="403"/>
      <c r="AI155" s="403"/>
    </row>
    <row r="156" spans="2:35">
      <c r="B156" s="406" t="s">
        <v>741</v>
      </c>
      <c r="C156" s="317">
        <v>2007</v>
      </c>
      <c r="D156" s="317">
        <f t="shared" ref="D156:D169" si="106">+C156-1900</f>
        <v>107</v>
      </c>
      <c r="E156" s="317">
        <v>3</v>
      </c>
      <c r="F156" s="404">
        <v>0</v>
      </c>
      <c r="G156" s="396" t="s">
        <v>170</v>
      </c>
      <c r="H156" s="317">
        <v>7</v>
      </c>
      <c r="I156" s="317">
        <f t="shared" ref="I156:I169" si="107">D156+H156</f>
        <v>114</v>
      </c>
      <c r="L156" s="695">
        <v>52335</v>
      </c>
      <c r="M156" s="403">
        <v>0</v>
      </c>
      <c r="N156" s="417">
        <f t="shared" ref="N156:N169" si="108">L156-(+L156*F156)</f>
        <v>52335</v>
      </c>
      <c r="O156" s="417">
        <f t="shared" ref="O156:O169" si="109">N156/H156/12</f>
        <v>623.03571428571433</v>
      </c>
      <c r="P156" s="417">
        <f t="shared" ref="P156:P169" si="110">IF(Q156&gt;0,0,IF(OR(AA156&gt;AB156,AC156&lt;AD156),0,IF(AND(AC156&gt;=AD156,AC156&lt;=AB156),O156*((AC156-AD156)*12),IF(AND(AD156&lt;=AA156,AB156&gt;=AA156),((AB156-AA156)*12)*O156,IF(AC156&gt;AB156,12*O156,0)))))</f>
        <v>0</v>
      </c>
      <c r="Q156" s="403">
        <f t="shared" ref="Q156:Q169" si="111">IF(M156=0,0,IF(AND(AE156&gt;=AD156,AE156&lt;=AC156),((AE156-AD156)*12)*O156,0))</f>
        <v>0</v>
      </c>
      <c r="R156" s="417">
        <f t="shared" ref="R156:R169" si="112">IF(Q156&gt;0,Q156,P156)</f>
        <v>0</v>
      </c>
      <c r="S156" s="405">
        <v>0</v>
      </c>
      <c r="T156" s="403">
        <f t="shared" ref="T156:T169" si="113">S156*SUM(P156:Q156)</f>
        <v>0</v>
      </c>
      <c r="U156" s="417">
        <f t="shared" ref="U156:U169" si="114">IF(AA156&gt;AB156,0,IF(AC156&lt;AD156,N156,IF(AND(AC156&gt;=AD156,AC156&lt;=AB156),(N156-R156),IF(AND(AD156&lt;=AA156,AB156&gt;=AA156),0,IF(AC156&gt;AB156,((AD156-AA156)*12)*O156,0)))))</f>
        <v>52335</v>
      </c>
      <c r="V156" s="417">
        <f t="shared" ref="V156:V169" si="115">U156*S156</f>
        <v>0</v>
      </c>
      <c r="W156" s="405">
        <v>1</v>
      </c>
      <c r="X156" s="417">
        <f t="shared" ref="X156:X169" si="116">V156*W156</f>
        <v>0</v>
      </c>
      <c r="Y156" s="417">
        <f t="shared" ref="Y156:Y169" si="117">IF(M156&gt;0,0,X156+T156*W156)*W156</f>
        <v>0</v>
      </c>
      <c r="Z156" s="403">
        <f t="shared" ref="Z156:Z169" si="118">IF(M156&gt;0,(L156-X156)/2,IF(AA156&gt;=AD156,(((L156*S156)*W156)-Y156)/2,((((L156*S156)*W156)-X156)+(((L156*S156)*W156)-Y156))/2))</f>
        <v>0</v>
      </c>
      <c r="AA156" s="403">
        <f t="shared" ref="AA156:AA169" si="119">$D156+(($E156-1)/12)</f>
        <v>107.16666666666667</v>
      </c>
      <c r="AB156" s="403">
        <f t="shared" ref="AB156:AB203" si="120">($B$10+1)-($B$7/12)</f>
        <v>122</v>
      </c>
      <c r="AC156" s="403">
        <f t="shared" ref="AC156:AC169" si="121">$I156+(($E156-1)/12)</f>
        <v>114.16666666666667</v>
      </c>
      <c r="AD156" s="403">
        <f t="shared" ref="AD156:AD203" si="122">$B$9+($B$8/12)</f>
        <v>121</v>
      </c>
      <c r="AE156" s="403">
        <f t="shared" ref="AE156:AE169" si="123">$J156+(($K156-1)/12)</f>
        <v>-8.3333333333333329E-2</v>
      </c>
      <c r="AF156" s="403">
        <f t="shared" ref="AF156:AF169" si="124">L156-((X156+Y156)/2)-Z156</f>
        <v>52335</v>
      </c>
      <c r="AG156" s="403"/>
      <c r="AH156" s="403"/>
      <c r="AI156" s="403"/>
    </row>
    <row r="157" spans="2:35">
      <c r="B157" s="406" t="s">
        <v>742</v>
      </c>
      <c r="C157" s="317">
        <v>2011</v>
      </c>
      <c r="D157" s="317">
        <f t="shared" si="106"/>
        <v>111</v>
      </c>
      <c r="E157" s="317">
        <v>6</v>
      </c>
      <c r="F157" s="404">
        <v>0</v>
      </c>
      <c r="G157" s="396" t="s">
        <v>170</v>
      </c>
      <c r="H157" s="317">
        <v>7</v>
      </c>
      <c r="I157" s="317">
        <f t="shared" si="107"/>
        <v>118</v>
      </c>
      <c r="L157" s="695">
        <v>11836</v>
      </c>
      <c r="M157" s="403"/>
      <c r="N157" s="417">
        <f t="shared" si="108"/>
        <v>11836</v>
      </c>
      <c r="O157" s="417">
        <f t="shared" si="109"/>
        <v>140.9047619047619</v>
      </c>
      <c r="P157" s="417">
        <f t="shared" si="110"/>
        <v>0</v>
      </c>
      <c r="Q157" s="403">
        <f t="shared" si="111"/>
        <v>0</v>
      </c>
      <c r="R157" s="417">
        <f t="shared" si="112"/>
        <v>0</v>
      </c>
      <c r="S157" s="405">
        <f>+'WP -11 Non-Regulated'!$K$29</f>
        <v>0.47014773860644926</v>
      </c>
      <c r="T157" s="403">
        <f t="shared" si="113"/>
        <v>0</v>
      </c>
      <c r="U157" s="417">
        <f t="shared" si="114"/>
        <v>11836</v>
      </c>
      <c r="V157" s="417">
        <f t="shared" si="115"/>
        <v>5564.6686341459335</v>
      </c>
      <c r="W157" s="405">
        <v>1</v>
      </c>
      <c r="X157" s="417">
        <f t="shared" si="116"/>
        <v>5564.6686341459335</v>
      </c>
      <c r="Y157" s="417">
        <f t="shared" si="117"/>
        <v>5564.6686341459335</v>
      </c>
      <c r="Z157" s="403">
        <f t="shared" si="118"/>
        <v>0</v>
      </c>
      <c r="AA157" s="403">
        <f t="shared" si="119"/>
        <v>111.41666666666667</v>
      </c>
      <c r="AB157" s="403">
        <f t="shared" si="120"/>
        <v>122</v>
      </c>
      <c r="AC157" s="403">
        <f t="shared" si="121"/>
        <v>118.41666666666667</v>
      </c>
      <c r="AD157" s="403">
        <f t="shared" si="122"/>
        <v>121</v>
      </c>
      <c r="AE157" s="403">
        <f t="shared" si="123"/>
        <v>-8.3333333333333329E-2</v>
      </c>
      <c r="AF157" s="403">
        <f t="shared" si="124"/>
        <v>6271.3313658540665</v>
      </c>
      <c r="AG157" s="403"/>
      <c r="AH157" s="403"/>
      <c r="AI157" s="403"/>
    </row>
    <row r="158" spans="2:35">
      <c r="B158" s="406" t="s">
        <v>743</v>
      </c>
      <c r="C158" s="317">
        <v>2012</v>
      </c>
      <c r="D158" s="317">
        <f t="shared" si="106"/>
        <v>112</v>
      </c>
      <c r="E158" s="317">
        <v>4</v>
      </c>
      <c r="F158" s="404">
        <v>0</v>
      </c>
      <c r="G158" s="396" t="s">
        <v>170</v>
      </c>
      <c r="H158" s="317">
        <v>7</v>
      </c>
      <c r="I158" s="317">
        <f t="shared" si="107"/>
        <v>119</v>
      </c>
      <c r="L158" s="695">
        <v>23015</v>
      </c>
      <c r="M158" s="403">
        <v>0</v>
      </c>
      <c r="N158" s="417">
        <f t="shared" si="108"/>
        <v>23015</v>
      </c>
      <c r="O158" s="417">
        <f t="shared" si="109"/>
        <v>273.98809523809524</v>
      </c>
      <c r="P158" s="417">
        <f t="shared" si="110"/>
        <v>0</v>
      </c>
      <c r="Q158" s="403">
        <f t="shared" si="111"/>
        <v>0</v>
      </c>
      <c r="R158" s="417">
        <f t="shared" si="112"/>
        <v>0</v>
      </c>
      <c r="S158" s="405">
        <f>+'WP -11 Non-Regulated'!$K$29</f>
        <v>0.47014773860644926</v>
      </c>
      <c r="T158" s="403">
        <f t="shared" si="113"/>
        <v>0</v>
      </c>
      <c r="U158" s="417">
        <f t="shared" si="114"/>
        <v>23015</v>
      </c>
      <c r="V158" s="417">
        <f t="shared" si="115"/>
        <v>10820.450204027429</v>
      </c>
      <c r="W158" s="405">
        <v>1</v>
      </c>
      <c r="X158" s="417">
        <f t="shared" si="116"/>
        <v>10820.450204027429</v>
      </c>
      <c r="Y158" s="417">
        <f t="shared" si="117"/>
        <v>10820.450204027429</v>
      </c>
      <c r="Z158" s="403">
        <f t="shared" si="118"/>
        <v>0</v>
      </c>
      <c r="AA158" s="403">
        <f t="shared" si="119"/>
        <v>112.25</v>
      </c>
      <c r="AB158" s="403">
        <f t="shared" si="120"/>
        <v>122</v>
      </c>
      <c r="AC158" s="403">
        <f t="shared" si="121"/>
        <v>119.25</v>
      </c>
      <c r="AD158" s="403">
        <f t="shared" si="122"/>
        <v>121</v>
      </c>
      <c r="AE158" s="403">
        <f t="shared" si="123"/>
        <v>-8.3333333333333329E-2</v>
      </c>
      <c r="AF158" s="403">
        <f t="shared" si="124"/>
        <v>12194.549795972571</v>
      </c>
      <c r="AG158" s="403"/>
      <c r="AH158" s="403"/>
      <c r="AI158" s="403"/>
    </row>
    <row r="159" spans="2:35">
      <c r="B159" s="406" t="s">
        <v>744</v>
      </c>
      <c r="C159" s="317">
        <v>2019</v>
      </c>
      <c r="D159" s="317">
        <f t="shared" si="106"/>
        <v>119</v>
      </c>
      <c r="E159" s="317">
        <v>1</v>
      </c>
      <c r="F159" s="404">
        <v>0</v>
      </c>
      <c r="G159" s="396" t="s">
        <v>170</v>
      </c>
      <c r="H159" s="317">
        <v>7</v>
      </c>
      <c r="I159" s="317">
        <f t="shared" si="107"/>
        <v>126</v>
      </c>
      <c r="L159" s="695">
        <v>14950</v>
      </c>
      <c r="M159" s="403">
        <v>0</v>
      </c>
      <c r="N159" s="417">
        <f t="shared" si="108"/>
        <v>14950</v>
      </c>
      <c r="O159" s="417">
        <f t="shared" si="109"/>
        <v>177.97619047619048</v>
      </c>
      <c r="P159" s="417">
        <f t="shared" si="110"/>
        <v>2135.7142857142858</v>
      </c>
      <c r="Q159" s="403">
        <f t="shared" si="111"/>
        <v>0</v>
      </c>
      <c r="R159" s="417">
        <f t="shared" si="112"/>
        <v>2135.7142857142858</v>
      </c>
      <c r="S159" s="405">
        <f>+'WP -11 Non-Regulated'!$K$29</f>
        <v>0.47014773860644926</v>
      </c>
      <c r="T159" s="403">
        <f t="shared" si="113"/>
        <v>1004.1012417380596</v>
      </c>
      <c r="U159" s="417">
        <f t="shared" si="114"/>
        <v>4271.4285714285716</v>
      </c>
      <c r="V159" s="417">
        <f t="shared" si="115"/>
        <v>2008.2024834761191</v>
      </c>
      <c r="W159" s="405">
        <v>1</v>
      </c>
      <c r="X159" s="417">
        <f t="shared" si="116"/>
        <v>2008.2024834761191</v>
      </c>
      <c r="Y159" s="417">
        <f t="shared" si="117"/>
        <v>3012.3037252141785</v>
      </c>
      <c r="Z159" s="403">
        <f t="shared" si="118"/>
        <v>4518.4555878212686</v>
      </c>
      <c r="AA159" s="403">
        <f t="shared" si="119"/>
        <v>119</v>
      </c>
      <c r="AB159" s="403">
        <f t="shared" si="120"/>
        <v>122</v>
      </c>
      <c r="AC159" s="403">
        <f t="shared" si="121"/>
        <v>126</v>
      </c>
      <c r="AD159" s="403">
        <f t="shared" si="122"/>
        <v>121</v>
      </c>
      <c r="AE159" s="403">
        <f t="shared" si="123"/>
        <v>-8.3333333333333329E-2</v>
      </c>
      <c r="AF159" s="403">
        <f t="shared" si="124"/>
        <v>7921.2913078335823</v>
      </c>
      <c r="AG159" s="403"/>
      <c r="AH159" s="403"/>
      <c r="AI159" s="403"/>
    </row>
    <row r="160" spans="2:35">
      <c r="B160" s="406" t="s">
        <v>745</v>
      </c>
      <c r="C160" s="317">
        <v>2019</v>
      </c>
      <c r="D160" s="317">
        <f t="shared" si="106"/>
        <v>119</v>
      </c>
      <c r="E160" s="317">
        <v>1</v>
      </c>
      <c r="F160" s="404">
        <v>0</v>
      </c>
      <c r="G160" s="396" t="s">
        <v>170</v>
      </c>
      <c r="H160" s="317">
        <v>7</v>
      </c>
      <c r="I160" s="317">
        <f t="shared" si="107"/>
        <v>126</v>
      </c>
      <c r="L160" s="695">
        <v>15463</v>
      </c>
      <c r="M160" s="403">
        <v>0</v>
      </c>
      <c r="N160" s="417">
        <f t="shared" si="108"/>
        <v>15463</v>
      </c>
      <c r="O160" s="417">
        <f t="shared" si="109"/>
        <v>184.08333333333334</v>
      </c>
      <c r="P160" s="417">
        <f t="shared" si="110"/>
        <v>2209</v>
      </c>
      <c r="Q160" s="403">
        <f t="shared" si="111"/>
        <v>0</v>
      </c>
      <c r="R160" s="417">
        <f t="shared" si="112"/>
        <v>2209</v>
      </c>
      <c r="S160" s="405">
        <f>+'WP -11 Non-Regulated'!$K$29</f>
        <v>0.47014773860644926</v>
      </c>
      <c r="T160" s="403">
        <f t="shared" si="113"/>
        <v>1038.5563545816465</v>
      </c>
      <c r="U160" s="417">
        <f t="shared" si="114"/>
        <v>4418</v>
      </c>
      <c r="V160" s="417">
        <f t="shared" si="115"/>
        <v>2077.1127091632929</v>
      </c>
      <c r="W160" s="405">
        <v>1</v>
      </c>
      <c r="X160" s="417">
        <f t="shared" si="116"/>
        <v>2077.1127091632929</v>
      </c>
      <c r="Y160" s="417">
        <f t="shared" si="117"/>
        <v>3115.6690637449392</v>
      </c>
      <c r="Z160" s="403">
        <f t="shared" si="118"/>
        <v>4673.5035956174088</v>
      </c>
      <c r="AA160" s="403">
        <f t="shared" si="119"/>
        <v>119</v>
      </c>
      <c r="AB160" s="403">
        <f t="shared" si="120"/>
        <v>122</v>
      </c>
      <c r="AC160" s="403">
        <f t="shared" si="121"/>
        <v>126</v>
      </c>
      <c r="AD160" s="403">
        <f t="shared" si="122"/>
        <v>121</v>
      </c>
      <c r="AE160" s="403">
        <f t="shared" si="123"/>
        <v>-8.3333333333333329E-2</v>
      </c>
      <c r="AF160" s="403">
        <f t="shared" si="124"/>
        <v>8193.1055179284758</v>
      </c>
      <c r="AG160" s="403"/>
      <c r="AH160" s="403"/>
      <c r="AI160" s="403"/>
    </row>
    <row r="161" spans="2:37">
      <c r="B161" s="406" t="s">
        <v>746</v>
      </c>
      <c r="C161" s="317">
        <v>2018</v>
      </c>
      <c r="D161" s="317">
        <f t="shared" si="106"/>
        <v>118</v>
      </c>
      <c r="E161" s="317">
        <v>10</v>
      </c>
      <c r="F161" s="404">
        <v>0</v>
      </c>
      <c r="G161" s="396" t="s">
        <v>170</v>
      </c>
      <c r="H161" s="317">
        <v>7</v>
      </c>
      <c r="I161" s="317">
        <f t="shared" si="107"/>
        <v>125</v>
      </c>
      <c r="L161" s="695">
        <v>180050</v>
      </c>
      <c r="M161" s="403">
        <v>0</v>
      </c>
      <c r="N161" s="417">
        <f t="shared" si="108"/>
        <v>180050</v>
      </c>
      <c r="O161" s="417">
        <f t="shared" si="109"/>
        <v>2143.4523809523812</v>
      </c>
      <c r="P161" s="417">
        <f t="shared" si="110"/>
        <v>25721.428571428572</v>
      </c>
      <c r="Q161" s="403">
        <f t="shared" si="111"/>
        <v>0</v>
      </c>
      <c r="R161" s="417">
        <f t="shared" si="112"/>
        <v>25721.428571428572</v>
      </c>
      <c r="S161" s="405">
        <f>+'WP -11 Non-Regulated'!$K$29</f>
        <v>0.47014773860644926</v>
      </c>
      <c r="T161" s="403">
        <f t="shared" si="113"/>
        <v>12092.871476584456</v>
      </c>
      <c r="U161" s="417">
        <f t="shared" si="114"/>
        <v>57873.21428571429</v>
      </c>
      <c r="V161" s="417">
        <f t="shared" si="115"/>
        <v>27208.960822315028</v>
      </c>
      <c r="W161" s="405">
        <v>1</v>
      </c>
      <c r="X161" s="417">
        <f t="shared" si="116"/>
        <v>27208.960822315028</v>
      </c>
      <c r="Y161" s="417">
        <f t="shared" si="117"/>
        <v>39301.832298899484</v>
      </c>
      <c r="Z161" s="403">
        <f t="shared" si="118"/>
        <v>51394.703775483926</v>
      </c>
      <c r="AA161" s="403">
        <f t="shared" si="119"/>
        <v>118.75</v>
      </c>
      <c r="AB161" s="403">
        <f t="shared" si="120"/>
        <v>122</v>
      </c>
      <c r="AC161" s="403">
        <f t="shared" si="121"/>
        <v>125.75</v>
      </c>
      <c r="AD161" s="403">
        <f t="shared" si="122"/>
        <v>121</v>
      </c>
      <c r="AE161" s="403">
        <f t="shared" si="123"/>
        <v>-8.3333333333333329E-2</v>
      </c>
      <c r="AF161" s="403">
        <f t="shared" si="124"/>
        <v>95399.899663908829</v>
      </c>
      <c r="AG161" s="403"/>
      <c r="AH161" s="403"/>
      <c r="AI161" s="403"/>
    </row>
    <row r="162" spans="2:37">
      <c r="B162" s="406" t="s">
        <v>747</v>
      </c>
      <c r="C162" s="317">
        <v>2019</v>
      </c>
      <c r="D162" s="317">
        <f t="shared" si="106"/>
        <v>119</v>
      </c>
      <c r="E162" s="317">
        <v>3</v>
      </c>
      <c r="F162" s="404">
        <v>0</v>
      </c>
      <c r="G162" s="396" t="s">
        <v>170</v>
      </c>
      <c r="H162" s="317">
        <v>7</v>
      </c>
      <c r="I162" s="317">
        <f t="shared" si="107"/>
        <v>126</v>
      </c>
      <c r="L162" s="695">
        <v>21784.99</v>
      </c>
      <c r="M162" s="403">
        <v>0</v>
      </c>
      <c r="N162" s="417">
        <f t="shared" si="108"/>
        <v>21784.99</v>
      </c>
      <c r="O162" s="417">
        <f t="shared" si="109"/>
        <v>259.34511904761905</v>
      </c>
      <c r="P162" s="417">
        <f t="shared" si="110"/>
        <v>3112.1414285714286</v>
      </c>
      <c r="Q162" s="403">
        <f t="shared" si="111"/>
        <v>0</v>
      </c>
      <c r="R162" s="417">
        <f t="shared" si="112"/>
        <v>3112.1414285714286</v>
      </c>
      <c r="S162" s="405">
        <f>+'WP -11 Non-Regulated'!$K$29</f>
        <v>0.47014773860644926</v>
      </c>
      <c r="T162" s="403">
        <f t="shared" si="113"/>
        <v>1463.1662548663016</v>
      </c>
      <c r="U162" s="417">
        <f t="shared" si="114"/>
        <v>5705.5926190476048</v>
      </c>
      <c r="V162" s="417">
        <f t="shared" si="115"/>
        <v>2682.4714672548794</v>
      </c>
      <c r="W162" s="405">
        <v>1</v>
      </c>
      <c r="X162" s="417">
        <f t="shared" si="116"/>
        <v>2682.4714672548794</v>
      </c>
      <c r="Y162" s="417">
        <f t="shared" si="117"/>
        <v>4145.6377221211806</v>
      </c>
      <c r="Z162" s="403">
        <f t="shared" si="118"/>
        <v>6828.1091893760822</v>
      </c>
      <c r="AA162" s="403">
        <f t="shared" si="119"/>
        <v>119.16666666666667</v>
      </c>
      <c r="AB162" s="403">
        <f t="shared" si="120"/>
        <v>122</v>
      </c>
      <c r="AC162" s="403">
        <f t="shared" si="121"/>
        <v>126.16666666666667</v>
      </c>
      <c r="AD162" s="403">
        <f t="shared" si="122"/>
        <v>121</v>
      </c>
      <c r="AE162" s="403">
        <f t="shared" si="123"/>
        <v>-8.3333333333333329E-2</v>
      </c>
      <c r="AF162" s="403">
        <f t="shared" si="124"/>
        <v>11542.826215935889</v>
      </c>
      <c r="AG162" s="403"/>
      <c r="AH162" s="403"/>
      <c r="AI162" s="403"/>
    </row>
    <row r="163" spans="2:37">
      <c r="B163" s="406" t="s">
        <v>748</v>
      </c>
      <c r="C163" s="317">
        <v>2019</v>
      </c>
      <c r="D163" s="317">
        <f t="shared" si="106"/>
        <v>119</v>
      </c>
      <c r="E163" s="317">
        <v>8</v>
      </c>
      <c r="F163" s="404">
        <v>0</v>
      </c>
      <c r="G163" s="396" t="s">
        <v>170</v>
      </c>
      <c r="H163" s="317">
        <v>7</v>
      </c>
      <c r="I163" s="317">
        <f t="shared" si="107"/>
        <v>126</v>
      </c>
      <c r="L163" s="695">
        <v>17354.849999999999</v>
      </c>
      <c r="M163" s="403">
        <v>0</v>
      </c>
      <c r="N163" s="417">
        <f t="shared" si="108"/>
        <v>17354.849999999999</v>
      </c>
      <c r="O163" s="417">
        <f t="shared" si="109"/>
        <v>206.60535714285712</v>
      </c>
      <c r="P163" s="417">
        <f t="shared" si="110"/>
        <v>2479.2642857142855</v>
      </c>
      <c r="Q163" s="403">
        <f t="shared" si="111"/>
        <v>0</v>
      </c>
      <c r="R163" s="417">
        <f t="shared" si="112"/>
        <v>2479.2642857142855</v>
      </c>
      <c r="S163" s="405">
        <f>+'WP -11 Non-Regulated'!$K$29</f>
        <v>0.47014773860644926</v>
      </c>
      <c r="T163" s="403">
        <f t="shared" si="113"/>
        <v>1165.6204973363051</v>
      </c>
      <c r="U163" s="417">
        <f t="shared" si="114"/>
        <v>3512.2910714285827</v>
      </c>
      <c r="V163" s="417">
        <f t="shared" si="115"/>
        <v>1651.2957045597709</v>
      </c>
      <c r="W163" s="405">
        <v>1</v>
      </c>
      <c r="X163" s="417">
        <f t="shared" si="116"/>
        <v>1651.2957045597709</v>
      </c>
      <c r="Y163" s="417">
        <f t="shared" si="117"/>
        <v>2816.916201896076</v>
      </c>
      <c r="Z163" s="403">
        <f t="shared" si="118"/>
        <v>5925.2375281262121</v>
      </c>
      <c r="AA163" s="403">
        <f t="shared" si="119"/>
        <v>119.58333333333333</v>
      </c>
      <c r="AB163" s="403">
        <f t="shared" si="120"/>
        <v>122</v>
      </c>
      <c r="AC163" s="403">
        <f t="shared" si="121"/>
        <v>126.58333333333333</v>
      </c>
      <c r="AD163" s="403">
        <f t="shared" si="122"/>
        <v>121</v>
      </c>
      <c r="AE163" s="403">
        <f t="shared" si="123"/>
        <v>-8.3333333333333329E-2</v>
      </c>
      <c r="AF163" s="403">
        <f t="shared" si="124"/>
        <v>9195.5065186458633</v>
      </c>
      <c r="AG163" s="403"/>
      <c r="AH163" s="403"/>
      <c r="AI163" s="403"/>
    </row>
    <row r="164" spans="2:37">
      <c r="B164" s="406" t="s">
        <v>749</v>
      </c>
      <c r="C164" s="317">
        <v>2019</v>
      </c>
      <c r="D164" s="317">
        <f t="shared" si="106"/>
        <v>119</v>
      </c>
      <c r="E164" s="317">
        <v>11</v>
      </c>
      <c r="F164" s="404">
        <v>0</v>
      </c>
      <c r="G164" s="396" t="s">
        <v>170</v>
      </c>
      <c r="H164" s="317">
        <v>7</v>
      </c>
      <c r="I164" s="317">
        <f t="shared" si="107"/>
        <v>126</v>
      </c>
      <c r="L164" s="695">
        <v>143016.29999999999</v>
      </c>
      <c r="M164" s="403">
        <v>0</v>
      </c>
      <c r="N164" s="417">
        <f t="shared" si="108"/>
        <v>143016.29999999999</v>
      </c>
      <c r="O164" s="417">
        <f t="shared" si="109"/>
        <v>1702.5749999999998</v>
      </c>
      <c r="P164" s="417">
        <f t="shared" si="110"/>
        <v>20430.899999999998</v>
      </c>
      <c r="Q164" s="403">
        <f t="shared" si="111"/>
        <v>0</v>
      </c>
      <c r="R164" s="417">
        <f t="shared" si="112"/>
        <v>20430.899999999998</v>
      </c>
      <c r="S164" s="405">
        <f>+'WP -11 Non-Regulated'!$K$29</f>
        <v>0.47014773860644926</v>
      </c>
      <c r="T164" s="403">
        <f t="shared" si="113"/>
        <v>9605.5414326945029</v>
      </c>
      <c r="U164" s="417">
        <f t="shared" si="114"/>
        <v>23836.050000000094</v>
      </c>
      <c r="V164" s="417">
        <f t="shared" si="115"/>
        <v>11206.465004810299</v>
      </c>
      <c r="W164" s="405">
        <v>1</v>
      </c>
      <c r="X164" s="417">
        <f t="shared" si="116"/>
        <v>11206.465004810299</v>
      </c>
      <c r="Y164" s="417">
        <f t="shared" si="117"/>
        <v>20812.006437504802</v>
      </c>
      <c r="Z164" s="403">
        <f t="shared" si="118"/>
        <v>51229.554307703969</v>
      </c>
      <c r="AA164" s="403">
        <f t="shared" si="119"/>
        <v>119.83333333333333</v>
      </c>
      <c r="AB164" s="403">
        <f t="shared" si="120"/>
        <v>122</v>
      </c>
      <c r="AC164" s="403">
        <f t="shared" si="121"/>
        <v>126.83333333333333</v>
      </c>
      <c r="AD164" s="403">
        <f t="shared" si="122"/>
        <v>121</v>
      </c>
      <c r="AE164" s="403">
        <f t="shared" si="123"/>
        <v>-8.3333333333333329E-2</v>
      </c>
      <c r="AF164" s="403">
        <f t="shared" si="124"/>
        <v>75777.509971138468</v>
      </c>
      <c r="AG164" s="403"/>
      <c r="AH164" s="403"/>
      <c r="AI164" s="403"/>
    </row>
    <row r="165" spans="2:37">
      <c r="B165" s="406" t="s">
        <v>750</v>
      </c>
      <c r="C165" s="317">
        <v>2019</v>
      </c>
      <c r="D165" s="317">
        <f t="shared" si="106"/>
        <v>119</v>
      </c>
      <c r="E165" s="317">
        <v>10</v>
      </c>
      <c r="F165" s="404">
        <v>0</v>
      </c>
      <c r="G165" s="396" t="s">
        <v>170</v>
      </c>
      <c r="H165" s="317">
        <v>7</v>
      </c>
      <c r="I165" s="317">
        <f t="shared" si="107"/>
        <v>126</v>
      </c>
      <c r="L165" s="695">
        <v>11581.17</v>
      </c>
      <c r="M165" s="403">
        <v>0</v>
      </c>
      <c r="N165" s="417">
        <f t="shared" si="108"/>
        <v>11581.17</v>
      </c>
      <c r="O165" s="417">
        <f t="shared" si="109"/>
        <v>137.87107142857141</v>
      </c>
      <c r="P165" s="417">
        <f t="shared" si="110"/>
        <v>1654.4528571428568</v>
      </c>
      <c r="Q165" s="403">
        <f t="shared" si="111"/>
        <v>0</v>
      </c>
      <c r="R165" s="417">
        <f t="shared" si="112"/>
        <v>1654.4528571428568</v>
      </c>
      <c r="S165" s="405">
        <f>+'WP -11 Non-Regulated'!$K$29</f>
        <v>0.47014773860644926</v>
      </c>
      <c r="T165" s="403">
        <f t="shared" si="113"/>
        <v>777.83726941669295</v>
      </c>
      <c r="U165" s="417">
        <f t="shared" si="114"/>
        <v>2068.0660714285714</v>
      </c>
      <c r="V165" s="417">
        <f t="shared" si="115"/>
        <v>972.29658677086638</v>
      </c>
      <c r="W165" s="405">
        <v>1</v>
      </c>
      <c r="X165" s="417">
        <f t="shared" si="116"/>
        <v>972.29658677086638</v>
      </c>
      <c r="Y165" s="417">
        <f t="shared" si="117"/>
        <v>1750.1338561875593</v>
      </c>
      <c r="Z165" s="403">
        <f t="shared" si="118"/>
        <v>4083.645664437639</v>
      </c>
      <c r="AA165" s="403">
        <f t="shared" si="119"/>
        <v>119.75</v>
      </c>
      <c r="AB165" s="403">
        <f t="shared" si="120"/>
        <v>122</v>
      </c>
      <c r="AC165" s="403">
        <f t="shared" si="121"/>
        <v>126.75</v>
      </c>
      <c r="AD165" s="403">
        <f t="shared" si="122"/>
        <v>121</v>
      </c>
      <c r="AE165" s="403">
        <f t="shared" si="123"/>
        <v>-8.3333333333333329E-2</v>
      </c>
      <c r="AF165" s="403">
        <f t="shared" si="124"/>
        <v>6136.3091140831475</v>
      </c>
      <c r="AG165" s="403"/>
      <c r="AH165" s="403"/>
      <c r="AI165" s="403"/>
    </row>
    <row r="166" spans="2:37">
      <c r="B166" s="406" t="s">
        <v>751</v>
      </c>
      <c r="C166" s="317">
        <v>2020</v>
      </c>
      <c r="D166" s="317">
        <f t="shared" si="106"/>
        <v>120</v>
      </c>
      <c r="E166" s="317">
        <v>2</v>
      </c>
      <c r="F166" s="404">
        <v>0</v>
      </c>
      <c r="G166" s="396" t="s">
        <v>170</v>
      </c>
      <c r="H166" s="317">
        <v>7</v>
      </c>
      <c r="I166" s="317">
        <f t="shared" si="107"/>
        <v>127</v>
      </c>
      <c r="L166" s="695">
        <v>5730</v>
      </c>
      <c r="M166" s="403">
        <v>0</v>
      </c>
      <c r="N166" s="417">
        <f t="shared" si="108"/>
        <v>5730</v>
      </c>
      <c r="O166" s="417">
        <f t="shared" si="109"/>
        <v>68.214285714285708</v>
      </c>
      <c r="P166" s="417">
        <f t="shared" si="110"/>
        <v>818.57142857142844</v>
      </c>
      <c r="Q166" s="403">
        <f t="shared" si="111"/>
        <v>0</v>
      </c>
      <c r="R166" s="417">
        <f t="shared" si="112"/>
        <v>818.57142857142844</v>
      </c>
      <c r="S166" s="405">
        <f>+'WP -11 Non-Regulated'!$K$29</f>
        <v>0.47014773860644926</v>
      </c>
      <c r="T166" s="403">
        <f t="shared" si="113"/>
        <v>384.84950603070769</v>
      </c>
      <c r="U166" s="417">
        <f t="shared" si="114"/>
        <v>750.35714285714664</v>
      </c>
      <c r="V166" s="417">
        <f t="shared" si="115"/>
        <v>352.77871386148388</v>
      </c>
      <c r="W166" s="405">
        <v>1</v>
      </c>
      <c r="X166" s="417">
        <f t="shared" si="116"/>
        <v>352.77871386148388</v>
      </c>
      <c r="Y166" s="417">
        <f t="shared" si="117"/>
        <v>737.62821989219151</v>
      </c>
      <c r="Z166" s="403">
        <f t="shared" si="118"/>
        <v>2148.7430753381163</v>
      </c>
      <c r="AA166" s="403">
        <f t="shared" si="119"/>
        <v>120.08333333333333</v>
      </c>
      <c r="AB166" s="403">
        <f t="shared" si="120"/>
        <v>122</v>
      </c>
      <c r="AC166" s="403">
        <f t="shared" si="121"/>
        <v>127.08333333333333</v>
      </c>
      <c r="AD166" s="403">
        <f t="shared" si="122"/>
        <v>121</v>
      </c>
      <c r="AE166" s="403">
        <f t="shared" si="123"/>
        <v>-8.3333333333333329E-2</v>
      </c>
      <c r="AF166" s="403">
        <f t="shared" si="124"/>
        <v>3036.0534577850462</v>
      </c>
      <c r="AG166" s="403"/>
      <c r="AH166" s="403"/>
      <c r="AI166" s="403"/>
    </row>
    <row r="167" spans="2:37">
      <c r="B167" s="406" t="s">
        <v>752</v>
      </c>
      <c r="C167" s="317">
        <v>2020</v>
      </c>
      <c r="D167" s="317">
        <f t="shared" si="106"/>
        <v>120</v>
      </c>
      <c r="E167" s="317">
        <v>5</v>
      </c>
      <c r="F167" s="404">
        <v>0</v>
      </c>
      <c r="G167" s="396" t="s">
        <v>170</v>
      </c>
      <c r="H167" s="317">
        <v>7</v>
      </c>
      <c r="I167" s="317">
        <f t="shared" si="107"/>
        <v>127</v>
      </c>
      <c r="L167" s="695">
        <v>9321.75</v>
      </c>
      <c r="M167" s="403">
        <v>0</v>
      </c>
      <c r="N167" s="417">
        <f t="shared" si="108"/>
        <v>9321.75</v>
      </c>
      <c r="O167" s="417">
        <f t="shared" si="109"/>
        <v>110.97321428571428</v>
      </c>
      <c r="P167" s="417">
        <f t="shared" si="110"/>
        <v>1331.6785714285713</v>
      </c>
      <c r="Q167" s="403">
        <f t="shared" si="111"/>
        <v>0</v>
      </c>
      <c r="R167" s="417">
        <f t="shared" si="112"/>
        <v>1331.6785714285713</v>
      </c>
      <c r="S167" s="405">
        <f>+'WP -11 Non-Regulated'!$K$29</f>
        <v>0.47014773860644926</v>
      </c>
      <c r="T167" s="403">
        <f t="shared" si="113"/>
        <v>626.08566890780969</v>
      </c>
      <c r="U167" s="417">
        <f t="shared" si="114"/>
        <v>887.78571428572047</v>
      </c>
      <c r="V167" s="417">
        <f t="shared" si="115"/>
        <v>417.39044593854277</v>
      </c>
      <c r="W167" s="405">
        <v>1</v>
      </c>
      <c r="X167" s="417">
        <f t="shared" si="116"/>
        <v>417.39044593854277</v>
      </c>
      <c r="Y167" s="417">
        <f t="shared" si="117"/>
        <v>1043.4761148463524</v>
      </c>
      <c r="Z167" s="403">
        <f t="shared" si="118"/>
        <v>3652.1664019622212</v>
      </c>
      <c r="AA167" s="403">
        <f t="shared" si="119"/>
        <v>120.33333333333333</v>
      </c>
      <c r="AB167" s="403">
        <f t="shared" si="120"/>
        <v>122</v>
      </c>
      <c r="AC167" s="403">
        <f t="shared" si="121"/>
        <v>127.33333333333333</v>
      </c>
      <c r="AD167" s="403">
        <f t="shared" si="122"/>
        <v>121</v>
      </c>
      <c r="AE167" s="403">
        <f t="shared" si="123"/>
        <v>-8.3333333333333329E-2</v>
      </c>
      <c r="AF167" s="403">
        <f t="shared" si="124"/>
        <v>4939.1503176453307</v>
      </c>
      <c r="AG167" s="403"/>
      <c r="AH167" s="403"/>
      <c r="AI167" s="403"/>
    </row>
    <row r="168" spans="2:37">
      <c r="B168" s="406" t="s">
        <v>753</v>
      </c>
      <c r="C168" s="317">
        <v>2021</v>
      </c>
      <c r="D168" s="317">
        <f t="shared" si="106"/>
        <v>121</v>
      </c>
      <c r="E168" s="317">
        <v>12</v>
      </c>
      <c r="F168" s="404">
        <v>0</v>
      </c>
      <c r="G168" s="396" t="s">
        <v>170</v>
      </c>
      <c r="H168" s="317">
        <v>7</v>
      </c>
      <c r="I168" s="317">
        <f t="shared" si="107"/>
        <v>128</v>
      </c>
      <c r="L168" s="695">
        <v>27519.02</v>
      </c>
      <c r="M168" s="403">
        <v>0</v>
      </c>
      <c r="N168" s="417">
        <f t="shared" si="108"/>
        <v>27519.02</v>
      </c>
      <c r="O168" s="417">
        <f t="shared" si="109"/>
        <v>327.60738095238099</v>
      </c>
      <c r="P168" s="417">
        <f t="shared" si="110"/>
        <v>327.60738095236235</v>
      </c>
      <c r="Q168" s="403">
        <f t="shared" si="111"/>
        <v>0</v>
      </c>
      <c r="R168" s="417">
        <f t="shared" si="112"/>
        <v>327.60738095236235</v>
      </c>
      <c r="S168" s="405">
        <f>+'WP -11 Non-Regulated'!$K$29</f>
        <v>0.47014773860644926</v>
      </c>
      <c r="T168" s="403">
        <f t="shared" si="113"/>
        <v>154.0238693055347</v>
      </c>
      <c r="U168" s="417">
        <f t="shared" si="114"/>
        <v>0</v>
      </c>
      <c r="V168" s="417">
        <f t="shared" si="115"/>
        <v>0</v>
      </c>
      <c r="W168" s="405">
        <v>1</v>
      </c>
      <c r="X168" s="417">
        <f t="shared" si="116"/>
        <v>0</v>
      </c>
      <c r="Y168" s="417">
        <f t="shared" si="117"/>
        <v>154.0238693055347</v>
      </c>
      <c r="Z168" s="403">
        <f t="shared" si="118"/>
        <v>6391.9905761800574</v>
      </c>
      <c r="AA168" s="403">
        <f t="shared" si="119"/>
        <v>121.91666666666667</v>
      </c>
      <c r="AB168" s="403">
        <f t="shared" si="120"/>
        <v>122</v>
      </c>
      <c r="AC168" s="403">
        <f t="shared" si="121"/>
        <v>128.91666666666666</v>
      </c>
      <c r="AD168" s="403">
        <f t="shared" si="122"/>
        <v>121</v>
      </c>
      <c r="AE168" s="403">
        <f t="shared" si="123"/>
        <v>-8.3333333333333329E-2</v>
      </c>
      <c r="AF168" s="403">
        <f t="shared" si="124"/>
        <v>21050.017489167174</v>
      </c>
      <c r="AG168" s="403"/>
      <c r="AH168" s="403"/>
      <c r="AI168" s="403"/>
    </row>
    <row r="169" spans="2:37">
      <c r="B169" s="406" t="s">
        <v>754</v>
      </c>
      <c r="C169" s="317">
        <v>2021</v>
      </c>
      <c r="D169" s="317">
        <f t="shared" si="106"/>
        <v>121</v>
      </c>
      <c r="E169" s="317">
        <v>4</v>
      </c>
      <c r="F169" s="404">
        <v>0</v>
      </c>
      <c r="G169" s="396" t="s">
        <v>170</v>
      </c>
      <c r="H169" s="317">
        <v>7</v>
      </c>
      <c r="I169" s="317">
        <f t="shared" si="107"/>
        <v>128</v>
      </c>
      <c r="L169" s="695">
        <v>4791.18</v>
      </c>
      <c r="M169" s="403">
        <v>0</v>
      </c>
      <c r="N169" s="417">
        <f t="shared" si="108"/>
        <v>4791.18</v>
      </c>
      <c r="O169" s="417">
        <f t="shared" si="109"/>
        <v>57.037857142857149</v>
      </c>
      <c r="P169" s="417">
        <f t="shared" si="110"/>
        <v>513.34071428571428</v>
      </c>
      <c r="Q169" s="403">
        <f t="shared" si="111"/>
        <v>0</v>
      </c>
      <c r="R169" s="417">
        <f t="shared" si="112"/>
        <v>513.34071428571428</v>
      </c>
      <c r="S169" s="405">
        <f>+'WP -11 Non-Regulated'!$K$29</f>
        <v>0.47014773860644926</v>
      </c>
      <c r="T169" s="403">
        <f t="shared" si="113"/>
        <v>241.34597595604797</v>
      </c>
      <c r="U169" s="417">
        <f t="shared" si="114"/>
        <v>0</v>
      </c>
      <c r="V169" s="417">
        <f t="shared" si="115"/>
        <v>0</v>
      </c>
      <c r="W169" s="405">
        <v>1</v>
      </c>
      <c r="X169" s="417">
        <f t="shared" si="116"/>
        <v>0</v>
      </c>
      <c r="Y169" s="417">
        <f t="shared" si="117"/>
        <v>241.34597595604797</v>
      </c>
      <c r="Z169" s="403">
        <f t="shared" si="118"/>
        <v>1005.6082331501999</v>
      </c>
      <c r="AA169" s="403">
        <f t="shared" si="119"/>
        <v>121.25</v>
      </c>
      <c r="AB169" s="403">
        <f t="shared" si="120"/>
        <v>122</v>
      </c>
      <c r="AC169" s="403">
        <f t="shared" si="121"/>
        <v>128.25</v>
      </c>
      <c r="AD169" s="403">
        <f t="shared" si="122"/>
        <v>121</v>
      </c>
      <c r="AE169" s="403">
        <f t="shared" si="123"/>
        <v>-8.3333333333333329E-2</v>
      </c>
      <c r="AF169" s="403">
        <f t="shared" si="124"/>
        <v>3664.8987788717764</v>
      </c>
      <c r="AG169" s="403"/>
      <c r="AH169" s="403"/>
      <c r="AI169" s="403"/>
    </row>
    <row r="170" spans="2:37">
      <c r="F170" s="404"/>
      <c r="G170" s="396"/>
      <c r="L170" s="403"/>
      <c r="M170" s="403"/>
      <c r="N170" s="417"/>
      <c r="O170" s="417"/>
      <c r="P170" s="417"/>
      <c r="Q170" s="403"/>
      <c r="R170" s="417"/>
      <c r="S170" s="405"/>
      <c r="T170" s="403"/>
      <c r="U170" s="417"/>
      <c r="V170" s="417"/>
      <c r="W170" s="405"/>
      <c r="X170" s="417"/>
      <c r="Y170" s="417"/>
      <c r="Z170" s="403"/>
      <c r="AA170" s="403"/>
      <c r="AB170" s="403"/>
      <c r="AC170" s="403"/>
      <c r="AD170" s="403"/>
      <c r="AE170" s="403"/>
      <c r="AF170" s="403"/>
      <c r="AG170" s="403"/>
      <c r="AH170" s="403"/>
      <c r="AI170" s="403"/>
    </row>
    <row r="171" spans="2:37">
      <c r="F171" s="404"/>
      <c r="G171" s="396"/>
      <c r="L171" s="403"/>
      <c r="M171" s="403"/>
      <c r="N171" s="403"/>
      <c r="O171" s="403"/>
      <c r="P171" s="403"/>
      <c r="Q171" s="403"/>
      <c r="R171" s="403"/>
      <c r="S171" s="405"/>
      <c r="T171" s="403"/>
      <c r="U171" s="403"/>
      <c r="V171" s="403"/>
      <c r="W171" s="405"/>
      <c r="X171" s="403"/>
      <c r="Y171" s="403"/>
      <c r="Z171" s="403"/>
      <c r="AA171" s="403"/>
      <c r="AB171" s="403"/>
      <c r="AC171" s="403"/>
      <c r="AD171" s="403"/>
      <c r="AE171" s="403"/>
      <c r="AF171" s="403"/>
      <c r="AG171" s="403"/>
      <c r="AH171" s="403"/>
      <c r="AI171" s="403"/>
    </row>
    <row r="172" spans="2:37">
      <c r="L172" s="696"/>
      <c r="M172" s="418"/>
      <c r="N172" s="696"/>
      <c r="O172" s="696"/>
      <c r="P172" s="696"/>
      <c r="Q172" s="696"/>
      <c r="R172" s="696"/>
      <c r="S172" s="402"/>
      <c r="T172" s="696"/>
      <c r="U172" s="696"/>
      <c r="V172" s="696"/>
      <c r="W172" s="402"/>
      <c r="X172" s="696"/>
      <c r="Y172" s="696"/>
      <c r="Z172" s="696"/>
      <c r="AA172" s="418"/>
      <c r="AB172" s="418"/>
      <c r="AC172" s="418"/>
      <c r="AD172" s="418"/>
      <c r="AE172" s="418"/>
      <c r="AF172" s="414"/>
      <c r="AG172" s="403"/>
      <c r="AH172" s="403"/>
      <c r="AI172" s="403"/>
    </row>
    <row r="173" spans="2:37" ht="16.5" thickBot="1">
      <c r="B173" s="319" t="s">
        <v>385</v>
      </c>
      <c r="K173" s="410" t="s">
        <v>205</v>
      </c>
      <c r="L173" s="411">
        <f>SUM(L156:L169)</f>
        <v>538748.26</v>
      </c>
      <c r="M173" s="403"/>
      <c r="N173" s="411">
        <f>SUM(N156:N169)</f>
        <v>538748.26</v>
      </c>
      <c r="O173" s="411">
        <f t="shared" ref="O173:Z173" si="125">SUM(O156:O169)</f>
        <v>6413.6697619047618</v>
      </c>
      <c r="P173" s="411">
        <f t="shared" si="125"/>
        <v>60734.099523809513</v>
      </c>
      <c r="Q173" s="411">
        <f t="shared" si="125"/>
        <v>0</v>
      </c>
      <c r="R173" s="411">
        <f t="shared" si="125"/>
        <v>60734.099523809513</v>
      </c>
      <c r="S173" s="412"/>
      <c r="T173" s="411">
        <f t="shared" si="125"/>
        <v>28553.999547418065</v>
      </c>
      <c r="U173" s="411">
        <f t="shared" si="125"/>
        <v>190508.78547619056</v>
      </c>
      <c r="V173" s="411">
        <f t="shared" si="125"/>
        <v>64962.092776323647</v>
      </c>
      <c r="W173" s="412"/>
      <c r="X173" s="411">
        <f t="shared" si="125"/>
        <v>64962.092776323647</v>
      </c>
      <c r="Y173" s="411">
        <f t="shared" si="125"/>
        <v>93516.092323741716</v>
      </c>
      <c r="Z173" s="411">
        <f t="shared" si="125"/>
        <v>141851.71793519708</v>
      </c>
      <c r="AA173" s="403"/>
      <c r="AB173" s="403"/>
      <c r="AC173" s="403"/>
      <c r="AD173" s="403"/>
      <c r="AE173" s="403"/>
      <c r="AF173" s="811">
        <f>SUM(AF156:AF169)</f>
        <v>317657.44951477018</v>
      </c>
      <c r="AG173" s="403"/>
      <c r="AH173" s="403"/>
      <c r="AI173" s="403"/>
      <c r="AJ173" s="412"/>
      <c r="AK173" s="412"/>
    </row>
    <row r="174" spans="2:37" ht="16.5" thickTop="1">
      <c r="L174" s="403"/>
      <c r="M174" s="403"/>
      <c r="N174" s="403"/>
      <c r="O174" s="403"/>
      <c r="P174" s="403"/>
      <c r="Q174" s="403"/>
      <c r="R174" s="403"/>
      <c r="T174" s="403"/>
      <c r="U174" s="403"/>
      <c r="V174" s="403"/>
      <c r="X174" s="403"/>
      <c r="Y174" s="403"/>
      <c r="Z174" s="403"/>
      <c r="AA174" s="403"/>
      <c r="AB174" s="403"/>
      <c r="AC174" s="403"/>
      <c r="AD174" s="403"/>
      <c r="AE174" s="403"/>
      <c r="AF174" s="403"/>
      <c r="AG174" s="403"/>
      <c r="AH174" s="403"/>
      <c r="AI174" s="403"/>
    </row>
    <row r="175" spans="2:37" ht="16.5" customHeight="1">
      <c r="B175" s="319" t="s">
        <v>42</v>
      </c>
      <c r="L175" s="403"/>
      <c r="M175" s="403"/>
      <c r="N175" s="403"/>
      <c r="O175" s="403"/>
      <c r="P175" s="403"/>
      <c r="Q175" s="403"/>
      <c r="R175" s="403"/>
      <c r="T175" s="403"/>
      <c r="U175" s="403"/>
      <c r="V175" s="403"/>
      <c r="X175" s="403"/>
      <c r="Y175" s="403"/>
      <c r="Z175" s="403"/>
      <c r="AA175" s="403"/>
      <c r="AB175" s="403"/>
      <c r="AC175" s="403"/>
      <c r="AD175" s="403"/>
      <c r="AE175" s="403"/>
      <c r="AF175" s="403"/>
      <c r="AG175" s="403"/>
      <c r="AH175" s="403"/>
      <c r="AI175" s="403"/>
    </row>
    <row r="176" spans="2:37">
      <c r="B176" s="406" t="s">
        <v>725</v>
      </c>
      <c r="C176" s="317">
        <v>2007</v>
      </c>
      <c r="D176" s="317">
        <f>+C176-1900</f>
        <v>107</v>
      </c>
      <c r="E176" s="317">
        <v>5</v>
      </c>
      <c r="F176" s="404">
        <v>0</v>
      </c>
      <c r="G176" s="396" t="s">
        <v>170</v>
      </c>
      <c r="H176" s="317">
        <v>10</v>
      </c>
      <c r="I176" s="317">
        <f t="shared" ref="I176:I195" si="126">D176+H176</f>
        <v>117</v>
      </c>
      <c r="L176" s="695">
        <v>174500</v>
      </c>
      <c r="M176" s="403">
        <v>0</v>
      </c>
      <c r="N176" s="403">
        <f t="shared" ref="N176:N195" si="127">L176-(+L176*F176)</f>
        <v>174500</v>
      </c>
      <c r="O176" s="403">
        <f t="shared" ref="O176:O195" si="128">N176/H176/12</f>
        <v>1454.1666666666667</v>
      </c>
      <c r="P176" s="403">
        <f t="shared" ref="P176:P195" si="129">IF(Q176&gt;0,0,IF(OR(AA176&gt;AB176,AC176&lt;AD176),0,IF(AND(AC176&gt;=AD176,AC176&lt;=AB176),O176*((AC176-AD176)*12),IF(AND(AD176&lt;=AA176,AB176&gt;=AA176),((AB176-AA176)*12)*O176,IF(AC176&gt;AB176,12*O176,0)))))</f>
        <v>0</v>
      </c>
      <c r="Q176" s="403">
        <f t="shared" ref="Q176:Q195" si="130">IF(M176=0,0,IF(AND(AE176&gt;=AD176,AE176&lt;=AC176),((AE176-AD176)*12)*O176,0))</f>
        <v>0</v>
      </c>
      <c r="R176" s="403">
        <f t="shared" ref="R176:R195" si="131">IF(Q176&gt;0,Q176,P176)</f>
        <v>0</v>
      </c>
      <c r="S176" s="405">
        <f>+'WP -11 Non-Regulated'!$K$29</f>
        <v>0.47014773860644926</v>
      </c>
      <c r="T176" s="403">
        <f t="shared" ref="T176:T195" si="132">S176*SUM(P176:Q176)</f>
        <v>0</v>
      </c>
      <c r="U176" s="403">
        <f t="shared" ref="U176:U195" si="133">IF(AA176&gt;AB176,0,IF(AC176&lt;AD176,L176,IF(AND(AC176&gt;=AD176,AC176&lt;=AB176),(L176-R176),IF(AND(AD176&lt;=AA176,AB176&gt;=AA176),0,IF(AC176&gt;AB176,((AD176-AA176)*12)*O176,0)))))</f>
        <v>174500</v>
      </c>
      <c r="V176" s="403">
        <f t="shared" ref="V176:V195" si="134">U176*S176</f>
        <v>82040.780386825398</v>
      </c>
      <c r="W176" s="405">
        <v>1</v>
      </c>
      <c r="X176" s="403">
        <f t="shared" ref="X176:X195" si="135">V176*W176</f>
        <v>82040.780386825398</v>
      </c>
      <c r="Y176" s="403">
        <f t="shared" ref="Y176:Y195" si="136">IF(M176&gt;0,0,X176+T176*W176)*W176</f>
        <v>82040.780386825398</v>
      </c>
      <c r="Z176" s="403">
        <f>IF(M176&gt;0,(L176-X176)/2,IF(AA176&gt;=AD176,(((L176*S176)*W176)-Y176)/2,((((L176*S176)*W176)-X176)+(((L176*S176)*W176)-Y176))/2))</f>
        <v>0</v>
      </c>
      <c r="AA176" s="403">
        <f t="shared" ref="AA176:AA195" si="137">$D176+(($E176-1)/12)</f>
        <v>107.33333333333333</v>
      </c>
      <c r="AB176" s="403">
        <f t="shared" ref="AB176:AB195" si="138">($B$10+1)-($B$7/12)</f>
        <v>122</v>
      </c>
      <c r="AC176" s="403">
        <f t="shared" ref="AC176:AC195" si="139">$I176+(($E176-1)/12)</f>
        <v>117.33333333333333</v>
      </c>
      <c r="AD176" s="403">
        <f t="shared" ref="AD176:AD195" si="140">$B$9+($B$8/12)</f>
        <v>121</v>
      </c>
      <c r="AE176" s="403">
        <f t="shared" ref="AE176:AE195" si="141">$J176+(($K176-1)/12)</f>
        <v>-8.3333333333333329E-2</v>
      </c>
      <c r="AF176" s="403">
        <f t="shared" ref="AF176:AF192" si="142">L176-((X176+Y176)/2)-Z176</f>
        <v>92459.219613174602</v>
      </c>
      <c r="AG176" s="403"/>
      <c r="AH176" s="403"/>
      <c r="AI176" s="403"/>
    </row>
    <row r="177" spans="2:35">
      <c r="B177" s="406" t="s">
        <v>726</v>
      </c>
      <c r="C177" s="317">
        <v>2008</v>
      </c>
      <c r="D177" s="317">
        <f t="shared" ref="D177:D195" si="143">+C177-1900</f>
        <v>108</v>
      </c>
      <c r="E177" s="317">
        <v>1</v>
      </c>
      <c r="F177" s="404">
        <v>0</v>
      </c>
      <c r="G177" s="396" t="s">
        <v>170</v>
      </c>
      <c r="H177" s="317">
        <v>10</v>
      </c>
      <c r="I177" s="317">
        <f t="shared" si="126"/>
        <v>118</v>
      </c>
      <c r="L177" s="695">
        <v>21664</v>
      </c>
      <c r="M177" s="403">
        <v>0</v>
      </c>
      <c r="N177" s="403">
        <f t="shared" si="127"/>
        <v>21664</v>
      </c>
      <c r="O177" s="403">
        <f t="shared" si="128"/>
        <v>180.53333333333333</v>
      </c>
      <c r="P177" s="403">
        <f t="shared" si="129"/>
        <v>0</v>
      </c>
      <c r="Q177" s="403">
        <f t="shared" si="130"/>
        <v>0</v>
      </c>
      <c r="R177" s="403">
        <f t="shared" si="131"/>
        <v>0</v>
      </c>
      <c r="S177" s="405">
        <f>+'WP -11 Non-Regulated'!$K$29</f>
        <v>0.47014773860644926</v>
      </c>
      <c r="T177" s="403">
        <f t="shared" si="132"/>
        <v>0</v>
      </c>
      <c r="U177" s="403">
        <f t="shared" si="133"/>
        <v>21664</v>
      </c>
      <c r="V177" s="403">
        <f t="shared" si="134"/>
        <v>10185.280609170117</v>
      </c>
      <c r="W177" s="405">
        <v>1</v>
      </c>
      <c r="X177" s="403">
        <f t="shared" si="135"/>
        <v>10185.280609170117</v>
      </c>
      <c r="Y177" s="403">
        <f t="shared" si="136"/>
        <v>10185.280609170117</v>
      </c>
      <c r="Z177" s="403">
        <f t="shared" ref="Z177:Z195" si="144">IF(M177&gt;0,(L177-X177)/2,IF(AA177&gt;=AD177,(((L177*S177)*W177)-Y177)/2,((((L177*S177)*W177)-X177)+(((L177*S177)*W177)-Y177))/2))</f>
        <v>0</v>
      </c>
      <c r="AA177" s="403">
        <f t="shared" si="137"/>
        <v>108</v>
      </c>
      <c r="AB177" s="403">
        <f t="shared" si="138"/>
        <v>122</v>
      </c>
      <c r="AC177" s="403">
        <f t="shared" si="139"/>
        <v>118</v>
      </c>
      <c r="AD177" s="403">
        <f t="shared" si="140"/>
        <v>121</v>
      </c>
      <c r="AE177" s="403">
        <f t="shared" si="141"/>
        <v>-8.3333333333333329E-2</v>
      </c>
      <c r="AF177" s="403">
        <f t="shared" si="142"/>
        <v>11478.719390829883</v>
      </c>
      <c r="AG177" s="403"/>
      <c r="AH177" s="403"/>
      <c r="AI177" s="403"/>
    </row>
    <row r="178" spans="2:35">
      <c r="B178" s="406" t="s">
        <v>726</v>
      </c>
      <c r="C178" s="317">
        <v>2008</v>
      </c>
      <c r="D178" s="317">
        <f t="shared" si="143"/>
        <v>108</v>
      </c>
      <c r="E178" s="317">
        <v>1</v>
      </c>
      <c r="F178" s="404">
        <v>0</v>
      </c>
      <c r="G178" s="396" t="s">
        <v>170</v>
      </c>
      <c r="H178" s="317">
        <v>10</v>
      </c>
      <c r="I178" s="317">
        <f t="shared" si="126"/>
        <v>118</v>
      </c>
      <c r="L178" s="695">
        <v>10480</v>
      </c>
      <c r="M178" s="403">
        <v>0</v>
      </c>
      <c r="N178" s="403">
        <f t="shared" si="127"/>
        <v>10480</v>
      </c>
      <c r="O178" s="403">
        <f t="shared" si="128"/>
        <v>87.333333333333329</v>
      </c>
      <c r="P178" s="403">
        <f t="shared" si="129"/>
        <v>0</v>
      </c>
      <c r="Q178" s="403">
        <f t="shared" si="130"/>
        <v>0</v>
      </c>
      <c r="R178" s="403">
        <f t="shared" si="131"/>
        <v>0</v>
      </c>
      <c r="S178" s="405">
        <f>+'WP -11 Non-Regulated'!$K$29</f>
        <v>0.47014773860644926</v>
      </c>
      <c r="T178" s="403">
        <f t="shared" si="132"/>
        <v>0</v>
      </c>
      <c r="U178" s="403">
        <f t="shared" si="133"/>
        <v>10480</v>
      </c>
      <c r="V178" s="403">
        <f t="shared" si="134"/>
        <v>4927.1483005955879</v>
      </c>
      <c r="W178" s="405">
        <v>1</v>
      </c>
      <c r="X178" s="403">
        <f t="shared" si="135"/>
        <v>4927.1483005955879</v>
      </c>
      <c r="Y178" s="403">
        <f t="shared" si="136"/>
        <v>4927.1483005955879</v>
      </c>
      <c r="Z178" s="403">
        <f t="shared" si="144"/>
        <v>0</v>
      </c>
      <c r="AA178" s="403">
        <f t="shared" si="137"/>
        <v>108</v>
      </c>
      <c r="AB178" s="403">
        <f t="shared" si="138"/>
        <v>122</v>
      </c>
      <c r="AC178" s="403">
        <f t="shared" si="139"/>
        <v>118</v>
      </c>
      <c r="AD178" s="403">
        <f t="shared" si="140"/>
        <v>121</v>
      </c>
      <c r="AE178" s="403">
        <f t="shared" si="141"/>
        <v>-8.3333333333333329E-2</v>
      </c>
      <c r="AF178" s="403">
        <f t="shared" si="142"/>
        <v>5552.8516994044121</v>
      </c>
      <c r="AG178" s="403"/>
      <c r="AH178" s="403"/>
      <c r="AI178" s="403"/>
    </row>
    <row r="179" spans="2:35">
      <c r="B179" s="406" t="s">
        <v>727</v>
      </c>
      <c r="C179" s="317">
        <v>2008</v>
      </c>
      <c r="D179" s="317">
        <f t="shared" si="143"/>
        <v>108</v>
      </c>
      <c r="E179" s="317">
        <v>6</v>
      </c>
      <c r="F179" s="404">
        <v>0</v>
      </c>
      <c r="G179" s="396" t="s">
        <v>170</v>
      </c>
      <c r="H179" s="317">
        <v>10</v>
      </c>
      <c r="I179" s="317">
        <f t="shared" si="126"/>
        <v>118</v>
      </c>
      <c r="L179" s="695">
        <v>29609</v>
      </c>
      <c r="M179" s="403">
        <v>0</v>
      </c>
      <c r="N179" s="403">
        <f t="shared" si="127"/>
        <v>29609</v>
      </c>
      <c r="O179" s="403">
        <f t="shared" si="128"/>
        <v>246.74166666666667</v>
      </c>
      <c r="P179" s="403">
        <f t="shared" si="129"/>
        <v>0</v>
      </c>
      <c r="Q179" s="403">
        <f t="shared" si="130"/>
        <v>0</v>
      </c>
      <c r="R179" s="403">
        <f t="shared" si="131"/>
        <v>0</v>
      </c>
      <c r="S179" s="405">
        <f>+'WP -11 Non-Regulated'!$K$29</f>
        <v>0.47014773860644926</v>
      </c>
      <c r="T179" s="403">
        <f t="shared" si="132"/>
        <v>0</v>
      </c>
      <c r="U179" s="403">
        <f t="shared" si="133"/>
        <v>29609</v>
      </c>
      <c r="V179" s="403">
        <f t="shared" si="134"/>
        <v>13920.604392398356</v>
      </c>
      <c r="W179" s="405">
        <v>1</v>
      </c>
      <c r="X179" s="403">
        <f t="shared" si="135"/>
        <v>13920.604392398356</v>
      </c>
      <c r="Y179" s="403">
        <f t="shared" si="136"/>
        <v>13920.604392398356</v>
      </c>
      <c r="Z179" s="403">
        <f t="shared" si="144"/>
        <v>0</v>
      </c>
      <c r="AA179" s="403">
        <f t="shared" si="137"/>
        <v>108.41666666666667</v>
      </c>
      <c r="AB179" s="403">
        <f t="shared" si="138"/>
        <v>122</v>
      </c>
      <c r="AC179" s="403">
        <f t="shared" si="139"/>
        <v>118.41666666666667</v>
      </c>
      <c r="AD179" s="403">
        <f t="shared" si="140"/>
        <v>121</v>
      </c>
      <c r="AE179" s="403">
        <f t="shared" si="141"/>
        <v>-8.3333333333333329E-2</v>
      </c>
      <c r="AF179" s="403">
        <f t="shared" si="142"/>
        <v>15688.395607601644</v>
      </c>
      <c r="AG179" s="403"/>
      <c r="AH179" s="403"/>
      <c r="AI179" s="403"/>
    </row>
    <row r="180" spans="2:35">
      <c r="B180" s="406" t="s">
        <v>728</v>
      </c>
      <c r="C180" s="317">
        <v>2009</v>
      </c>
      <c r="D180" s="317">
        <f t="shared" si="143"/>
        <v>109</v>
      </c>
      <c r="E180" s="317">
        <v>3</v>
      </c>
      <c r="F180" s="404">
        <v>0</v>
      </c>
      <c r="G180" s="396" t="s">
        <v>170</v>
      </c>
      <c r="H180" s="317">
        <v>10</v>
      </c>
      <c r="I180" s="317">
        <f t="shared" si="126"/>
        <v>119</v>
      </c>
      <c r="L180" s="695">
        <v>27680</v>
      </c>
      <c r="M180" s="403">
        <v>0</v>
      </c>
      <c r="N180" s="403">
        <f t="shared" si="127"/>
        <v>27680</v>
      </c>
      <c r="O180" s="403">
        <f t="shared" si="128"/>
        <v>230.66666666666666</v>
      </c>
      <c r="P180" s="403">
        <f t="shared" si="129"/>
        <v>0</v>
      </c>
      <c r="Q180" s="403">
        <f t="shared" si="130"/>
        <v>0</v>
      </c>
      <c r="R180" s="403">
        <f t="shared" si="131"/>
        <v>0</v>
      </c>
      <c r="S180" s="405">
        <f>+'WP -11 Non-Regulated'!$K$29</f>
        <v>0.47014773860644926</v>
      </c>
      <c r="T180" s="403">
        <f t="shared" si="132"/>
        <v>0</v>
      </c>
      <c r="U180" s="403">
        <f t="shared" si="133"/>
        <v>27680</v>
      </c>
      <c r="V180" s="403">
        <f t="shared" si="134"/>
        <v>13013.689404626515</v>
      </c>
      <c r="W180" s="405">
        <v>1</v>
      </c>
      <c r="X180" s="403">
        <f t="shared" si="135"/>
        <v>13013.689404626515</v>
      </c>
      <c r="Y180" s="403">
        <f t="shared" si="136"/>
        <v>13013.689404626515</v>
      </c>
      <c r="Z180" s="403">
        <f t="shared" si="144"/>
        <v>0</v>
      </c>
      <c r="AA180" s="403">
        <f t="shared" si="137"/>
        <v>109.16666666666667</v>
      </c>
      <c r="AB180" s="403">
        <f t="shared" si="138"/>
        <v>122</v>
      </c>
      <c r="AC180" s="403">
        <f t="shared" si="139"/>
        <v>119.16666666666667</v>
      </c>
      <c r="AD180" s="403">
        <f t="shared" si="140"/>
        <v>121</v>
      </c>
      <c r="AE180" s="403">
        <f t="shared" si="141"/>
        <v>-8.3333333333333329E-2</v>
      </c>
      <c r="AF180" s="403">
        <f t="shared" si="142"/>
        <v>14666.310595373485</v>
      </c>
      <c r="AG180" s="403"/>
      <c r="AH180" s="403"/>
      <c r="AI180" s="403"/>
    </row>
    <row r="181" spans="2:35">
      <c r="B181" s="406" t="s">
        <v>729</v>
      </c>
      <c r="C181" s="317">
        <v>2009</v>
      </c>
      <c r="D181" s="317">
        <f t="shared" si="143"/>
        <v>109</v>
      </c>
      <c r="E181" s="317">
        <v>3</v>
      </c>
      <c r="F181" s="404">
        <v>0</v>
      </c>
      <c r="G181" s="396" t="s">
        <v>170</v>
      </c>
      <c r="H181" s="317">
        <v>10</v>
      </c>
      <c r="I181" s="317">
        <f t="shared" si="126"/>
        <v>119</v>
      </c>
      <c r="L181" s="695">
        <v>7580</v>
      </c>
      <c r="M181" s="403">
        <v>0</v>
      </c>
      <c r="N181" s="403">
        <f t="shared" si="127"/>
        <v>7580</v>
      </c>
      <c r="O181" s="403">
        <f t="shared" si="128"/>
        <v>63.166666666666664</v>
      </c>
      <c r="P181" s="403">
        <f t="shared" si="129"/>
        <v>0</v>
      </c>
      <c r="Q181" s="403">
        <f t="shared" si="130"/>
        <v>0</v>
      </c>
      <c r="R181" s="403">
        <f t="shared" si="131"/>
        <v>0</v>
      </c>
      <c r="S181" s="405">
        <f>+'WP -11 Non-Regulated'!$K$29</f>
        <v>0.47014773860644926</v>
      </c>
      <c r="T181" s="403">
        <f t="shared" si="132"/>
        <v>0</v>
      </c>
      <c r="U181" s="403">
        <f t="shared" si="133"/>
        <v>7580</v>
      </c>
      <c r="V181" s="403">
        <f t="shared" si="134"/>
        <v>3563.7198586368854</v>
      </c>
      <c r="W181" s="405">
        <v>1</v>
      </c>
      <c r="X181" s="403">
        <f t="shared" si="135"/>
        <v>3563.7198586368854</v>
      </c>
      <c r="Y181" s="403">
        <f t="shared" si="136"/>
        <v>3563.7198586368854</v>
      </c>
      <c r="Z181" s="403">
        <f t="shared" si="144"/>
        <v>0</v>
      </c>
      <c r="AA181" s="403">
        <f t="shared" si="137"/>
        <v>109.16666666666667</v>
      </c>
      <c r="AB181" s="403">
        <f t="shared" si="138"/>
        <v>122</v>
      </c>
      <c r="AC181" s="403">
        <f t="shared" si="139"/>
        <v>119.16666666666667</v>
      </c>
      <c r="AD181" s="403">
        <f t="shared" si="140"/>
        <v>121</v>
      </c>
      <c r="AE181" s="403">
        <f t="shared" si="141"/>
        <v>-8.3333333333333329E-2</v>
      </c>
      <c r="AF181" s="403">
        <f t="shared" si="142"/>
        <v>4016.2801413631146</v>
      </c>
      <c r="AG181" s="403"/>
      <c r="AH181" s="403"/>
      <c r="AI181" s="403"/>
    </row>
    <row r="182" spans="2:35">
      <c r="B182" s="406" t="s">
        <v>730</v>
      </c>
      <c r="C182" s="317">
        <v>2009</v>
      </c>
      <c r="D182" s="317">
        <f t="shared" si="143"/>
        <v>109</v>
      </c>
      <c r="E182" s="317">
        <v>6</v>
      </c>
      <c r="F182" s="404">
        <v>0</v>
      </c>
      <c r="G182" s="396" t="s">
        <v>170</v>
      </c>
      <c r="H182" s="317">
        <v>10</v>
      </c>
      <c r="I182" s="317">
        <f t="shared" si="126"/>
        <v>119</v>
      </c>
      <c r="L182" s="695">
        <v>15000</v>
      </c>
      <c r="M182" s="403">
        <v>0</v>
      </c>
      <c r="N182" s="403">
        <f t="shared" si="127"/>
        <v>15000</v>
      </c>
      <c r="O182" s="403">
        <f t="shared" si="128"/>
        <v>125</v>
      </c>
      <c r="P182" s="403">
        <f t="shared" si="129"/>
        <v>0</v>
      </c>
      <c r="Q182" s="403">
        <f t="shared" si="130"/>
        <v>0</v>
      </c>
      <c r="R182" s="403">
        <f t="shared" si="131"/>
        <v>0</v>
      </c>
      <c r="S182" s="405">
        <f>+'WP -11 Non-Regulated'!$K$29</f>
        <v>0.47014773860644926</v>
      </c>
      <c r="T182" s="403">
        <f t="shared" si="132"/>
        <v>0</v>
      </c>
      <c r="U182" s="403">
        <f t="shared" si="133"/>
        <v>15000</v>
      </c>
      <c r="V182" s="403">
        <f t="shared" si="134"/>
        <v>7052.2160790967391</v>
      </c>
      <c r="W182" s="405">
        <v>1</v>
      </c>
      <c r="X182" s="403">
        <f t="shared" si="135"/>
        <v>7052.2160790967391</v>
      </c>
      <c r="Y182" s="403">
        <f t="shared" si="136"/>
        <v>7052.2160790967391</v>
      </c>
      <c r="Z182" s="403">
        <f t="shared" si="144"/>
        <v>0</v>
      </c>
      <c r="AA182" s="403">
        <f t="shared" si="137"/>
        <v>109.41666666666667</v>
      </c>
      <c r="AB182" s="403">
        <f t="shared" si="138"/>
        <v>122</v>
      </c>
      <c r="AC182" s="403">
        <f t="shared" si="139"/>
        <v>119.41666666666667</v>
      </c>
      <c r="AD182" s="403">
        <f t="shared" si="140"/>
        <v>121</v>
      </c>
      <c r="AE182" s="403">
        <f t="shared" si="141"/>
        <v>-8.3333333333333329E-2</v>
      </c>
      <c r="AF182" s="403">
        <f t="shared" si="142"/>
        <v>7947.7839209032609</v>
      </c>
      <c r="AG182" s="403"/>
      <c r="AH182" s="403"/>
      <c r="AI182" s="403"/>
    </row>
    <row r="183" spans="2:35">
      <c r="B183" s="406" t="s">
        <v>729</v>
      </c>
      <c r="C183" s="317">
        <v>2009</v>
      </c>
      <c r="D183" s="317">
        <f t="shared" si="143"/>
        <v>109</v>
      </c>
      <c r="E183" s="317">
        <v>3</v>
      </c>
      <c r="F183" s="404">
        <v>0</v>
      </c>
      <c r="G183" s="396" t="s">
        <v>170</v>
      </c>
      <c r="H183" s="317">
        <v>10</v>
      </c>
      <c r="I183" s="317">
        <f t="shared" si="126"/>
        <v>119</v>
      </c>
      <c r="L183" s="695">
        <v>9200</v>
      </c>
      <c r="M183" s="403">
        <v>0</v>
      </c>
      <c r="N183" s="403">
        <f t="shared" si="127"/>
        <v>9200</v>
      </c>
      <c r="O183" s="403">
        <f t="shared" si="128"/>
        <v>76.666666666666671</v>
      </c>
      <c r="P183" s="403">
        <f t="shared" si="129"/>
        <v>0</v>
      </c>
      <c r="Q183" s="403">
        <f t="shared" si="130"/>
        <v>0</v>
      </c>
      <c r="R183" s="403">
        <f t="shared" si="131"/>
        <v>0</v>
      </c>
      <c r="S183" s="405">
        <f>+'WP -11 Non-Regulated'!$K$29</f>
        <v>0.47014773860644926</v>
      </c>
      <c r="T183" s="403">
        <f t="shared" si="132"/>
        <v>0</v>
      </c>
      <c r="U183" s="403">
        <f t="shared" si="133"/>
        <v>9200</v>
      </c>
      <c r="V183" s="403">
        <f t="shared" si="134"/>
        <v>4325.3591951793333</v>
      </c>
      <c r="W183" s="405">
        <v>1</v>
      </c>
      <c r="X183" s="403">
        <f t="shared" si="135"/>
        <v>4325.3591951793333</v>
      </c>
      <c r="Y183" s="403">
        <f t="shared" si="136"/>
        <v>4325.3591951793333</v>
      </c>
      <c r="Z183" s="403">
        <f t="shared" si="144"/>
        <v>0</v>
      </c>
      <c r="AA183" s="403">
        <f t="shared" si="137"/>
        <v>109.16666666666667</v>
      </c>
      <c r="AB183" s="403">
        <f t="shared" si="138"/>
        <v>122</v>
      </c>
      <c r="AC183" s="403">
        <f t="shared" si="139"/>
        <v>119.16666666666667</v>
      </c>
      <c r="AD183" s="403">
        <f t="shared" si="140"/>
        <v>121</v>
      </c>
      <c r="AE183" s="403">
        <f t="shared" si="141"/>
        <v>-8.3333333333333329E-2</v>
      </c>
      <c r="AF183" s="403">
        <f t="shared" si="142"/>
        <v>4874.6408048206667</v>
      </c>
      <c r="AG183" s="403"/>
      <c r="AH183" s="403"/>
      <c r="AI183" s="403"/>
    </row>
    <row r="184" spans="2:35">
      <c r="B184" s="406" t="s">
        <v>731</v>
      </c>
      <c r="C184" s="317">
        <v>2009</v>
      </c>
      <c r="D184" s="317">
        <f t="shared" si="143"/>
        <v>109</v>
      </c>
      <c r="E184" s="317">
        <v>1</v>
      </c>
      <c r="F184" s="404">
        <v>0</v>
      </c>
      <c r="G184" s="396" t="s">
        <v>170</v>
      </c>
      <c r="H184" s="317">
        <v>10</v>
      </c>
      <c r="I184" s="317">
        <f t="shared" si="126"/>
        <v>119</v>
      </c>
      <c r="L184" s="695">
        <v>59050</v>
      </c>
      <c r="M184" s="403">
        <v>0</v>
      </c>
      <c r="N184" s="403">
        <f t="shared" si="127"/>
        <v>59050</v>
      </c>
      <c r="O184" s="403">
        <f t="shared" si="128"/>
        <v>492.08333333333331</v>
      </c>
      <c r="P184" s="403">
        <f t="shared" si="129"/>
        <v>0</v>
      </c>
      <c r="Q184" s="403">
        <f t="shared" si="130"/>
        <v>0</v>
      </c>
      <c r="R184" s="403">
        <f t="shared" si="131"/>
        <v>0</v>
      </c>
      <c r="S184" s="405">
        <f>+'WP -11 Non-Regulated'!$K$29</f>
        <v>0.47014773860644926</v>
      </c>
      <c r="T184" s="403">
        <f t="shared" si="132"/>
        <v>0</v>
      </c>
      <c r="U184" s="403">
        <f t="shared" si="133"/>
        <v>59050</v>
      </c>
      <c r="V184" s="403">
        <f t="shared" si="134"/>
        <v>27762.223964710829</v>
      </c>
      <c r="W184" s="405">
        <v>1</v>
      </c>
      <c r="X184" s="403">
        <f t="shared" si="135"/>
        <v>27762.223964710829</v>
      </c>
      <c r="Y184" s="403">
        <f t="shared" si="136"/>
        <v>27762.223964710829</v>
      </c>
      <c r="Z184" s="403">
        <f t="shared" si="144"/>
        <v>0</v>
      </c>
      <c r="AA184" s="403">
        <f t="shared" si="137"/>
        <v>109</v>
      </c>
      <c r="AB184" s="403">
        <f t="shared" si="138"/>
        <v>122</v>
      </c>
      <c r="AC184" s="403">
        <f t="shared" si="139"/>
        <v>119</v>
      </c>
      <c r="AD184" s="403">
        <f t="shared" si="140"/>
        <v>121</v>
      </c>
      <c r="AE184" s="403">
        <f t="shared" si="141"/>
        <v>-8.3333333333333329E-2</v>
      </c>
      <c r="AF184" s="403">
        <f t="shared" si="142"/>
        <v>31287.776035289171</v>
      </c>
      <c r="AG184" s="403"/>
      <c r="AH184" s="403"/>
      <c r="AI184" s="403"/>
    </row>
    <row r="185" spans="2:35">
      <c r="B185" s="406" t="s">
        <v>732</v>
      </c>
      <c r="C185" s="317">
        <v>2009</v>
      </c>
      <c r="D185" s="317">
        <f t="shared" si="143"/>
        <v>109</v>
      </c>
      <c r="E185" s="317">
        <v>4</v>
      </c>
      <c r="F185" s="404">
        <v>0</v>
      </c>
      <c r="G185" s="396" t="s">
        <v>170</v>
      </c>
      <c r="H185" s="317">
        <v>10</v>
      </c>
      <c r="I185" s="317">
        <f t="shared" si="126"/>
        <v>119</v>
      </c>
      <c r="L185" s="695">
        <v>18300</v>
      </c>
      <c r="M185" s="403">
        <v>0</v>
      </c>
      <c r="N185" s="403">
        <f t="shared" si="127"/>
        <v>18300</v>
      </c>
      <c r="O185" s="403">
        <f t="shared" si="128"/>
        <v>152.5</v>
      </c>
      <c r="P185" s="403">
        <f t="shared" si="129"/>
        <v>0</v>
      </c>
      <c r="Q185" s="403">
        <f t="shared" si="130"/>
        <v>0</v>
      </c>
      <c r="R185" s="403">
        <f t="shared" si="131"/>
        <v>0</v>
      </c>
      <c r="S185" s="405">
        <f>+'WP -11 Non-Regulated'!$K$29</f>
        <v>0.47014773860644926</v>
      </c>
      <c r="T185" s="403">
        <f t="shared" si="132"/>
        <v>0</v>
      </c>
      <c r="U185" s="403">
        <f t="shared" si="133"/>
        <v>18300</v>
      </c>
      <c r="V185" s="403">
        <f t="shared" si="134"/>
        <v>8603.7036164980218</v>
      </c>
      <c r="W185" s="405">
        <v>1</v>
      </c>
      <c r="X185" s="403">
        <f t="shared" si="135"/>
        <v>8603.7036164980218</v>
      </c>
      <c r="Y185" s="403">
        <f t="shared" si="136"/>
        <v>8603.7036164980218</v>
      </c>
      <c r="Z185" s="403">
        <f t="shared" si="144"/>
        <v>0</v>
      </c>
      <c r="AA185" s="403">
        <f t="shared" si="137"/>
        <v>109.25</v>
      </c>
      <c r="AB185" s="403">
        <f t="shared" si="138"/>
        <v>122</v>
      </c>
      <c r="AC185" s="403">
        <f t="shared" si="139"/>
        <v>119.25</v>
      </c>
      <c r="AD185" s="403">
        <f t="shared" si="140"/>
        <v>121</v>
      </c>
      <c r="AE185" s="403">
        <f t="shared" si="141"/>
        <v>-8.3333333333333329E-2</v>
      </c>
      <c r="AF185" s="403">
        <f t="shared" si="142"/>
        <v>9696.2963835019782</v>
      </c>
      <c r="AG185" s="403"/>
      <c r="AH185" s="403"/>
      <c r="AI185" s="403"/>
    </row>
    <row r="186" spans="2:35">
      <c r="B186" s="406" t="s">
        <v>725</v>
      </c>
      <c r="C186" s="317">
        <v>2012</v>
      </c>
      <c r="D186" s="317">
        <f t="shared" si="143"/>
        <v>112</v>
      </c>
      <c r="E186" s="317">
        <v>6</v>
      </c>
      <c r="F186" s="404">
        <v>0</v>
      </c>
      <c r="G186" s="396" t="s">
        <v>170</v>
      </c>
      <c r="H186" s="317">
        <v>10</v>
      </c>
      <c r="I186" s="317">
        <f t="shared" si="126"/>
        <v>122</v>
      </c>
      <c r="L186" s="695">
        <v>52040</v>
      </c>
      <c r="M186" s="403">
        <v>0</v>
      </c>
      <c r="N186" s="403">
        <f t="shared" si="127"/>
        <v>52040</v>
      </c>
      <c r="O186" s="403">
        <f t="shared" si="128"/>
        <v>433.66666666666669</v>
      </c>
      <c r="P186" s="403">
        <f t="shared" si="129"/>
        <v>5204</v>
      </c>
      <c r="Q186" s="403">
        <f t="shared" si="130"/>
        <v>0</v>
      </c>
      <c r="R186" s="403">
        <f t="shared" si="131"/>
        <v>5204</v>
      </c>
      <c r="S186" s="405">
        <f>+'WP -11 Non-Regulated'!$K$29</f>
        <v>0.47014773860644926</v>
      </c>
      <c r="T186" s="403">
        <f t="shared" si="132"/>
        <v>2446.648831707962</v>
      </c>
      <c r="U186" s="403">
        <f t="shared" si="133"/>
        <v>44667.666666666642</v>
      </c>
      <c r="V186" s="403">
        <f t="shared" si="134"/>
        <v>21000.402472159996</v>
      </c>
      <c r="W186" s="405">
        <v>1</v>
      </c>
      <c r="X186" s="403">
        <f t="shared" si="135"/>
        <v>21000.402472159996</v>
      </c>
      <c r="Y186" s="403">
        <f t="shared" si="136"/>
        <v>23447.051303867956</v>
      </c>
      <c r="Z186" s="403">
        <f t="shared" si="144"/>
        <v>2242.7614290656438</v>
      </c>
      <c r="AA186" s="403">
        <f t="shared" si="137"/>
        <v>112.41666666666667</v>
      </c>
      <c r="AB186" s="403">
        <f t="shared" si="138"/>
        <v>122</v>
      </c>
      <c r="AC186" s="403">
        <f t="shared" si="139"/>
        <v>122.41666666666667</v>
      </c>
      <c r="AD186" s="403">
        <f t="shared" si="140"/>
        <v>121</v>
      </c>
      <c r="AE186" s="403">
        <f t="shared" si="141"/>
        <v>-8.3333333333333329E-2</v>
      </c>
      <c r="AF186" s="403">
        <f t="shared" si="142"/>
        <v>27573.511682920383</v>
      </c>
      <c r="AG186" s="403"/>
      <c r="AH186" s="403"/>
      <c r="AI186" s="403"/>
    </row>
    <row r="187" spans="2:35">
      <c r="B187" s="406" t="s">
        <v>725</v>
      </c>
      <c r="C187" s="317">
        <v>2013</v>
      </c>
      <c r="D187" s="317">
        <f t="shared" si="143"/>
        <v>113</v>
      </c>
      <c r="E187" s="317">
        <v>4</v>
      </c>
      <c r="F187" s="404">
        <v>0</v>
      </c>
      <c r="G187" s="396" t="s">
        <v>170</v>
      </c>
      <c r="H187" s="317">
        <v>10</v>
      </c>
      <c r="I187" s="317">
        <f t="shared" si="126"/>
        <v>123</v>
      </c>
      <c r="L187" s="695">
        <v>147730</v>
      </c>
      <c r="M187" s="403">
        <v>0</v>
      </c>
      <c r="N187" s="403">
        <f t="shared" si="127"/>
        <v>147730</v>
      </c>
      <c r="O187" s="403">
        <f t="shared" si="128"/>
        <v>1231.0833333333333</v>
      </c>
      <c r="P187" s="403">
        <f t="shared" si="129"/>
        <v>14773</v>
      </c>
      <c r="Q187" s="403">
        <f t="shared" si="130"/>
        <v>0</v>
      </c>
      <c r="R187" s="403">
        <f t="shared" si="131"/>
        <v>14773</v>
      </c>
      <c r="S187" s="405">
        <f>+'WP -11 Non-Regulated'!$K$29</f>
        <v>0.47014773860644926</v>
      </c>
      <c r="T187" s="403">
        <f t="shared" si="132"/>
        <v>6945.492542433075</v>
      </c>
      <c r="U187" s="403">
        <f t="shared" si="133"/>
        <v>114490.75</v>
      </c>
      <c r="V187" s="403">
        <f t="shared" si="134"/>
        <v>53827.567203856328</v>
      </c>
      <c r="W187" s="405">
        <v>1</v>
      </c>
      <c r="X187" s="403">
        <f t="shared" si="135"/>
        <v>53827.567203856328</v>
      </c>
      <c r="Y187" s="403">
        <f t="shared" si="136"/>
        <v>60773.0597462894</v>
      </c>
      <c r="Z187" s="403">
        <f t="shared" si="144"/>
        <v>12154.611949257887</v>
      </c>
      <c r="AA187" s="403">
        <f t="shared" si="137"/>
        <v>113.25</v>
      </c>
      <c r="AB187" s="403">
        <f t="shared" si="138"/>
        <v>122</v>
      </c>
      <c r="AC187" s="403">
        <f t="shared" si="139"/>
        <v>123.25</v>
      </c>
      <c r="AD187" s="403">
        <f t="shared" si="140"/>
        <v>121</v>
      </c>
      <c r="AE187" s="403">
        <f t="shared" si="141"/>
        <v>-8.3333333333333329E-2</v>
      </c>
      <c r="AF187" s="403">
        <f t="shared" si="142"/>
        <v>78275.074575669249</v>
      </c>
      <c r="AG187" s="403"/>
      <c r="AH187" s="403"/>
      <c r="AI187" s="403"/>
    </row>
    <row r="188" spans="2:35">
      <c r="B188" s="406" t="s">
        <v>725</v>
      </c>
      <c r="C188" s="317">
        <v>2014</v>
      </c>
      <c r="D188" s="317">
        <f t="shared" si="143"/>
        <v>114</v>
      </c>
      <c r="E188" s="317">
        <v>3</v>
      </c>
      <c r="F188" s="404">
        <v>0</v>
      </c>
      <c r="G188" s="396" t="s">
        <v>170</v>
      </c>
      <c r="H188" s="317">
        <v>10</v>
      </c>
      <c r="I188" s="317">
        <f t="shared" si="126"/>
        <v>124</v>
      </c>
      <c r="L188" s="695">
        <v>204489</v>
      </c>
      <c r="M188" s="403">
        <v>0</v>
      </c>
      <c r="N188" s="403">
        <f t="shared" si="127"/>
        <v>204489</v>
      </c>
      <c r="O188" s="403">
        <f t="shared" si="128"/>
        <v>1704.075</v>
      </c>
      <c r="P188" s="403">
        <f t="shared" si="129"/>
        <v>20448.900000000001</v>
      </c>
      <c r="Q188" s="403">
        <f t="shared" si="130"/>
        <v>0</v>
      </c>
      <c r="R188" s="403">
        <f t="shared" si="131"/>
        <v>20448.900000000001</v>
      </c>
      <c r="S188" s="405">
        <f>+'WP -11 Non-Regulated'!$K$29</f>
        <v>0.47014773860644926</v>
      </c>
      <c r="T188" s="403">
        <f t="shared" si="132"/>
        <v>9614.0040919894218</v>
      </c>
      <c r="U188" s="403">
        <f t="shared" si="133"/>
        <v>139734.14999999991</v>
      </c>
      <c r="V188" s="403">
        <f t="shared" si="134"/>
        <v>65695.694628594327</v>
      </c>
      <c r="W188" s="405">
        <v>1</v>
      </c>
      <c r="X188" s="403">
        <f t="shared" si="135"/>
        <v>65695.694628594327</v>
      </c>
      <c r="Y188" s="403">
        <f t="shared" si="136"/>
        <v>75309.69872058375</v>
      </c>
      <c r="Z188" s="403">
        <f t="shared" si="144"/>
        <v>25637.344245305168</v>
      </c>
      <c r="AA188" s="403">
        <f t="shared" si="137"/>
        <v>114.16666666666667</v>
      </c>
      <c r="AB188" s="403">
        <f t="shared" si="138"/>
        <v>122</v>
      </c>
      <c r="AC188" s="403">
        <f t="shared" si="139"/>
        <v>124.16666666666667</v>
      </c>
      <c r="AD188" s="403">
        <f t="shared" si="140"/>
        <v>121</v>
      </c>
      <c r="AE188" s="403">
        <f t="shared" si="141"/>
        <v>-8.3333333333333329E-2</v>
      </c>
      <c r="AF188" s="403">
        <f t="shared" si="142"/>
        <v>108348.95908010579</v>
      </c>
      <c r="AG188" s="403"/>
      <c r="AH188" s="403"/>
      <c r="AI188" s="403"/>
    </row>
    <row r="189" spans="2:35">
      <c r="B189" s="406" t="s">
        <v>725</v>
      </c>
      <c r="C189" s="317">
        <v>2014</v>
      </c>
      <c r="D189" s="317">
        <f t="shared" si="143"/>
        <v>114</v>
      </c>
      <c r="E189" s="317">
        <v>6</v>
      </c>
      <c r="F189" s="404">
        <v>0</v>
      </c>
      <c r="G189" s="396" t="s">
        <v>170</v>
      </c>
      <c r="H189" s="317">
        <v>10</v>
      </c>
      <c r="I189" s="317">
        <f t="shared" si="126"/>
        <v>124</v>
      </c>
      <c r="L189" s="695">
        <v>61956</v>
      </c>
      <c r="M189" s="403">
        <v>0</v>
      </c>
      <c r="N189" s="403">
        <f t="shared" si="127"/>
        <v>61956</v>
      </c>
      <c r="O189" s="403">
        <f t="shared" si="128"/>
        <v>516.30000000000007</v>
      </c>
      <c r="P189" s="403">
        <f t="shared" si="129"/>
        <v>6195.6</v>
      </c>
      <c r="Q189" s="403">
        <f t="shared" si="130"/>
        <v>0</v>
      </c>
      <c r="R189" s="403">
        <f t="shared" si="131"/>
        <v>6195.6</v>
      </c>
      <c r="S189" s="405">
        <f>+'WP -11 Non-Regulated'!$K$29</f>
        <v>0.47014773860644926</v>
      </c>
      <c r="T189" s="403">
        <f t="shared" si="132"/>
        <v>2912.8473293101174</v>
      </c>
      <c r="U189" s="403">
        <f t="shared" si="133"/>
        <v>40787.699999999975</v>
      </c>
      <c r="V189" s="403">
        <f t="shared" si="134"/>
        <v>19176.244917958258</v>
      </c>
      <c r="W189" s="405">
        <v>1</v>
      </c>
      <c r="X189" s="403">
        <f t="shared" si="135"/>
        <v>19176.244917958258</v>
      </c>
      <c r="Y189" s="403">
        <f t="shared" si="136"/>
        <v>22089.092247268374</v>
      </c>
      <c r="Z189" s="403">
        <f t="shared" si="144"/>
        <v>8495.8047104878551</v>
      </c>
      <c r="AA189" s="403">
        <f t="shared" si="137"/>
        <v>114.41666666666667</v>
      </c>
      <c r="AB189" s="403">
        <f t="shared" si="138"/>
        <v>122</v>
      </c>
      <c r="AC189" s="403">
        <f t="shared" si="139"/>
        <v>124.41666666666667</v>
      </c>
      <c r="AD189" s="403">
        <f t="shared" si="140"/>
        <v>121</v>
      </c>
      <c r="AE189" s="403">
        <f t="shared" si="141"/>
        <v>-8.3333333333333329E-2</v>
      </c>
      <c r="AF189" s="403">
        <f t="shared" si="142"/>
        <v>32827.526706898825</v>
      </c>
      <c r="AG189" s="403"/>
      <c r="AH189" s="403"/>
      <c r="AI189" s="403"/>
    </row>
    <row r="190" spans="2:35">
      <c r="B190" s="406" t="s">
        <v>725</v>
      </c>
      <c r="C190" s="317">
        <v>2015</v>
      </c>
      <c r="D190" s="317">
        <f t="shared" si="143"/>
        <v>115</v>
      </c>
      <c r="E190" s="317">
        <v>2</v>
      </c>
      <c r="F190" s="404">
        <v>0</v>
      </c>
      <c r="G190" s="396" t="s">
        <v>170</v>
      </c>
      <c r="H190" s="317">
        <v>10</v>
      </c>
      <c r="I190" s="317">
        <f t="shared" si="126"/>
        <v>125</v>
      </c>
      <c r="L190" s="695">
        <v>126201</v>
      </c>
      <c r="M190" s="403">
        <v>0</v>
      </c>
      <c r="N190" s="403">
        <f t="shared" si="127"/>
        <v>126201</v>
      </c>
      <c r="O190" s="403">
        <f t="shared" si="128"/>
        <v>1051.675</v>
      </c>
      <c r="P190" s="403">
        <f t="shared" si="129"/>
        <v>12620.099999999999</v>
      </c>
      <c r="Q190" s="403">
        <f t="shared" si="130"/>
        <v>0</v>
      </c>
      <c r="R190" s="403">
        <f t="shared" si="131"/>
        <v>12620.099999999999</v>
      </c>
      <c r="S190" s="405">
        <f>+'WP -11 Non-Regulated'!$K$29</f>
        <v>0.47014773860644926</v>
      </c>
      <c r="T190" s="403">
        <f t="shared" si="132"/>
        <v>5933.3114759872497</v>
      </c>
      <c r="U190" s="403">
        <f t="shared" si="133"/>
        <v>74668.925000000061</v>
      </c>
      <c r="V190" s="403">
        <f t="shared" si="134"/>
        <v>35105.42623292459</v>
      </c>
      <c r="W190" s="405">
        <v>1</v>
      </c>
      <c r="X190" s="403">
        <f t="shared" si="135"/>
        <v>35105.42623292459</v>
      </c>
      <c r="Y190" s="403">
        <f t="shared" si="136"/>
        <v>41038.737708911838</v>
      </c>
      <c r="Z190" s="403">
        <f t="shared" si="144"/>
        <v>21261.032788954286</v>
      </c>
      <c r="AA190" s="403">
        <f t="shared" si="137"/>
        <v>115.08333333333333</v>
      </c>
      <c r="AB190" s="403">
        <f t="shared" si="138"/>
        <v>122</v>
      </c>
      <c r="AC190" s="403">
        <f t="shared" si="139"/>
        <v>125.08333333333333</v>
      </c>
      <c r="AD190" s="403">
        <f t="shared" si="140"/>
        <v>121</v>
      </c>
      <c r="AE190" s="403">
        <f t="shared" si="141"/>
        <v>-8.3333333333333329E-2</v>
      </c>
      <c r="AF190" s="403">
        <f t="shared" si="142"/>
        <v>66867.885240127507</v>
      </c>
      <c r="AG190" s="403"/>
      <c r="AH190" s="403"/>
      <c r="AI190" s="403"/>
    </row>
    <row r="191" spans="2:35">
      <c r="B191" s="406" t="s">
        <v>725</v>
      </c>
      <c r="C191" s="317">
        <v>2016</v>
      </c>
      <c r="D191" s="317">
        <f t="shared" si="143"/>
        <v>116</v>
      </c>
      <c r="E191" s="317">
        <v>1</v>
      </c>
      <c r="F191" s="404">
        <v>0</v>
      </c>
      <c r="G191" s="396" t="s">
        <v>170</v>
      </c>
      <c r="H191" s="317">
        <v>10</v>
      </c>
      <c r="I191" s="317">
        <f t="shared" si="126"/>
        <v>126</v>
      </c>
      <c r="L191" s="695">
        <v>111022</v>
      </c>
      <c r="M191" s="403">
        <v>0</v>
      </c>
      <c r="N191" s="403">
        <f t="shared" si="127"/>
        <v>111022</v>
      </c>
      <c r="O191" s="403">
        <f t="shared" si="128"/>
        <v>925.18333333333339</v>
      </c>
      <c r="P191" s="403">
        <f t="shared" si="129"/>
        <v>11102.2</v>
      </c>
      <c r="Q191" s="403">
        <f t="shared" si="130"/>
        <v>0</v>
      </c>
      <c r="R191" s="403">
        <f t="shared" si="131"/>
        <v>11102.2</v>
      </c>
      <c r="S191" s="405">
        <f>+'WP -11 Non-Regulated'!$K$29</f>
        <v>0.47014773860644926</v>
      </c>
      <c r="T191" s="403">
        <f t="shared" si="132"/>
        <v>5219.6742235565216</v>
      </c>
      <c r="U191" s="403">
        <f t="shared" si="133"/>
        <v>55511</v>
      </c>
      <c r="V191" s="403">
        <f t="shared" si="134"/>
        <v>26098.371117782604</v>
      </c>
      <c r="W191" s="405">
        <v>1</v>
      </c>
      <c r="X191" s="403">
        <f t="shared" si="135"/>
        <v>26098.371117782604</v>
      </c>
      <c r="Y191" s="403">
        <f t="shared" si="136"/>
        <v>31318.045341339126</v>
      </c>
      <c r="Z191" s="403">
        <f t="shared" si="144"/>
        <v>23488.534006004345</v>
      </c>
      <c r="AA191" s="403">
        <f t="shared" si="137"/>
        <v>116</v>
      </c>
      <c r="AB191" s="403">
        <f t="shared" si="138"/>
        <v>122</v>
      </c>
      <c r="AC191" s="403">
        <f t="shared" si="139"/>
        <v>126</v>
      </c>
      <c r="AD191" s="403">
        <f t="shared" si="140"/>
        <v>121</v>
      </c>
      <c r="AE191" s="403">
        <f t="shared" si="141"/>
        <v>-8.3333333333333329E-2</v>
      </c>
      <c r="AF191" s="403">
        <f t="shared" si="142"/>
        <v>58825.257764434784</v>
      </c>
      <c r="AG191" s="403"/>
      <c r="AH191" s="403"/>
      <c r="AI191" s="403"/>
    </row>
    <row r="192" spans="2:35">
      <c r="B192" s="406" t="s">
        <v>733</v>
      </c>
      <c r="C192" s="317">
        <v>2017</v>
      </c>
      <c r="D192" s="317">
        <f t="shared" si="143"/>
        <v>117</v>
      </c>
      <c r="E192" s="317">
        <v>3</v>
      </c>
      <c r="F192" s="404">
        <v>0</v>
      </c>
      <c r="G192" s="396" t="s">
        <v>170</v>
      </c>
      <c r="H192" s="317">
        <v>10</v>
      </c>
      <c r="I192" s="317">
        <f t="shared" si="126"/>
        <v>127</v>
      </c>
      <c r="L192" s="695">
        <v>193121</v>
      </c>
      <c r="M192" s="403">
        <v>0</v>
      </c>
      <c r="N192" s="403">
        <f t="shared" si="127"/>
        <v>193121</v>
      </c>
      <c r="O192" s="403">
        <f t="shared" si="128"/>
        <v>1609.3416666666665</v>
      </c>
      <c r="P192" s="403">
        <f t="shared" si="129"/>
        <v>19312.099999999999</v>
      </c>
      <c r="Q192" s="403">
        <f t="shared" si="130"/>
        <v>0</v>
      </c>
      <c r="R192" s="403">
        <f t="shared" si="131"/>
        <v>19312.099999999999</v>
      </c>
      <c r="S192" s="405">
        <f>+'WP -11 Non-Regulated'!$K$29</f>
        <v>0.47014773860644926</v>
      </c>
      <c r="T192" s="403">
        <f t="shared" si="132"/>
        <v>9079.5401427416073</v>
      </c>
      <c r="U192" s="403">
        <f t="shared" si="133"/>
        <v>74029.716666666573</v>
      </c>
      <c r="V192" s="403">
        <f t="shared" si="134"/>
        <v>34804.903880509453</v>
      </c>
      <c r="W192" s="405">
        <v>1</v>
      </c>
      <c r="X192" s="403">
        <f t="shared" si="135"/>
        <v>34804.903880509453</v>
      </c>
      <c r="Y192" s="403">
        <f t="shared" si="136"/>
        <v>43884.444023251061</v>
      </c>
      <c r="Z192" s="403">
        <f t="shared" si="144"/>
        <v>51450.72747553583</v>
      </c>
      <c r="AA192" s="403">
        <f t="shared" si="137"/>
        <v>117.16666666666667</v>
      </c>
      <c r="AB192" s="403">
        <f t="shared" si="138"/>
        <v>122</v>
      </c>
      <c r="AC192" s="403">
        <f t="shared" si="139"/>
        <v>127.16666666666667</v>
      </c>
      <c r="AD192" s="403">
        <f t="shared" si="140"/>
        <v>121</v>
      </c>
      <c r="AE192" s="403">
        <f t="shared" si="141"/>
        <v>-8.3333333333333329E-2</v>
      </c>
      <c r="AF192" s="403">
        <f t="shared" si="142"/>
        <v>102325.59857258393</v>
      </c>
      <c r="AG192" s="403"/>
      <c r="AH192" s="403"/>
      <c r="AI192" s="403"/>
    </row>
    <row r="193" spans="2:35">
      <c r="B193" s="406" t="s">
        <v>725</v>
      </c>
      <c r="C193" s="317">
        <v>2018</v>
      </c>
      <c r="D193" s="317">
        <f t="shared" si="143"/>
        <v>118</v>
      </c>
      <c r="E193" s="317">
        <v>12</v>
      </c>
      <c r="F193" s="404">
        <v>0</v>
      </c>
      <c r="G193" s="396" t="s">
        <v>170</v>
      </c>
      <c r="H193" s="317">
        <v>10</v>
      </c>
      <c r="I193" s="317">
        <f t="shared" si="126"/>
        <v>128</v>
      </c>
      <c r="L193" s="695">
        <v>355105</v>
      </c>
      <c r="M193" s="403">
        <v>0</v>
      </c>
      <c r="N193" s="403">
        <f t="shared" si="127"/>
        <v>355105</v>
      </c>
      <c r="O193" s="403">
        <f t="shared" si="128"/>
        <v>2959.2083333333335</v>
      </c>
      <c r="P193" s="403">
        <f t="shared" si="129"/>
        <v>35510.5</v>
      </c>
      <c r="Q193" s="403">
        <f t="shared" si="130"/>
        <v>0</v>
      </c>
      <c r="R193" s="403">
        <f t="shared" si="131"/>
        <v>35510.5</v>
      </c>
      <c r="S193" s="405">
        <f>+'WP -11 Non-Regulated'!$K$29</f>
        <v>0.47014773860644926</v>
      </c>
      <c r="T193" s="403">
        <f t="shared" si="132"/>
        <v>16695.181271784317</v>
      </c>
      <c r="U193" s="403">
        <f t="shared" si="133"/>
        <v>73980.208333333168</v>
      </c>
      <c r="V193" s="403">
        <f t="shared" si="134"/>
        <v>34781.627649550581</v>
      </c>
      <c r="W193" s="405">
        <v>1</v>
      </c>
      <c r="X193" s="403">
        <f t="shared" si="135"/>
        <v>34781.627649550581</v>
      </c>
      <c r="Y193" s="403">
        <f t="shared" si="136"/>
        <v>51476.808921334901</v>
      </c>
      <c r="Z193" s="403">
        <f t="shared" si="144"/>
        <v>123822.59443240042</v>
      </c>
      <c r="AA193" s="403">
        <f t="shared" si="137"/>
        <v>118.91666666666667</v>
      </c>
      <c r="AB193" s="403">
        <f t="shared" si="138"/>
        <v>122</v>
      </c>
      <c r="AC193" s="403">
        <f t="shared" si="139"/>
        <v>128.91666666666666</v>
      </c>
      <c r="AD193" s="403">
        <f t="shared" si="140"/>
        <v>121</v>
      </c>
      <c r="AE193" s="403">
        <f t="shared" si="141"/>
        <v>-8.3333333333333329E-2</v>
      </c>
      <c r="AF193" s="403">
        <f>L193-((X193+Y193)/2)-Z193</f>
        <v>188153.18728215684</v>
      </c>
      <c r="AG193" s="403"/>
      <c r="AH193" s="403"/>
      <c r="AI193" s="403"/>
    </row>
    <row r="194" spans="2:35">
      <c r="B194" s="406" t="s">
        <v>734</v>
      </c>
      <c r="C194" s="317">
        <v>2021</v>
      </c>
      <c r="D194" s="317">
        <f t="shared" si="143"/>
        <v>121</v>
      </c>
      <c r="E194" s="317">
        <v>7</v>
      </c>
      <c r="F194" s="404">
        <v>0</v>
      </c>
      <c r="G194" s="396" t="s">
        <v>170</v>
      </c>
      <c r="H194" s="317">
        <v>10</v>
      </c>
      <c r="I194" s="317">
        <f t="shared" si="126"/>
        <v>131</v>
      </c>
      <c r="L194" s="695">
        <v>167926.39999999999</v>
      </c>
      <c r="M194" s="403">
        <v>0</v>
      </c>
      <c r="N194" s="403">
        <f t="shared" si="127"/>
        <v>167926.39999999999</v>
      </c>
      <c r="O194" s="403">
        <f t="shared" si="128"/>
        <v>1399.3866666666665</v>
      </c>
      <c r="P194" s="403">
        <f t="shared" si="129"/>
        <v>8396.32</v>
      </c>
      <c r="Q194" s="403">
        <f t="shared" si="130"/>
        <v>0</v>
      </c>
      <c r="R194" s="403">
        <f t="shared" si="131"/>
        <v>8396.32</v>
      </c>
      <c r="S194" s="405">
        <f>+'WP -11 Non-Regulated'!$K$29</f>
        <v>0.47014773860644926</v>
      </c>
      <c r="T194" s="403">
        <f t="shared" si="132"/>
        <v>3947.510860616102</v>
      </c>
      <c r="U194" s="403">
        <f t="shared" si="133"/>
        <v>0</v>
      </c>
      <c r="V194" s="403">
        <f t="shared" si="134"/>
        <v>0</v>
      </c>
      <c r="W194" s="405">
        <v>1</v>
      </c>
      <c r="X194" s="403">
        <f t="shared" si="135"/>
        <v>0</v>
      </c>
      <c r="Y194" s="403">
        <f t="shared" si="136"/>
        <v>3947.510860616102</v>
      </c>
      <c r="Z194" s="403">
        <f t="shared" si="144"/>
        <v>37501.353175852964</v>
      </c>
      <c r="AA194" s="403">
        <f t="shared" si="137"/>
        <v>121.5</v>
      </c>
      <c r="AB194" s="403">
        <f t="shared" si="138"/>
        <v>122</v>
      </c>
      <c r="AC194" s="403">
        <f t="shared" si="139"/>
        <v>131.5</v>
      </c>
      <c r="AD194" s="403">
        <f t="shared" si="140"/>
        <v>121</v>
      </c>
      <c r="AE194" s="403">
        <f t="shared" si="141"/>
        <v>-8.3333333333333329E-2</v>
      </c>
      <c r="AF194" s="403">
        <f>L194-((X194+Y194)/2)-Z194</f>
        <v>128451.29139383897</v>
      </c>
      <c r="AG194" s="403"/>
      <c r="AH194" s="403"/>
      <c r="AI194" s="403"/>
    </row>
    <row r="195" spans="2:35" s="397" customFormat="1">
      <c r="B195" s="697" t="s">
        <v>770</v>
      </c>
      <c r="C195" s="397">
        <v>2022</v>
      </c>
      <c r="D195" s="397">
        <f t="shared" si="143"/>
        <v>122</v>
      </c>
      <c r="E195" s="397">
        <v>5</v>
      </c>
      <c r="F195" s="510">
        <v>0</v>
      </c>
      <c r="G195" s="511" t="s">
        <v>170</v>
      </c>
      <c r="H195" s="397">
        <v>10</v>
      </c>
      <c r="I195" s="397">
        <f t="shared" si="126"/>
        <v>132</v>
      </c>
      <c r="L195" s="698">
        <v>88638.68</v>
      </c>
      <c r="M195" s="512"/>
      <c r="N195" s="512">
        <f t="shared" si="127"/>
        <v>88638.68</v>
      </c>
      <c r="O195" s="512">
        <f t="shared" si="128"/>
        <v>738.65566666666655</v>
      </c>
      <c r="P195" s="512">
        <f t="shared" si="129"/>
        <v>0</v>
      </c>
      <c r="Q195" s="512">
        <f t="shared" si="130"/>
        <v>0</v>
      </c>
      <c r="R195" s="512">
        <f t="shared" si="131"/>
        <v>0</v>
      </c>
      <c r="S195" s="405">
        <f>+'WP -11 Non-Regulated'!$K$29</f>
        <v>0.47014773860644926</v>
      </c>
      <c r="T195" s="512">
        <f t="shared" si="132"/>
        <v>0</v>
      </c>
      <c r="U195" s="512">
        <f t="shared" si="133"/>
        <v>0</v>
      </c>
      <c r="V195" s="512">
        <f t="shared" si="134"/>
        <v>0</v>
      </c>
      <c r="W195" s="513">
        <v>1</v>
      </c>
      <c r="X195" s="512">
        <f t="shared" si="135"/>
        <v>0</v>
      </c>
      <c r="Y195" s="512">
        <f t="shared" si="136"/>
        <v>0</v>
      </c>
      <c r="Z195" s="512">
        <f t="shared" si="144"/>
        <v>20836.637477530348</v>
      </c>
      <c r="AA195" s="512">
        <f t="shared" si="137"/>
        <v>122.33333333333333</v>
      </c>
      <c r="AB195" s="512">
        <f t="shared" si="138"/>
        <v>122</v>
      </c>
      <c r="AC195" s="512">
        <f t="shared" si="139"/>
        <v>132.33333333333334</v>
      </c>
      <c r="AD195" s="512">
        <f t="shared" si="140"/>
        <v>121</v>
      </c>
      <c r="AE195" s="512">
        <f t="shared" si="141"/>
        <v>-8.3333333333333329E-2</v>
      </c>
      <c r="AF195" s="512">
        <f t="shared" ref="AF195" si="145">L195-((X195+Y195)/2)-Z195</f>
        <v>67802.042522469652</v>
      </c>
      <c r="AG195" s="512"/>
      <c r="AH195" s="512"/>
      <c r="AI195" s="512"/>
    </row>
    <row r="196" spans="2:35">
      <c r="B196" s="406"/>
      <c r="F196" s="404"/>
      <c r="G196" s="396"/>
      <c r="L196" s="695"/>
      <c r="M196" s="403"/>
      <c r="N196" s="403"/>
      <c r="O196" s="403"/>
      <c r="P196" s="403"/>
      <c r="Q196" s="403"/>
      <c r="R196" s="403"/>
      <c r="S196" s="405"/>
      <c r="T196" s="403"/>
      <c r="U196" s="403"/>
      <c r="V196" s="403"/>
      <c r="W196" s="405"/>
      <c r="X196" s="403"/>
      <c r="Y196" s="403"/>
      <c r="Z196" s="403"/>
      <c r="AA196" s="403">
        <f>$D196+(($E196-1)/12)</f>
        <v>-8.3333333333333329E-2</v>
      </c>
      <c r="AB196" s="403"/>
      <c r="AC196" s="403"/>
      <c r="AD196" s="403"/>
      <c r="AE196" s="403"/>
      <c r="AF196" s="403"/>
      <c r="AG196" s="403"/>
      <c r="AH196" s="403"/>
      <c r="AI196" s="403"/>
    </row>
    <row r="197" spans="2:35">
      <c r="B197" s="406"/>
      <c r="F197" s="404"/>
      <c r="G197" s="396"/>
      <c r="L197" s="695"/>
      <c r="M197" s="403"/>
      <c r="N197" s="403"/>
      <c r="O197" s="403"/>
      <c r="P197" s="403"/>
      <c r="Q197" s="403"/>
      <c r="R197" s="403"/>
      <c r="S197" s="405"/>
      <c r="T197" s="403"/>
      <c r="U197" s="403"/>
      <c r="V197" s="403"/>
      <c r="W197" s="405"/>
      <c r="X197" s="403"/>
      <c r="Y197" s="403"/>
      <c r="Z197" s="403"/>
      <c r="AA197" s="403"/>
      <c r="AB197" s="403"/>
      <c r="AC197" s="403"/>
      <c r="AD197" s="403"/>
      <c r="AE197" s="403"/>
      <c r="AF197" s="403"/>
      <c r="AG197" s="403"/>
      <c r="AH197" s="403"/>
      <c r="AI197" s="403"/>
    </row>
    <row r="198" spans="2:35">
      <c r="B198" s="406"/>
      <c r="F198" s="404"/>
      <c r="G198" s="396"/>
      <c r="L198" s="695"/>
      <c r="M198" s="403"/>
      <c r="N198" s="403"/>
      <c r="O198" s="403"/>
      <c r="P198" s="403"/>
      <c r="Q198" s="403"/>
      <c r="R198" s="403"/>
      <c r="S198" s="405"/>
      <c r="T198" s="403"/>
      <c r="U198" s="403"/>
      <c r="V198" s="403"/>
      <c r="W198" s="405"/>
      <c r="X198" s="403"/>
      <c r="Y198" s="403"/>
      <c r="Z198" s="403"/>
      <c r="AA198" s="403"/>
      <c r="AB198" s="403"/>
      <c r="AC198" s="403"/>
      <c r="AD198" s="403"/>
      <c r="AE198" s="403"/>
      <c r="AF198" s="403"/>
      <c r="AG198" s="403"/>
      <c r="AH198" s="403"/>
      <c r="AI198" s="403"/>
    </row>
    <row r="199" spans="2:35">
      <c r="B199" s="406"/>
      <c r="F199" s="404"/>
      <c r="G199" s="396"/>
      <c r="L199" s="695"/>
      <c r="M199" s="403"/>
      <c r="N199" s="403"/>
      <c r="O199" s="403"/>
      <c r="P199" s="403"/>
      <c r="Q199" s="403"/>
      <c r="R199" s="403"/>
      <c r="S199" s="405"/>
      <c r="T199" s="403"/>
      <c r="U199" s="403"/>
      <c r="V199" s="403"/>
      <c r="W199" s="405"/>
      <c r="X199" s="403"/>
      <c r="Y199" s="403"/>
      <c r="Z199" s="403"/>
      <c r="AA199" s="403"/>
      <c r="AB199" s="403"/>
      <c r="AC199" s="403"/>
      <c r="AD199" s="403"/>
      <c r="AE199" s="403"/>
      <c r="AF199" s="403"/>
      <c r="AG199" s="403"/>
      <c r="AH199" s="403"/>
      <c r="AI199" s="403"/>
    </row>
    <row r="200" spans="2:35">
      <c r="B200" s="317" t="s">
        <v>1052</v>
      </c>
      <c r="C200" s="317">
        <v>2021</v>
      </c>
      <c r="D200" s="317">
        <f>+C200-1900</f>
        <v>121</v>
      </c>
      <c r="E200" s="317">
        <v>1</v>
      </c>
      <c r="F200" s="404">
        <v>0</v>
      </c>
      <c r="G200" s="396" t="s">
        <v>170</v>
      </c>
      <c r="H200" s="317">
        <v>3</v>
      </c>
      <c r="I200" s="317">
        <f>D200+H200</f>
        <v>124</v>
      </c>
      <c r="L200" s="403">
        <f>SUM(L18:L23)+SUM(L25:L28)+SUM(L30:L34)-SUM(N18:N23)-SUM(N25:N28)-SUM(N30:N34)</f>
        <v>390794.99999999977</v>
      </c>
      <c r="M200" s="403"/>
      <c r="N200" s="417">
        <f>L200-(+L200*F200)</f>
        <v>390794.99999999977</v>
      </c>
      <c r="O200" s="417">
        <f>N200/H200/12</f>
        <v>10855.416666666661</v>
      </c>
      <c r="P200" s="417">
        <f>IF(Q200&gt;0,0,IF(OR(AA200&gt;AB200,AC200&lt;AD200),0,IF(AND(AC200&gt;=AD200,AC200&lt;=AB200),O200*((AC200-AD200)*12),IF(AND(AD200&lt;=AA200,AB200&gt;=AA200),((AB200-AA200)*12)*O200,IF(AC200&gt;AB200,12*O200,0)))))</f>
        <v>130264.99999999993</v>
      </c>
      <c r="Q200" s="403">
        <f>IF(M200=0,0,IF(AND(AE200&gt;=AD200,AE200&lt;=AC200),((AE200-AD200)*12)*O200,0))</f>
        <v>0</v>
      </c>
      <c r="R200" s="417">
        <f>IF(Q200&gt;0,Q200,P200)</f>
        <v>130264.99999999993</v>
      </c>
      <c r="S200" s="405">
        <f>+'WP -11 Non-Regulated'!$K$29</f>
        <v>0.47014773860644926</v>
      </c>
      <c r="T200" s="403">
        <f>S200*SUM(P200:Q200)</f>
        <v>61243.795169569079</v>
      </c>
      <c r="U200" s="417">
        <f>IF(AA200&gt;AB200,0,IF(AC200&lt;AD200,N200,IF(AND(AC200&gt;=AD200,AC200&lt;=AB200),(N200-R200),IF(AND(AD200&lt;=AA200,AB200&gt;=AA200),0,IF(AC200&gt;AB200,((AD200-AA200)*12)*O200,0)))))</f>
        <v>0</v>
      </c>
      <c r="V200" s="417">
        <f>U200*S200</f>
        <v>0</v>
      </c>
      <c r="W200" s="405">
        <v>1</v>
      </c>
      <c r="X200" s="417">
        <f>V200*W200</f>
        <v>0</v>
      </c>
      <c r="Y200" s="417">
        <f>IF(M200&gt;0,0,X200+T200*W200)*W200</f>
        <v>61243.795169569079</v>
      </c>
      <c r="Z200" s="403">
        <f>IF(M200&gt;0,(L200-X200)/2,IF(AA200&gt;=AD200,(((L200*S200)*W200)-Y200)/2,((((L200*S200)*W200)-X200)+(((L200*S200)*W200)-Y200))/2))</f>
        <v>61243.795169569072</v>
      </c>
      <c r="AA200" s="403">
        <f>$D200+(($E200-1)/12)</f>
        <v>121</v>
      </c>
      <c r="AB200" s="403">
        <f t="shared" si="120"/>
        <v>122</v>
      </c>
      <c r="AC200" s="403">
        <f>$I200+(($E200-1)/12)</f>
        <v>124</v>
      </c>
      <c r="AD200" s="403">
        <f t="shared" si="122"/>
        <v>121</v>
      </c>
      <c r="AE200" s="403">
        <f>$J200+(($K200-1)/12)</f>
        <v>-8.3333333333333329E-2</v>
      </c>
      <c r="AF200" s="403">
        <f>L200-((X200+Y200)/2)-Z200</f>
        <v>298929.30724564614</v>
      </c>
      <c r="AG200" s="403"/>
      <c r="AH200" s="403"/>
      <c r="AI200" s="403"/>
    </row>
    <row r="201" spans="2:35">
      <c r="B201" s="317" t="s">
        <v>763</v>
      </c>
      <c r="C201" s="317">
        <v>2019</v>
      </c>
      <c r="D201" s="317">
        <f>+C201-1900</f>
        <v>119</v>
      </c>
      <c r="E201" s="317">
        <v>1</v>
      </c>
      <c r="F201" s="404">
        <v>0</v>
      </c>
      <c r="G201" s="396" t="s">
        <v>170</v>
      </c>
      <c r="H201" s="317">
        <v>7</v>
      </c>
      <c r="I201" s="317">
        <f>D201+H201</f>
        <v>126</v>
      </c>
      <c r="L201" s="403">
        <v>39157.61</v>
      </c>
      <c r="M201" s="403">
        <v>0</v>
      </c>
      <c r="N201" s="417">
        <f>L201-(+L201*F201)</f>
        <v>39157.61</v>
      </c>
      <c r="O201" s="417">
        <f>N201/H201/12</f>
        <v>466.16202380952382</v>
      </c>
      <c r="P201" s="417">
        <f>IF(Q201&gt;0,0,IF(OR(AA201&gt;AB201,AC201&lt;AD201),0,IF(AND(AC201&gt;=AD201,AC201&lt;=AB201),O201*((AC201-AD201)*12),IF(AND(AD201&lt;=AA201,AB201&gt;=AA201),((AB201-AA201)*12)*O201,IF(AC201&gt;AB201,12*O201,0)))))</f>
        <v>5593.9442857142858</v>
      </c>
      <c r="Q201" s="403">
        <f>IF(M201=0,0,IF(AND(AE201&gt;=AD201,AE201&lt;=AC201),((AE201-AD201)*12)*O201,0))</f>
        <v>0</v>
      </c>
      <c r="R201" s="417">
        <f>IF(Q201&gt;0,Q201,P201)</f>
        <v>5593.9442857142858</v>
      </c>
      <c r="S201" s="405">
        <f>+'WP -11 Non-Regulated'!$K$29</f>
        <v>0.47014773860644926</v>
      </c>
      <c r="T201" s="403">
        <f>S201*SUM(P201:Q201)</f>
        <v>2629.9802558190404</v>
      </c>
      <c r="U201" s="417">
        <f>IF(AA201&gt;AB201,0,IF(AC201&lt;AD201,N201,IF(AND(AC201&gt;=AD201,AC201&lt;=AB201),(N201-R201),IF(AND(AD201&lt;=AA201,AB201&gt;=AA201),0,IF(AC201&gt;AB201,((AD201-AA201)*12)*O201,0)))))</f>
        <v>11187.888571428572</v>
      </c>
      <c r="V201" s="417">
        <f>U201*S201</f>
        <v>5259.9605116380808</v>
      </c>
      <c r="W201" s="405">
        <v>1</v>
      </c>
      <c r="X201" s="417">
        <f>V201*W201</f>
        <v>5259.9605116380808</v>
      </c>
      <c r="Y201" s="417">
        <f>IF(M201&gt;0,0,X201+T201*W201)*W201</f>
        <v>7889.9407674571212</v>
      </c>
      <c r="Z201" s="403">
        <f>IF(M201&gt;0,(L201-X201)/2,IF(AA201&gt;=AD201,(((L201*S201)*W201)-Y201)/2,((((L201*S201)*W201)-X201)+(((L201*S201)*W201)-Y201))/2))</f>
        <v>11834.911151185683</v>
      </c>
      <c r="AA201" s="403">
        <f>$D201+(($E201-1)/12)</f>
        <v>119</v>
      </c>
      <c r="AB201" s="403">
        <f t="shared" si="120"/>
        <v>122</v>
      </c>
      <c r="AC201" s="403">
        <f>$I201+(($E201-1)/12)</f>
        <v>126</v>
      </c>
      <c r="AD201" s="403">
        <f t="shared" si="122"/>
        <v>121</v>
      </c>
      <c r="AE201" s="403">
        <f>$J201+(($K201-1)/12)</f>
        <v>-8.3333333333333329E-2</v>
      </c>
      <c r="AF201" s="403">
        <f>L201-((X201+Y201)/2)-Z201</f>
        <v>20747.748209266716</v>
      </c>
      <c r="AG201" s="403"/>
      <c r="AH201" s="403"/>
      <c r="AI201" s="403"/>
    </row>
    <row r="202" spans="2:35">
      <c r="B202" s="317" t="s">
        <v>764</v>
      </c>
      <c r="C202" s="317">
        <v>2021</v>
      </c>
      <c r="D202" s="317">
        <f>+C202-1900</f>
        <v>121</v>
      </c>
      <c r="E202" s="317">
        <v>6</v>
      </c>
      <c r="F202" s="404">
        <v>0</v>
      </c>
      <c r="G202" s="396" t="s">
        <v>170</v>
      </c>
      <c r="H202" s="317">
        <v>5</v>
      </c>
      <c r="I202" s="317">
        <f>D202+H202</f>
        <v>126</v>
      </c>
      <c r="L202" s="403">
        <v>1658.16</v>
      </c>
      <c r="M202" s="403">
        <v>0</v>
      </c>
      <c r="N202" s="417">
        <f>L202-(+L202*F202)</f>
        <v>1658.16</v>
      </c>
      <c r="O202" s="417">
        <f>N202/H202/12</f>
        <v>27.635999999999999</v>
      </c>
      <c r="P202" s="417">
        <f>IF(Q202&gt;0,0,IF(OR(AA202&gt;AB202,AC202&lt;AD202),0,IF(AND(AC202&gt;=AD202,AC202&lt;=AB202),O202*((AC202-AD202)*12),IF(AND(AD202&lt;=AA202,AB202&gt;=AA202),((AB202-AA202)*12)*O202,IF(AC202&gt;AB202,12*O202,0)))))</f>
        <v>193.45199999999843</v>
      </c>
      <c r="Q202" s="403">
        <f>IF(M202=0,0,IF(AND(AE202&gt;=AD202,AE202&lt;=AC202),((AE202-AD202)*12)*O202,0))</f>
        <v>0</v>
      </c>
      <c r="R202" s="417">
        <f>IF(Q202&gt;0,Q202,P202)</f>
        <v>193.45199999999843</v>
      </c>
      <c r="S202" s="405">
        <f>+'WP -11 Non-Regulated'!$K$29</f>
        <v>0.47014773860644926</v>
      </c>
      <c r="T202" s="403">
        <f>S202*SUM(P202:Q202)</f>
        <v>90.951020328894089</v>
      </c>
      <c r="U202" s="417">
        <f>IF(AA202&gt;AB202,0,IF(AC202&lt;AD202,N202,IF(AND(AC202&gt;=AD202,AC202&lt;=AB202),(N202-R202),IF(AND(AD202&lt;=AA202,AB202&gt;=AA202),0,IF(AC202&gt;AB202,((AD202-AA202)*12)*O202,0)))))</f>
        <v>0</v>
      </c>
      <c r="V202" s="417">
        <f>U202*S202</f>
        <v>0</v>
      </c>
      <c r="W202" s="405">
        <v>1</v>
      </c>
      <c r="X202" s="417">
        <f>V202*W202</f>
        <v>0</v>
      </c>
      <c r="Y202" s="417">
        <f>IF(M202&gt;0,0,X202+T202*W202)*W202</f>
        <v>90.951020328894089</v>
      </c>
      <c r="Z202" s="403">
        <f>IF(M202&gt;0,(L202-X202)/2,IF(AA202&gt;=AD202,(((L202*S202)*W202)-Y202)/2,((((L202*S202)*W202)-X202)+(((L202*S202)*W202)-Y202))/2))</f>
        <v>344.31457695938792</v>
      </c>
      <c r="AA202" s="403">
        <f>$D202+(($E202-1)/12)</f>
        <v>121.41666666666667</v>
      </c>
      <c r="AB202" s="403">
        <f t="shared" si="120"/>
        <v>122</v>
      </c>
      <c r="AC202" s="403">
        <f>$I202+(($E202-1)/12)</f>
        <v>126.41666666666667</v>
      </c>
      <c r="AD202" s="403">
        <f t="shared" si="122"/>
        <v>121</v>
      </c>
      <c r="AE202" s="403">
        <f>$J202+(($K202-1)/12)</f>
        <v>-8.3333333333333329E-2</v>
      </c>
      <c r="AF202" s="403">
        <f>L202-((X202+Y202)/2)-Z202</f>
        <v>1268.369912876165</v>
      </c>
      <c r="AG202" s="403"/>
      <c r="AH202" s="403"/>
      <c r="AI202" s="403"/>
    </row>
    <row r="203" spans="2:35" s="397" customFormat="1">
      <c r="B203" s="397" t="s">
        <v>1053</v>
      </c>
      <c r="C203" s="397">
        <v>2022</v>
      </c>
      <c r="D203" s="397">
        <f>+C203-1900</f>
        <v>122</v>
      </c>
      <c r="E203" s="397">
        <v>5</v>
      </c>
      <c r="F203" s="510">
        <v>0</v>
      </c>
      <c r="G203" s="511" t="s">
        <v>170</v>
      </c>
      <c r="H203" s="397">
        <v>5</v>
      </c>
      <c r="I203" s="397">
        <f>D203+H203</f>
        <v>127</v>
      </c>
      <c r="L203" s="512">
        <v>2540.0300000000002</v>
      </c>
      <c r="M203" s="512">
        <v>0</v>
      </c>
      <c r="N203" s="726">
        <f>L203-(+L203*F203)</f>
        <v>2540.0300000000002</v>
      </c>
      <c r="O203" s="726">
        <f>N203/H203/12</f>
        <v>42.333833333333338</v>
      </c>
      <c r="P203" s="512">
        <f>IF(Q203&gt;0,0,IF(OR(AA203&gt;AB203,AC203&lt;AD203),0,IF(AND(AC203&gt;=AD203,AC203&lt;=AB203),O203*((AC203-AD203)*12),IF(AND(AD203&lt;=AA203,AB203&gt;=AA203),((AB203-AA203)*12)*O203,IF(AC203&gt;AB203,12*O203,0)))))</f>
        <v>0</v>
      </c>
      <c r="Q203" s="512">
        <f>IF(M203=0,0,IF(AND(AE203&gt;=AD203,AE203&lt;=AC203),((AE203-AD203)*12)*O203,0))</f>
        <v>0</v>
      </c>
      <c r="R203" s="726">
        <f>IF(Q203&gt;0,Q203,P203)</f>
        <v>0</v>
      </c>
      <c r="S203" s="513">
        <f>+'WP -11 Non-Regulated'!$K$29</f>
        <v>0.47014773860644926</v>
      </c>
      <c r="T203" s="512">
        <f>S203*SUM(P203:Q203)</f>
        <v>0</v>
      </c>
      <c r="U203" s="512">
        <f>IF(AA203&gt;AB203,0,IF(AC203&lt;AD203,N203,IF(AND(AC203&gt;=AD203,AC203&lt;=AB203),(N203-R203),IF(AND(AD203&lt;=AA203,AB203&gt;=AA203),0,IF(AC203&gt;AB203,((AD203-AA203)*12)*O203,0)))))</f>
        <v>0</v>
      </c>
      <c r="V203" s="512">
        <f>U203*S203</f>
        <v>0</v>
      </c>
      <c r="W203" s="513">
        <v>1</v>
      </c>
      <c r="X203" s="726">
        <f>V203*W203</f>
        <v>0</v>
      </c>
      <c r="Y203" s="726">
        <f>IF(M203&gt;0,0,X203+T203*W203)*W203</f>
        <v>0</v>
      </c>
      <c r="Z203" s="512">
        <f>IF(M203&gt;0,(L203-X203)/2,IF(AA203&gt;=AD203,(((L203*S203)*W203)-Y203)/2,((((L203*S203)*W203)-X203)+(((L203*S203)*W203)-Y203))/2))</f>
        <v>597.09468024626972</v>
      </c>
      <c r="AA203" s="512">
        <f>$D203+(($E203-1)/12)</f>
        <v>122.33333333333333</v>
      </c>
      <c r="AB203" s="512">
        <f t="shared" si="120"/>
        <v>122</v>
      </c>
      <c r="AC203" s="512">
        <f>$I203+(($E203-1)/12)</f>
        <v>127.33333333333333</v>
      </c>
      <c r="AD203" s="512">
        <f t="shared" si="122"/>
        <v>121</v>
      </c>
      <c r="AE203" s="512">
        <f>$J203+(($K203-1)/12)</f>
        <v>-8.3333333333333329E-2</v>
      </c>
      <c r="AF203" s="512">
        <f>L203-((X203+Y203)/2)-Z203</f>
        <v>1942.9353197537305</v>
      </c>
      <c r="AG203" s="512"/>
      <c r="AH203" s="512"/>
      <c r="AI203" s="512"/>
    </row>
    <row r="204" spans="2:35">
      <c r="F204" s="404"/>
      <c r="G204" s="396"/>
      <c r="L204" s="407"/>
      <c r="M204" s="403"/>
      <c r="N204" s="407"/>
      <c r="O204" s="407"/>
      <c r="P204" s="407"/>
      <c r="Q204" s="407"/>
      <c r="R204" s="407"/>
      <c r="S204" s="405"/>
      <c r="T204" s="407"/>
      <c r="U204" s="407"/>
      <c r="V204" s="407"/>
      <c r="W204" s="405"/>
      <c r="X204" s="407"/>
      <c r="Y204" s="407"/>
      <c r="Z204" s="407"/>
      <c r="AA204" s="403"/>
      <c r="AB204" s="403"/>
      <c r="AC204" s="403"/>
      <c r="AD204" s="403"/>
      <c r="AE204" s="403"/>
      <c r="AF204" s="407"/>
      <c r="AG204" s="403"/>
      <c r="AH204" s="403"/>
      <c r="AI204" s="403"/>
    </row>
    <row r="205" spans="2:35">
      <c r="B205" s="409" t="s">
        <v>171</v>
      </c>
      <c r="F205" s="404"/>
      <c r="G205" s="396"/>
      <c r="L205" s="403">
        <f>SUM(L176:L202)-L195</f>
        <v>2224264.1699999995</v>
      </c>
      <c r="M205" s="403"/>
      <c r="N205" s="403">
        <f>SUM(N176:N202)-N195</f>
        <v>2224264.1699999995</v>
      </c>
      <c r="O205" s="403">
        <f t="shared" ref="O205:Z205" si="146">SUM(O176:O202)-O195</f>
        <v>26287.993023809518</v>
      </c>
      <c r="P205" s="403">
        <f t="shared" si="146"/>
        <v>269615.1162857142</v>
      </c>
      <c r="Q205" s="403"/>
      <c r="R205" s="403">
        <f t="shared" si="146"/>
        <v>269615.1162857142</v>
      </c>
      <c r="S205" s="403"/>
      <c r="T205" s="403">
        <f t="shared" si="146"/>
        <v>126758.93721584338</v>
      </c>
      <c r="U205" s="403">
        <f t="shared" si="146"/>
        <v>1002121.0052380948</v>
      </c>
      <c r="V205" s="403">
        <f t="shared" si="146"/>
        <v>471144.92442271195</v>
      </c>
      <c r="W205" s="403"/>
      <c r="X205" s="403">
        <f t="shared" si="146"/>
        <v>471144.92442271195</v>
      </c>
      <c r="Y205" s="403">
        <f t="shared" si="146"/>
        <v>597903.8616385553</v>
      </c>
      <c r="Z205" s="403">
        <f t="shared" si="146"/>
        <v>379477.78511057858</v>
      </c>
      <c r="AA205" s="403"/>
      <c r="AB205" s="403"/>
      <c r="AC205" s="403"/>
      <c r="AD205" s="403"/>
      <c r="AE205" s="403"/>
      <c r="AF205" s="403">
        <f>SUM(AF176:AF202)</f>
        <v>1378064.0343812569</v>
      </c>
      <c r="AG205" s="403"/>
      <c r="AH205" s="403"/>
      <c r="AI205" s="403"/>
    </row>
    <row r="206" spans="2:35">
      <c r="B206" s="409"/>
      <c r="F206" s="404"/>
      <c r="G206" s="396"/>
      <c r="L206" s="403"/>
      <c r="M206" s="403"/>
      <c r="N206" s="403"/>
      <c r="O206" s="403"/>
      <c r="P206" s="403"/>
      <c r="Q206" s="403"/>
      <c r="R206" s="403"/>
      <c r="S206" s="403"/>
      <c r="T206" s="403"/>
      <c r="U206" s="403"/>
      <c r="V206" s="403"/>
      <c r="W206" s="403"/>
      <c r="X206" s="403"/>
      <c r="Y206" s="403"/>
      <c r="Z206" s="403"/>
      <c r="AA206" s="403"/>
      <c r="AB206" s="403"/>
      <c r="AC206" s="403"/>
      <c r="AD206" s="403"/>
      <c r="AE206" s="403"/>
      <c r="AF206" s="403"/>
      <c r="AG206" s="403"/>
      <c r="AH206" s="403"/>
      <c r="AI206" s="403"/>
    </row>
    <row r="207" spans="2:35" ht="16.5" thickBot="1">
      <c r="B207" s="319" t="s">
        <v>386</v>
      </c>
      <c r="K207" s="410" t="s">
        <v>205</v>
      </c>
      <c r="L207" s="411">
        <f>SUM(L205:L206)</f>
        <v>2224264.1699999995</v>
      </c>
      <c r="M207" s="403"/>
      <c r="N207" s="411">
        <f>SUM(N205:N206)</f>
        <v>2224264.1699999995</v>
      </c>
      <c r="O207" s="411">
        <f>SUM(O205:O206)</f>
        <v>26287.993023809518</v>
      </c>
      <c r="P207" s="411">
        <f>SUM(P205:P206)</f>
        <v>269615.1162857142</v>
      </c>
      <c r="Q207" s="411"/>
      <c r="R207" s="411">
        <f>SUM(R205:R206)</f>
        <v>269615.1162857142</v>
      </c>
      <c r="S207" s="412"/>
      <c r="T207" s="411">
        <f>SUM(T205:T206)</f>
        <v>126758.93721584338</v>
      </c>
      <c r="U207" s="411">
        <f>SUM(U205:U206)</f>
        <v>1002121.0052380948</v>
      </c>
      <c r="V207" s="411">
        <f>SUM(V205:V206)</f>
        <v>471144.92442271195</v>
      </c>
      <c r="W207" s="412"/>
      <c r="X207" s="411">
        <f>SUM(X205:X206)</f>
        <v>471144.92442271195</v>
      </c>
      <c r="Y207" s="411">
        <f>SUM(Y205:Y206)</f>
        <v>597903.8616385553</v>
      </c>
      <c r="Z207" s="411">
        <f>SUM(Z205:Z206)</f>
        <v>379477.78511057858</v>
      </c>
      <c r="AA207" s="403"/>
      <c r="AB207" s="403"/>
      <c r="AC207" s="403"/>
      <c r="AD207" s="403"/>
      <c r="AE207" s="403"/>
      <c r="AF207" s="811">
        <f>SUM(AF205:AF206)</f>
        <v>1378064.0343812569</v>
      </c>
      <c r="AG207" s="403"/>
      <c r="AH207" s="403"/>
      <c r="AI207" s="403"/>
    </row>
    <row r="208" spans="2:35" ht="16.5" thickTop="1">
      <c r="B208" s="319"/>
      <c r="L208" s="403"/>
      <c r="M208" s="403"/>
      <c r="N208" s="403"/>
      <c r="O208" s="403"/>
      <c r="P208" s="403"/>
      <c r="Q208" s="403"/>
      <c r="R208" s="403"/>
      <c r="S208" s="405"/>
      <c r="T208" s="403"/>
      <c r="U208" s="403"/>
      <c r="V208" s="403"/>
      <c r="W208" s="403"/>
      <c r="X208" s="403"/>
      <c r="Y208" s="403"/>
      <c r="Z208" s="403"/>
      <c r="AA208" s="403"/>
      <c r="AB208" s="403"/>
      <c r="AC208" s="403"/>
      <c r="AD208" s="403"/>
      <c r="AE208" s="403"/>
      <c r="AF208" s="403"/>
      <c r="AG208" s="403"/>
      <c r="AH208" s="403"/>
      <c r="AI208" s="403"/>
    </row>
    <row r="209" spans="2:35">
      <c r="L209" s="403"/>
      <c r="M209" s="403"/>
      <c r="N209" s="403"/>
      <c r="O209" s="403"/>
      <c r="P209" s="403"/>
      <c r="Q209" s="403"/>
      <c r="R209" s="403"/>
      <c r="T209" s="403"/>
      <c r="U209" s="403"/>
      <c r="V209" s="403"/>
      <c r="W209" s="412"/>
      <c r="X209" s="403"/>
      <c r="Y209" s="403"/>
      <c r="Z209" s="403"/>
      <c r="AA209" s="403"/>
      <c r="AB209" s="403"/>
      <c r="AC209" s="403"/>
      <c r="AD209" s="403"/>
      <c r="AE209" s="403"/>
      <c r="AF209" s="403"/>
      <c r="AG209" s="403"/>
      <c r="AH209" s="403"/>
      <c r="AI209" s="403"/>
    </row>
    <row r="210" spans="2:35">
      <c r="B210" s="854" t="s">
        <v>412</v>
      </c>
      <c r="C210" s="854"/>
      <c r="L210" s="403"/>
      <c r="M210" s="403"/>
      <c r="N210" s="403"/>
      <c r="O210" s="403"/>
      <c r="P210" s="403"/>
      <c r="Q210" s="403"/>
      <c r="R210" s="403"/>
      <c r="T210" s="403"/>
      <c r="U210" s="403"/>
      <c r="V210" s="403"/>
      <c r="X210" s="403"/>
      <c r="Y210" s="403"/>
      <c r="Z210" s="403"/>
      <c r="AA210" s="403"/>
      <c r="AB210" s="403"/>
      <c r="AC210" s="403"/>
      <c r="AD210" s="403"/>
      <c r="AE210" s="403"/>
      <c r="AF210" s="403"/>
      <c r="AG210" s="403"/>
      <c r="AH210" s="403"/>
      <c r="AI210" s="403"/>
    </row>
    <row r="211" spans="2:35">
      <c r="B211" s="409" t="s">
        <v>1057</v>
      </c>
      <c r="C211" s="699">
        <f>(+O99+O98+O97+O96+O95+O94+O203)*S94</f>
        <v>4831.2242365916154</v>
      </c>
      <c r="L211" s="403"/>
      <c r="M211" s="403"/>
      <c r="N211" s="403"/>
      <c r="O211" s="403"/>
      <c r="P211" s="403"/>
      <c r="Q211" s="403"/>
      <c r="R211" s="403"/>
      <c r="S211" s="412"/>
      <c r="T211" s="403"/>
      <c r="U211" s="403"/>
      <c r="V211" s="403"/>
      <c r="W211" s="412"/>
      <c r="X211" s="403"/>
      <c r="Y211" s="403"/>
      <c r="Z211" s="403"/>
      <c r="AA211" s="403"/>
      <c r="AB211" s="403"/>
      <c r="AC211" s="403"/>
      <c r="AD211" s="403"/>
      <c r="AE211" s="403"/>
      <c r="AF211" s="403"/>
      <c r="AG211" s="403"/>
      <c r="AH211" s="403"/>
      <c r="AI211" s="403"/>
    </row>
    <row r="212" spans="2:35">
      <c r="B212" s="409" t="s">
        <v>413</v>
      </c>
      <c r="C212" s="700">
        <v>12</v>
      </c>
      <c r="L212" s="403"/>
      <c r="M212" s="403"/>
      <c r="N212" s="403"/>
      <c r="O212" s="403"/>
      <c r="P212" s="403"/>
      <c r="Q212" s="403"/>
      <c r="R212" s="403"/>
      <c r="S212" s="403"/>
      <c r="T212" s="403"/>
      <c r="U212" s="403"/>
      <c r="V212" s="403"/>
      <c r="W212" s="403"/>
      <c r="X212" s="403"/>
      <c r="Y212" s="403"/>
      <c r="Z212" s="403"/>
      <c r="AA212" s="403"/>
      <c r="AB212" s="403"/>
      <c r="AC212" s="403"/>
      <c r="AD212" s="403"/>
      <c r="AE212" s="403"/>
      <c r="AF212" s="403"/>
      <c r="AG212" s="403"/>
      <c r="AH212" s="403"/>
      <c r="AI212" s="403"/>
    </row>
    <row r="213" spans="2:35">
      <c r="B213" s="409" t="s">
        <v>414</v>
      </c>
      <c r="C213" s="699">
        <f>+C211*C212</f>
        <v>57974.690839099385</v>
      </c>
      <c r="L213" s="403"/>
      <c r="M213" s="403"/>
      <c r="N213" s="403"/>
      <c r="O213" s="403"/>
      <c r="P213" s="403"/>
      <c r="Q213" s="403"/>
      <c r="R213" s="403"/>
      <c r="T213" s="403"/>
      <c r="U213" s="403"/>
      <c r="V213" s="403"/>
      <c r="X213" s="403"/>
      <c r="Y213" s="403"/>
      <c r="Z213" s="403"/>
      <c r="AA213" s="403"/>
      <c r="AB213" s="403"/>
      <c r="AC213" s="403"/>
      <c r="AD213" s="403"/>
      <c r="AE213" s="403"/>
      <c r="AF213" s="403"/>
      <c r="AG213" s="403"/>
      <c r="AH213" s="403"/>
      <c r="AI213" s="403"/>
    </row>
    <row r="214" spans="2:35">
      <c r="L214" s="403"/>
      <c r="M214" s="403"/>
      <c r="N214" s="403"/>
      <c r="O214" s="403"/>
      <c r="P214" s="403"/>
      <c r="Q214" s="403"/>
      <c r="R214" s="403"/>
      <c r="T214" s="403"/>
      <c r="U214" s="403"/>
      <c r="V214" s="403"/>
      <c r="X214" s="403"/>
      <c r="Y214" s="403"/>
      <c r="Z214" s="403"/>
      <c r="AA214" s="403"/>
      <c r="AB214" s="403"/>
      <c r="AC214" s="403"/>
      <c r="AD214" s="403"/>
      <c r="AE214" s="403"/>
      <c r="AF214" s="403"/>
      <c r="AG214" s="403"/>
      <c r="AH214" s="403"/>
      <c r="AI214" s="403"/>
    </row>
    <row r="215" spans="2:35">
      <c r="B215" s="409" t="s">
        <v>1096</v>
      </c>
      <c r="C215" s="715">
        <f>+O203*S203</f>
        <v>19.903156008208992</v>
      </c>
      <c r="L215" s="403"/>
      <c r="M215" s="403"/>
      <c r="N215" s="403"/>
      <c r="O215" s="403"/>
      <c r="P215" s="403"/>
      <c r="Q215" s="403"/>
      <c r="R215" s="403"/>
      <c r="T215" s="403"/>
      <c r="U215" s="403"/>
      <c r="V215" s="403"/>
      <c r="X215" s="403"/>
      <c r="Y215" s="403"/>
      <c r="Z215" s="403"/>
      <c r="AA215" s="403"/>
      <c r="AB215" s="403"/>
      <c r="AC215" s="403"/>
      <c r="AD215" s="403"/>
      <c r="AE215" s="403"/>
      <c r="AF215" s="403"/>
      <c r="AG215" s="403"/>
      <c r="AH215" s="403"/>
      <c r="AI215" s="403"/>
    </row>
    <row r="216" spans="2:35">
      <c r="B216" s="409" t="s">
        <v>413</v>
      </c>
      <c r="C216" s="740">
        <v>12</v>
      </c>
      <c r="L216" s="403"/>
      <c r="M216" s="403"/>
      <c r="N216" s="403"/>
      <c r="O216" s="403"/>
      <c r="P216" s="403"/>
      <c r="Q216" s="403"/>
      <c r="R216" s="403"/>
      <c r="T216" s="403"/>
      <c r="U216" s="403"/>
      <c r="V216" s="403"/>
      <c r="W216" s="412"/>
      <c r="X216" s="403"/>
      <c r="Y216" s="403"/>
      <c r="Z216" s="403"/>
      <c r="AA216" s="403"/>
      <c r="AB216" s="403"/>
      <c r="AC216" s="403"/>
      <c r="AD216" s="403"/>
      <c r="AE216" s="403"/>
      <c r="AF216" s="403"/>
      <c r="AG216" s="403"/>
      <c r="AH216" s="403"/>
      <c r="AI216" s="403"/>
    </row>
    <row r="217" spans="2:35">
      <c r="B217" s="409" t="s">
        <v>414</v>
      </c>
      <c r="C217" s="715">
        <f>+C215*C216</f>
        <v>238.83787209850789</v>
      </c>
      <c r="L217" s="403"/>
      <c r="M217" s="403"/>
      <c r="N217" s="403"/>
      <c r="O217" s="403"/>
      <c r="P217" s="403"/>
      <c r="Q217" s="403"/>
      <c r="R217" s="403"/>
      <c r="T217" s="403"/>
      <c r="U217" s="403"/>
      <c r="V217" s="403"/>
      <c r="W217" s="412"/>
      <c r="X217" s="403"/>
      <c r="Y217" s="403"/>
      <c r="Z217" s="403"/>
      <c r="AA217" s="403"/>
      <c r="AB217" s="403"/>
      <c r="AC217" s="403"/>
      <c r="AD217" s="403"/>
      <c r="AE217" s="403"/>
      <c r="AF217" s="403"/>
      <c r="AG217" s="403"/>
      <c r="AH217" s="403"/>
      <c r="AI217" s="403"/>
    </row>
    <row r="218" spans="2:35">
      <c r="L218" s="403"/>
      <c r="M218" s="403"/>
      <c r="N218" s="403"/>
      <c r="O218" s="403"/>
      <c r="P218" s="403"/>
      <c r="Q218" s="403"/>
      <c r="R218" s="403"/>
      <c r="T218" s="403"/>
      <c r="U218" s="403"/>
      <c r="V218" s="403"/>
      <c r="X218" s="403"/>
      <c r="Y218" s="403"/>
      <c r="Z218" s="403"/>
      <c r="AA218" s="403"/>
      <c r="AB218" s="403"/>
      <c r="AC218" s="403"/>
      <c r="AD218" s="403"/>
      <c r="AE218" s="403"/>
      <c r="AF218" s="403"/>
      <c r="AG218" s="403"/>
      <c r="AH218" s="403"/>
      <c r="AI218" s="403"/>
    </row>
    <row r="219" spans="2:35">
      <c r="L219" s="403"/>
      <c r="M219" s="403"/>
      <c r="N219" s="403"/>
      <c r="O219" s="403"/>
      <c r="P219" s="403"/>
      <c r="Q219" s="403"/>
      <c r="R219" s="403"/>
      <c r="T219" s="403"/>
      <c r="U219" s="403"/>
      <c r="V219" s="403"/>
      <c r="X219" s="403"/>
      <c r="Y219" s="403"/>
      <c r="Z219" s="403"/>
      <c r="AA219" s="403"/>
      <c r="AB219" s="403"/>
      <c r="AC219" s="403"/>
      <c r="AD219" s="403"/>
      <c r="AE219" s="403"/>
      <c r="AF219" s="403"/>
      <c r="AG219" s="403"/>
      <c r="AH219" s="403"/>
      <c r="AI219" s="403"/>
    </row>
    <row r="220" spans="2:35">
      <c r="L220" s="403"/>
      <c r="M220" s="403"/>
      <c r="N220" s="403"/>
      <c r="O220" s="403"/>
      <c r="P220" s="403"/>
      <c r="Q220" s="403"/>
      <c r="R220" s="403"/>
      <c r="T220" s="403"/>
      <c r="U220" s="403"/>
      <c r="V220" s="403"/>
      <c r="X220" s="403"/>
      <c r="Y220" s="403"/>
      <c r="Z220" s="403"/>
      <c r="AA220" s="403"/>
      <c r="AB220" s="403"/>
      <c r="AC220" s="403"/>
      <c r="AD220" s="403"/>
      <c r="AE220" s="403"/>
      <c r="AF220" s="403"/>
      <c r="AG220" s="403"/>
      <c r="AH220" s="403"/>
      <c r="AI220" s="403"/>
    </row>
    <row r="221" spans="2:35">
      <c r="L221" s="403"/>
      <c r="M221" s="403"/>
      <c r="N221" s="403"/>
      <c r="O221" s="403"/>
      <c r="P221" s="403"/>
      <c r="Q221" s="403"/>
      <c r="R221" s="403"/>
      <c r="T221" s="403"/>
      <c r="U221" s="403"/>
      <c r="V221" s="403"/>
      <c r="X221" s="403"/>
      <c r="Y221" s="403"/>
      <c r="Z221" s="403"/>
      <c r="AA221" s="403"/>
      <c r="AB221" s="403"/>
      <c r="AC221" s="403"/>
      <c r="AD221" s="403"/>
      <c r="AE221" s="403"/>
      <c r="AF221" s="403"/>
      <c r="AG221" s="403"/>
      <c r="AH221" s="403"/>
      <c r="AI221" s="403"/>
    </row>
    <row r="222" spans="2:35">
      <c r="L222" s="412"/>
      <c r="T222" s="403"/>
      <c r="U222" s="403"/>
      <c r="V222" s="403"/>
      <c r="X222" s="403"/>
      <c r="Y222" s="403"/>
      <c r="Z222" s="403"/>
      <c r="AA222" s="403"/>
      <c r="AB222" s="403"/>
      <c r="AC222" s="403"/>
      <c r="AD222" s="403"/>
      <c r="AE222" s="403"/>
      <c r="AF222" s="403"/>
      <c r="AG222" s="403"/>
      <c r="AH222" s="403"/>
      <c r="AI222" s="403"/>
    </row>
    <row r="223" spans="2:35">
      <c r="T223" s="403"/>
      <c r="U223" s="403"/>
      <c r="V223" s="403"/>
      <c r="X223" s="403"/>
      <c r="Y223" s="403"/>
      <c r="Z223" s="403"/>
      <c r="AA223" s="403"/>
      <c r="AB223" s="403"/>
      <c r="AC223" s="403"/>
      <c r="AD223" s="403"/>
      <c r="AE223" s="403"/>
      <c r="AF223" s="403"/>
      <c r="AG223" s="403"/>
      <c r="AH223" s="403"/>
      <c r="AI223" s="403"/>
    </row>
    <row r="224" spans="2:35">
      <c r="T224" s="403"/>
      <c r="U224" s="403"/>
      <c r="V224" s="403"/>
      <c r="X224" s="403"/>
      <c r="Y224" s="403"/>
      <c r="Z224" s="403"/>
      <c r="AA224" s="403"/>
      <c r="AB224" s="403"/>
      <c r="AC224" s="403"/>
      <c r="AD224" s="403"/>
      <c r="AE224" s="403"/>
      <c r="AF224" s="403"/>
      <c r="AG224" s="403"/>
      <c r="AH224" s="403"/>
      <c r="AI224" s="403"/>
    </row>
    <row r="225" spans="12:35">
      <c r="L225" s="412"/>
      <c r="T225" s="403"/>
      <c r="U225" s="403"/>
      <c r="V225" s="403"/>
      <c r="X225" s="403"/>
      <c r="Y225" s="403"/>
      <c r="Z225" s="403"/>
      <c r="AA225" s="403"/>
      <c r="AB225" s="403"/>
      <c r="AC225" s="403"/>
      <c r="AD225" s="403"/>
      <c r="AE225" s="403"/>
      <c r="AF225" s="403"/>
      <c r="AG225" s="403"/>
      <c r="AH225" s="403"/>
      <c r="AI225" s="403"/>
    </row>
    <row r="226" spans="12:35">
      <c r="L226" s="412"/>
      <c r="T226" s="403"/>
      <c r="U226" s="403"/>
      <c r="V226" s="403"/>
      <c r="X226" s="403"/>
      <c r="Y226" s="403"/>
      <c r="Z226" s="403"/>
      <c r="AA226" s="403"/>
      <c r="AB226" s="403"/>
      <c r="AC226" s="403"/>
      <c r="AD226" s="403"/>
      <c r="AE226" s="403"/>
      <c r="AF226" s="403"/>
      <c r="AG226" s="403"/>
      <c r="AH226" s="403"/>
      <c r="AI226" s="403"/>
    </row>
    <row r="227" spans="12:35">
      <c r="L227" s="412"/>
      <c r="T227" s="403"/>
      <c r="U227" s="403"/>
      <c r="V227" s="403"/>
      <c r="X227" s="403"/>
      <c r="Y227" s="403"/>
      <c r="Z227" s="403"/>
      <c r="AA227" s="403"/>
      <c r="AB227" s="403"/>
      <c r="AC227" s="403"/>
      <c r="AD227" s="403"/>
      <c r="AE227" s="403"/>
      <c r="AF227" s="403"/>
      <c r="AG227" s="403"/>
      <c r="AH227" s="403"/>
      <c r="AI227" s="403"/>
    </row>
    <row r="228" spans="12:35">
      <c r="L228" s="412"/>
      <c r="T228" s="403"/>
      <c r="U228" s="403"/>
      <c r="V228" s="403"/>
      <c r="X228" s="403"/>
      <c r="Y228" s="403"/>
      <c r="Z228" s="403"/>
      <c r="AA228" s="403"/>
      <c r="AB228" s="403"/>
      <c r="AC228" s="403"/>
      <c r="AD228" s="403"/>
      <c r="AE228" s="403"/>
      <c r="AF228" s="403"/>
      <c r="AG228" s="403"/>
      <c r="AH228" s="403"/>
      <c r="AI228" s="403"/>
    </row>
    <row r="229" spans="12:35">
      <c r="L229" s="412"/>
      <c r="T229" s="403"/>
      <c r="U229" s="403"/>
      <c r="V229" s="403"/>
      <c r="X229" s="403"/>
      <c r="Y229" s="403"/>
      <c r="Z229" s="403"/>
      <c r="AA229" s="403"/>
      <c r="AB229" s="403"/>
      <c r="AC229" s="403"/>
      <c r="AD229" s="403"/>
      <c r="AE229" s="403"/>
      <c r="AF229" s="403"/>
      <c r="AG229" s="403"/>
      <c r="AH229" s="403"/>
      <c r="AI229" s="403"/>
    </row>
    <row r="230" spans="12:35">
      <c r="L230" s="412"/>
      <c r="T230" s="403"/>
      <c r="U230" s="403"/>
      <c r="V230" s="403"/>
      <c r="X230" s="403"/>
      <c r="Y230" s="403"/>
      <c r="Z230" s="403"/>
      <c r="AA230" s="403"/>
      <c r="AB230" s="403"/>
      <c r="AC230" s="403"/>
      <c r="AD230" s="403"/>
      <c r="AE230" s="403"/>
      <c r="AF230" s="403"/>
      <c r="AG230" s="403"/>
      <c r="AH230" s="403"/>
      <c r="AI230" s="403"/>
    </row>
    <row r="231" spans="12:35">
      <c r="L231" s="412"/>
      <c r="T231" s="403"/>
      <c r="U231" s="403"/>
      <c r="V231" s="403"/>
      <c r="X231" s="403"/>
      <c r="Y231" s="403"/>
      <c r="Z231" s="403"/>
      <c r="AA231" s="403"/>
      <c r="AB231" s="403"/>
      <c r="AC231" s="403"/>
      <c r="AD231" s="403"/>
      <c r="AE231" s="403"/>
      <c r="AF231" s="403"/>
      <c r="AG231" s="403"/>
      <c r="AH231" s="403"/>
      <c r="AI231" s="403"/>
    </row>
    <row r="232" spans="12:35">
      <c r="L232" s="412"/>
      <c r="T232" s="403"/>
      <c r="U232" s="403"/>
      <c r="V232" s="403"/>
      <c r="X232" s="403"/>
      <c r="Y232" s="403"/>
      <c r="Z232" s="403"/>
      <c r="AA232" s="403"/>
      <c r="AB232" s="403"/>
      <c r="AC232" s="403"/>
      <c r="AD232" s="403"/>
      <c r="AE232" s="403"/>
      <c r="AF232" s="403"/>
      <c r="AG232" s="403"/>
      <c r="AH232" s="403"/>
      <c r="AI232" s="403"/>
    </row>
    <row r="233" spans="12:35">
      <c r="L233" s="412"/>
      <c r="T233" s="403"/>
      <c r="U233" s="403"/>
      <c r="V233" s="403"/>
      <c r="X233" s="403"/>
      <c r="Y233" s="403"/>
      <c r="Z233" s="403"/>
      <c r="AA233" s="403"/>
      <c r="AB233" s="403"/>
      <c r="AC233" s="403"/>
      <c r="AD233" s="403"/>
      <c r="AE233" s="403"/>
      <c r="AF233" s="403"/>
      <c r="AG233" s="403"/>
      <c r="AH233" s="403"/>
      <c r="AI233" s="403"/>
    </row>
    <row r="234" spans="12:35">
      <c r="L234" s="412"/>
      <c r="T234" s="403"/>
      <c r="U234" s="403"/>
      <c r="V234" s="403"/>
      <c r="X234" s="403"/>
      <c r="Y234" s="403"/>
      <c r="Z234" s="403"/>
      <c r="AA234" s="403"/>
      <c r="AB234" s="403"/>
      <c r="AC234" s="403"/>
      <c r="AD234" s="403"/>
      <c r="AE234" s="403"/>
      <c r="AF234" s="403"/>
      <c r="AG234" s="403"/>
      <c r="AH234" s="403"/>
      <c r="AI234" s="403"/>
    </row>
    <row r="235" spans="12:35">
      <c r="L235" s="412"/>
      <c r="M235" s="412"/>
      <c r="N235" s="412"/>
      <c r="O235" s="412"/>
      <c r="P235" s="412"/>
      <c r="T235" s="403"/>
      <c r="U235" s="403"/>
      <c r="V235" s="403"/>
      <c r="X235" s="403"/>
      <c r="Y235" s="403"/>
      <c r="Z235" s="403"/>
      <c r="AA235" s="403"/>
      <c r="AB235" s="403"/>
      <c r="AC235" s="403"/>
      <c r="AD235" s="403"/>
      <c r="AE235" s="403"/>
      <c r="AF235" s="403"/>
      <c r="AG235" s="403"/>
      <c r="AH235" s="403"/>
      <c r="AI235" s="403"/>
    </row>
    <row r="236" spans="12:35">
      <c r="L236" s="412"/>
      <c r="M236" s="412"/>
      <c r="N236" s="412"/>
      <c r="O236" s="412"/>
      <c r="P236" s="412"/>
      <c r="T236" s="403"/>
      <c r="U236" s="403"/>
      <c r="V236" s="403"/>
      <c r="X236" s="403"/>
      <c r="Y236" s="403"/>
      <c r="Z236" s="403"/>
      <c r="AA236" s="403"/>
      <c r="AB236" s="403"/>
      <c r="AC236" s="403"/>
      <c r="AD236" s="403"/>
      <c r="AE236" s="403"/>
      <c r="AF236" s="403"/>
      <c r="AG236" s="403"/>
      <c r="AH236" s="403"/>
      <c r="AI236" s="403"/>
    </row>
    <row r="237" spans="12:35">
      <c r="L237" s="412"/>
      <c r="T237" s="403"/>
      <c r="U237" s="403"/>
      <c r="V237" s="403"/>
      <c r="X237" s="403"/>
      <c r="Y237" s="403"/>
      <c r="Z237" s="403"/>
      <c r="AA237" s="403"/>
      <c r="AB237" s="403"/>
      <c r="AC237" s="403"/>
      <c r="AD237" s="403"/>
      <c r="AE237" s="403"/>
      <c r="AF237" s="403"/>
      <c r="AG237" s="403"/>
      <c r="AH237" s="403"/>
      <c r="AI237" s="403"/>
    </row>
    <row r="238" spans="12:35">
      <c r="L238" s="412"/>
      <c r="T238" s="403"/>
      <c r="U238" s="403"/>
      <c r="V238" s="403"/>
      <c r="X238" s="403"/>
      <c r="Y238" s="403"/>
      <c r="Z238" s="403"/>
      <c r="AA238" s="403"/>
      <c r="AB238" s="403"/>
      <c r="AC238" s="403"/>
      <c r="AD238" s="403"/>
      <c r="AE238" s="403"/>
      <c r="AF238" s="403"/>
      <c r="AG238" s="403"/>
      <c r="AH238" s="403"/>
      <c r="AI238" s="403"/>
    </row>
    <row r="239" spans="12:35">
      <c r="L239" s="412"/>
      <c r="T239" s="403"/>
      <c r="U239" s="403"/>
      <c r="V239" s="403"/>
      <c r="X239" s="403"/>
      <c r="Y239" s="403"/>
      <c r="Z239" s="403"/>
      <c r="AA239" s="403"/>
      <c r="AB239" s="403"/>
      <c r="AC239" s="403"/>
      <c r="AD239" s="403"/>
      <c r="AE239" s="403"/>
      <c r="AF239" s="403"/>
      <c r="AG239" s="403"/>
      <c r="AH239" s="403"/>
      <c r="AI239" s="403"/>
    </row>
    <row r="240" spans="12:35">
      <c r="L240" s="412"/>
      <c r="T240" s="403"/>
      <c r="U240" s="403"/>
      <c r="V240" s="403"/>
      <c r="X240" s="403"/>
      <c r="Y240" s="403"/>
      <c r="Z240" s="403"/>
      <c r="AA240" s="403"/>
      <c r="AB240" s="403"/>
      <c r="AC240" s="403"/>
      <c r="AD240" s="403"/>
      <c r="AE240" s="403"/>
      <c r="AF240" s="403"/>
      <c r="AG240" s="403"/>
      <c r="AH240" s="403"/>
      <c r="AI240" s="403"/>
    </row>
    <row r="241" spans="12:35">
      <c r="L241" s="412"/>
      <c r="T241" s="403"/>
      <c r="U241" s="403"/>
      <c r="V241" s="403"/>
      <c r="X241" s="403"/>
      <c r="Y241" s="403"/>
      <c r="Z241" s="403"/>
      <c r="AA241" s="403"/>
      <c r="AB241" s="403"/>
      <c r="AC241" s="403"/>
      <c r="AD241" s="403"/>
      <c r="AE241" s="403"/>
      <c r="AF241" s="403"/>
      <c r="AG241" s="403"/>
      <c r="AH241" s="403"/>
      <c r="AI241" s="403"/>
    </row>
    <row r="242" spans="12:35">
      <c r="L242" s="412"/>
      <c r="T242" s="403"/>
      <c r="U242" s="403"/>
      <c r="V242" s="403"/>
      <c r="X242" s="403"/>
      <c r="Y242" s="403"/>
      <c r="Z242" s="403"/>
      <c r="AA242" s="403"/>
      <c r="AB242" s="403"/>
      <c r="AC242" s="403"/>
      <c r="AD242" s="403"/>
      <c r="AE242" s="403"/>
      <c r="AF242" s="403"/>
      <c r="AG242" s="403"/>
      <c r="AH242" s="403"/>
      <c r="AI242" s="403"/>
    </row>
    <row r="243" spans="12:35">
      <c r="L243" s="412"/>
      <c r="T243" s="403"/>
      <c r="U243" s="403"/>
      <c r="V243" s="403"/>
      <c r="X243" s="403"/>
      <c r="Y243" s="403"/>
      <c r="Z243" s="403"/>
      <c r="AA243" s="403"/>
      <c r="AB243" s="403"/>
      <c r="AC243" s="403"/>
      <c r="AD243" s="403"/>
      <c r="AE243" s="403"/>
      <c r="AF243" s="403"/>
      <c r="AG243" s="403"/>
      <c r="AH243" s="403"/>
      <c r="AI243" s="403"/>
    </row>
    <row r="244" spans="12:35">
      <c r="L244" s="412"/>
      <c r="T244" s="403"/>
      <c r="U244" s="403"/>
      <c r="V244" s="403"/>
      <c r="X244" s="403"/>
      <c r="Y244" s="403"/>
      <c r="Z244" s="403"/>
      <c r="AA244" s="403"/>
      <c r="AB244" s="403"/>
      <c r="AC244" s="403"/>
      <c r="AD244" s="403"/>
      <c r="AE244" s="403"/>
      <c r="AF244" s="403"/>
      <c r="AG244" s="403"/>
      <c r="AH244" s="403"/>
      <c r="AI244" s="403"/>
    </row>
    <row r="245" spans="12:35">
      <c r="L245" s="412"/>
      <c r="T245" s="403"/>
      <c r="U245" s="403"/>
      <c r="V245" s="403"/>
      <c r="X245" s="403"/>
      <c r="Y245" s="403"/>
      <c r="Z245" s="403"/>
      <c r="AA245" s="403"/>
      <c r="AB245" s="403"/>
      <c r="AC245" s="403"/>
      <c r="AD245" s="403"/>
      <c r="AE245" s="403"/>
      <c r="AF245" s="403"/>
      <c r="AG245" s="403"/>
      <c r="AH245" s="403"/>
      <c r="AI245" s="403"/>
    </row>
    <row r="246" spans="12:35">
      <c r="L246" s="412"/>
      <c r="T246" s="403"/>
      <c r="U246" s="403"/>
      <c r="V246" s="403"/>
      <c r="X246" s="403"/>
      <c r="Y246" s="403"/>
      <c r="Z246" s="403"/>
      <c r="AA246" s="403"/>
      <c r="AB246" s="403"/>
      <c r="AC246" s="403"/>
      <c r="AD246" s="403"/>
      <c r="AE246" s="403"/>
      <c r="AF246" s="403"/>
      <c r="AG246" s="403"/>
      <c r="AH246" s="403"/>
      <c r="AI246" s="403"/>
    </row>
    <row r="247" spans="12:35">
      <c r="L247" s="412"/>
      <c r="T247" s="403"/>
      <c r="U247" s="403"/>
      <c r="V247" s="403"/>
      <c r="X247" s="403"/>
      <c r="Y247" s="403"/>
      <c r="Z247" s="403"/>
      <c r="AA247" s="403"/>
      <c r="AB247" s="403"/>
      <c r="AC247" s="403"/>
      <c r="AD247" s="403"/>
      <c r="AE247" s="403"/>
      <c r="AF247" s="403"/>
      <c r="AG247" s="403"/>
      <c r="AH247" s="403"/>
      <c r="AI247" s="403"/>
    </row>
    <row r="248" spans="12:35">
      <c r="L248" s="412"/>
      <c r="T248" s="403"/>
      <c r="U248" s="403"/>
      <c r="V248" s="403"/>
      <c r="X248" s="403"/>
      <c r="Y248" s="403"/>
      <c r="Z248" s="403"/>
      <c r="AA248" s="403"/>
      <c r="AB248" s="403"/>
      <c r="AC248" s="403"/>
      <c r="AD248" s="403"/>
      <c r="AE248" s="403"/>
      <c r="AF248" s="403"/>
      <c r="AG248" s="403"/>
      <c r="AH248" s="403"/>
      <c r="AI248" s="403"/>
    </row>
    <row r="249" spans="12:35">
      <c r="L249" s="412"/>
      <c r="T249" s="403"/>
      <c r="U249" s="403"/>
      <c r="V249" s="403"/>
      <c r="X249" s="403"/>
      <c r="Y249" s="403"/>
      <c r="Z249" s="403"/>
      <c r="AA249" s="403"/>
      <c r="AB249" s="403"/>
      <c r="AC249" s="403"/>
      <c r="AD249" s="403"/>
      <c r="AE249" s="403"/>
      <c r="AF249" s="403"/>
      <c r="AG249" s="403"/>
      <c r="AH249" s="403"/>
      <c r="AI249" s="403"/>
    </row>
    <row r="250" spans="12:35">
      <c r="L250" s="412"/>
      <c r="T250" s="403"/>
      <c r="U250" s="403"/>
      <c r="V250" s="403"/>
      <c r="X250" s="403"/>
      <c r="Y250" s="403"/>
      <c r="Z250" s="403"/>
      <c r="AA250" s="403"/>
      <c r="AB250" s="403"/>
      <c r="AC250" s="403"/>
      <c r="AD250" s="403"/>
      <c r="AE250" s="403"/>
      <c r="AF250" s="403"/>
      <c r="AG250" s="403"/>
      <c r="AH250" s="403"/>
      <c r="AI250" s="403"/>
    </row>
    <row r="251" spans="12:35">
      <c r="L251" s="412"/>
      <c r="T251" s="403"/>
      <c r="U251" s="403"/>
      <c r="V251" s="403"/>
      <c r="X251" s="403"/>
      <c r="Y251" s="403"/>
      <c r="Z251" s="403"/>
      <c r="AA251" s="403"/>
      <c r="AB251" s="403"/>
      <c r="AC251" s="403"/>
      <c r="AD251" s="403"/>
      <c r="AE251" s="403"/>
      <c r="AF251" s="403"/>
      <c r="AG251" s="403"/>
      <c r="AH251" s="403"/>
      <c r="AI251" s="403"/>
    </row>
    <row r="252" spans="12:35">
      <c r="L252" s="412"/>
      <c r="T252" s="403"/>
      <c r="U252" s="403"/>
      <c r="V252" s="403"/>
      <c r="X252" s="403"/>
      <c r="Y252" s="403"/>
      <c r="Z252" s="403"/>
      <c r="AA252" s="403"/>
      <c r="AB252" s="403"/>
      <c r="AC252" s="403"/>
      <c r="AD252" s="403"/>
      <c r="AE252" s="403"/>
      <c r="AF252" s="403"/>
      <c r="AG252" s="403"/>
      <c r="AH252" s="403"/>
      <c r="AI252" s="403"/>
    </row>
    <row r="253" spans="12:35">
      <c r="L253" s="412"/>
      <c r="T253" s="403"/>
      <c r="U253" s="403"/>
      <c r="V253" s="403"/>
      <c r="X253" s="403"/>
      <c r="Y253" s="403"/>
      <c r="Z253" s="403"/>
      <c r="AA253" s="403"/>
      <c r="AB253" s="403"/>
      <c r="AC253" s="403"/>
      <c r="AD253" s="403"/>
      <c r="AE253" s="403"/>
      <c r="AF253" s="403"/>
      <c r="AG253" s="403"/>
      <c r="AH253" s="403"/>
      <c r="AI253" s="403"/>
    </row>
    <row r="254" spans="12:35">
      <c r="L254" s="412"/>
      <c r="T254" s="403"/>
      <c r="U254" s="403"/>
      <c r="V254" s="403"/>
      <c r="X254" s="403"/>
      <c r="Y254" s="403"/>
      <c r="Z254" s="403"/>
      <c r="AA254" s="403"/>
      <c r="AB254" s="403"/>
      <c r="AC254" s="403"/>
      <c r="AD254" s="403"/>
      <c r="AE254" s="403"/>
      <c r="AF254" s="403"/>
      <c r="AG254" s="403"/>
      <c r="AH254" s="403"/>
      <c r="AI254" s="403"/>
    </row>
    <row r="255" spans="12:35">
      <c r="L255" s="412"/>
      <c r="T255" s="403"/>
      <c r="U255" s="403"/>
      <c r="V255" s="403"/>
      <c r="X255" s="403"/>
      <c r="Y255" s="403"/>
      <c r="Z255" s="403"/>
      <c r="AA255" s="403"/>
      <c r="AB255" s="403"/>
      <c r="AC255" s="403"/>
      <c r="AD255" s="403"/>
      <c r="AE255" s="403"/>
      <c r="AF255" s="403"/>
      <c r="AG255" s="403"/>
      <c r="AH255" s="403"/>
      <c r="AI255" s="403"/>
    </row>
    <row r="256" spans="12:35">
      <c r="L256" s="412"/>
      <c r="T256" s="403"/>
      <c r="U256" s="403"/>
      <c r="V256" s="403"/>
      <c r="X256" s="403"/>
      <c r="Y256" s="403"/>
      <c r="Z256" s="403"/>
      <c r="AA256" s="403"/>
      <c r="AB256" s="403"/>
      <c r="AC256" s="403"/>
      <c r="AD256" s="403"/>
      <c r="AE256" s="403"/>
      <c r="AF256" s="403"/>
      <c r="AG256" s="403"/>
      <c r="AH256" s="403"/>
      <c r="AI256" s="403"/>
    </row>
    <row r="257" spans="12:35">
      <c r="L257" s="412"/>
      <c r="T257" s="403"/>
      <c r="U257" s="403"/>
      <c r="V257" s="403"/>
      <c r="X257" s="403"/>
      <c r="Y257" s="403"/>
      <c r="Z257" s="403"/>
      <c r="AA257" s="403"/>
      <c r="AB257" s="403"/>
      <c r="AC257" s="403"/>
      <c r="AD257" s="403"/>
      <c r="AE257" s="403"/>
      <c r="AF257" s="403"/>
      <c r="AG257" s="403"/>
      <c r="AH257" s="403"/>
      <c r="AI257" s="403"/>
    </row>
    <row r="258" spans="12:35">
      <c r="L258" s="412"/>
      <c r="T258" s="403"/>
      <c r="U258" s="403"/>
      <c r="V258" s="403"/>
      <c r="X258" s="403"/>
      <c r="Y258" s="403"/>
      <c r="Z258" s="403"/>
      <c r="AA258" s="403"/>
      <c r="AB258" s="403"/>
      <c r="AC258" s="403"/>
      <c r="AD258" s="403"/>
      <c r="AE258" s="403"/>
      <c r="AF258" s="403"/>
      <c r="AG258" s="403"/>
      <c r="AH258" s="403"/>
      <c r="AI258" s="403"/>
    </row>
    <row r="259" spans="12:35">
      <c r="L259" s="412"/>
      <c r="T259" s="403"/>
      <c r="U259" s="403"/>
      <c r="V259" s="403"/>
      <c r="X259" s="403"/>
      <c r="Y259" s="403"/>
      <c r="Z259" s="403"/>
      <c r="AA259" s="403"/>
      <c r="AB259" s="403"/>
      <c r="AC259" s="403"/>
      <c r="AD259" s="403"/>
      <c r="AE259" s="403"/>
      <c r="AF259" s="403"/>
      <c r="AG259" s="403"/>
      <c r="AH259" s="403"/>
      <c r="AI259" s="403"/>
    </row>
    <row r="260" spans="12:35">
      <c r="L260" s="412"/>
      <c r="T260" s="403"/>
      <c r="U260" s="403"/>
      <c r="V260" s="403"/>
      <c r="X260" s="403"/>
      <c r="Y260" s="403"/>
      <c r="Z260" s="403"/>
      <c r="AA260" s="403"/>
      <c r="AB260" s="403"/>
      <c r="AC260" s="403"/>
      <c r="AD260" s="403"/>
      <c r="AE260" s="403"/>
      <c r="AF260" s="403"/>
      <c r="AG260" s="403"/>
      <c r="AH260" s="403"/>
      <c r="AI260" s="403"/>
    </row>
    <row r="261" spans="12:35">
      <c r="L261" s="412"/>
      <c r="T261" s="403"/>
      <c r="U261" s="403"/>
      <c r="V261" s="403"/>
      <c r="X261" s="403"/>
      <c r="Y261" s="403"/>
      <c r="Z261" s="403"/>
      <c r="AA261" s="403"/>
      <c r="AB261" s="403"/>
      <c r="AC261" s="403"/>
      <c r="AD261" s="403"/>
      <c r="AE261" s="403"/>
      <c r="AF261" s="403"/>
      <c r="AG261" s="403"/>
      <c r="AH261" s="403"/>
      <c r="AI261" s="403"/>
    </row>
    <row r="262" spans="12:35">
      <c r="L262" s="412"/>
      <c r="T262" s="403"/>
      <c r="U262" s="403"/>
      <c r="V262" s="403"/>
      <c r="X262" s="403"/>
      <c r="Y262" s="403"/>
      <c r="Z262" s="403"/>
      <c r="AA262" s="403"/>
      <c r="AB262" s="403"/>
      <c r="AC262" s="403"/>
      <c r="AD262" s="403"/>
      <c r="AE262" s="403"/>
      <c r="AF262" s="403"/>
      <c r="AG262" s="403"/>
      <c r="AH262" s="403"/>
      <c r="AI262" s="403"/>
    </row>
    <row r="263" spans="12:35">
      <c r="L263" s="412"/>
      <c r="X263" s="403"/>
      <c r="Y263" s="403"/>
      <c r="Z263" s="403"/>
      <c r="AA263" s="403"/>
      <c r="AB263" s="403"/>
      <c r="AC263" s="403"/>
      <c r="AD263" s="403"/>
      <c r="AE263" s="403"/>
      <c r="AF263" s="403"/>
      <c r="AG263" s="403"/>
      <c r="AH263" s="403"/>
      <c r="AI263" s="403"/>
    </row>
    <row r="264" spans="12:35">
      <c r="L264" s="412"/>
      <c r="X264" s="403"/>
      <c r="Y264" s="403"/>
      <c r="Z264" s="403"/>
      <c r="AA264" s="403"/>
      <c r="AB264" s="403"/>
      <c r="AC264" s="403"/>
      <c r="AD264" s="403"/>
      <c r="AE264" s="403"/>
      <c r="AF264" s="403"/>
      <c r="AG264" s="403"/>
      <c r="AH264" s="403"/>
      <c r="AI264" s="403"/>
    </row>
    <row r="265" spans="12:35">
      <c r="L265" s="412"/>
      <c r="X265" s="403"/>
      <c r="Y265" s="403"/>
      <c r="Z265" s="403"/>
      <c r="AA265" s="403"/>
      <c r="AB265" s="403"/>
      <c r="AC265" s="403"/>
      <c r="AD265" s="403"/>
      <c r="AE265" s="403"/>
      <c r="AF265" s="403"/>
      <c r="AG265" s="403"/>
      <c r="AH265" s="403"/>
      <c r="AI265" s="403"/>
    </row>
    <row r="266" spans="12:35">
      <c r="L266" s="412"/>
      <c r="X266" s="403"/>
      <c r="Y266" s="403"/>
      <c r="Z266" s="403"/>
      <c r="AA266" s="403"/>
      <c r="AB266" s="403"/>
      <c r="AC266" s="403"/>
      <c r="AD266" s="403"/>
      <c r="AE266" s="403"/>
      <c r="AF266" s="403"/>
      <c r="AG266" s="403"/>
      <c r="AH266" s="403"/>
      <c r="AI266" s="403"/>
    </row>
    <row r="267" spans="12:35">
      <c r="L267" s="412"/>
      <c r="X267" s="403"/>
      <c r="Y267" s="403"/>
      <c r="Z267" s="403"/>
      <c r="AA267" s="403"/>
      <c r="AB267" s="403"/>
      <c r="AC267" s="403"/>
      <c r="AD267" s="403"/>
      <c r="AE267" s="403"/>
      <c r="AF267" s="403"/>
      <c r="AG267" s="403"/>
      <c r="AH267" s="403"/>
      <c r="AI267" s="403"/>
    </row>
    <row r="268" spans="12:35">
      <c r="L268" s="412"/>
      <c r="X268" s="403"/>
      <c r="Y268" s="403"/>
      <c r="Z268" s="403"/>
      <c r="AA268" s="403"/>
      <c r="AB268" s="403"/>
      <c r="AC268" s="403"/>
      <c r="AD268" s="403"/>
      <c r="AE268" s="403"/>
      <c r="AF268" s="403"/>
      <c r="AG268" s="403"/>
      <c r="AH268" s="403"/>
      <c r="AI268" s="403"/>
    </row>
    <row r="269" spans="12:35">
      <c r="L269" s="412"/>
      <c r="X269" s="403"/>
      <c r="Y269" s="403"/>
      <c r="Z269" s="403"/>
      <c r="AA269" s="403"/>
      <c r="AB269" s="403"/>
      <c r="AC269" s="403"/>
      <c r="AD269" s="403"/>
      <c r="AE269" s="403"/>
      <c r="AF269" s="403"/>
      <c r="AG269" s="403"/>
      <c r="AH269" s="403"/>
      <c r="AI269" s="403"/>
    </row>
    <row r="270" spans="12:35">
      <c r="L270" s="412"/>
      <c r="X270" s="403"/>
      <c r="Y270" s="403"/>
      <c r="Z270" s="403"/>
      <c r="AA270" s="403"/>
      <c r="AB270" s="403"/>
      <c r="AC270" s="403"/>
      <c r="AD270" s="403"/>
      <c r="AE270" s="403"/>
      <c r="AF270" s="403"/>
      <c r="AG270" s="403"/>
      <c r="AH270" s="403"/>
      <c r="AI270" s="403"/>
    </row>
    <row r="271" spans="12:35">
      <c r="L271" s="412"/>
      <c r="X271" s="403"/>
      <c r="Y271" s="403"/>
      <c r="Z271" s="403"/>
      <c r="AA271" s="403"/>
      <c r="AB271" s="403"/>
      <c r="AC271" s="403"/>
      <c r="AD271" s="403"/>
      <c r="AE271" s="403"/>
      <c r="AF271" s="403"/>
      <c r="AG271" s="403"/>
      <c r="AH271" s="403"/>
      <c r="AI271" s="403"/>
    </row>
    <row r="272" spans="12:35">
      <c r="L272" s="412"/>
      <c r="X272" s="403"/>
      <c r="Y272" s="403"/>
      <c r="Z272" s="403"/>
      <c r="AA272" s="403"/>
      <c r="AB272" s="403"/>
      <c r="AC272" s="403"/>
      <c r="AD272" s="403"/>
      <c r="AE272" s="403"/>
      <c r="AF272" s="403"/>
      <c r="AG272" s="403"/>
      <c r="AH272" s="403"/>
      <c r="AI272" s="403"/>
    </row>
    <row r="273" spans="12:35">
      <c r="L273" s="412"/>
      <c r="X273" s="403"/>
      <c r="Y273" s="403"/>
      <c r="Z273" s="403"/>
      <c r="AA273" s="403"/>
      <c r="AB273" s="403"/>
      <c r="AC273" s="403"/>
      <c r="AD273" s="403"/>
      <c r="AE273" s="403"/>
      <c r="AF273" s="403"/>
      <c r="AG273" s="403"/>
      <c r="AH273" s="403"/>
      <c r="AI273" s="403"/>
    </row>
    <row r="274" spans="12:35">
      <c r="L274" s="412"/>
      <c r="X274" s="403"/>
      <c r="Y274" s="403"/>
      <c r="Z274" s="403"/>
      <c r="AA274" s="403"/>
      <c r="AB274" s="403"/>
      <c r="AC274" s="403"/>
      <c r="AD274" s="403"/>
      <c r="AE274" s="403"/>
      <c r="AF274" s="403"/>
      <c r="AG274" s="403"/>
      <c r="AH274" s="403"/>
      <c r="AI274" s="403"/>
    </row>
    <row r="275" spans="12:35">
      <c r="L275" s="412"/>
      <c r="X275" s="403"/>
      <c r="Y275" s="403"/>
      <c r="Z275" s="403"/>
      <c r="AA275" s="403"/>
      <c r="AB275" s="403"/>
      <c r="AC275" s="403"/>
      <c r="AD275" s="403"/>
      <c r="AE275" s="403"/>
      <c r="AF275" s="403"/>
      <c r="AG275" s="403"/>
      <c r="AH275" s="403"/>
      <c r="AI275" s="403"/>
    </row>
    <row r="276" spans="12:35">
      <c r="L276" s="412"/>
      <c r="X276" s="403"/>
      <c r="Y276" s="403"/>
      <c r="Z276" s="403"/>
      <c r="AA276" s="403"/>
      <c r="AB276" s="403"/>
      <c r="AC276" s="403"/>
      <c r="AD276" s="403"/>
      <c r="AE276" s="403"/>
      <c r="AF276" s="403"/>
      <c r="AG276" s="403"/>
      <c r="AH276" s="403"/>
      <c r="AI276" s="403"/>
    </row>
    <row r="277" spans="12:35">
      <c r="L277" s="412"/>
      <c r="X277" s="403"/>
      <c r="Y277" s="403"/>
      <c r="Z277" s="403"/>
      <c r="AA277" s="403"/>
      <c r="AB277" s="403"/>
      <c r="AC277" s="403"/>
      <c r="AD277" s="403"/>
      <c r="AE277" s="403"/>
      <c r="AF277" s="403"/>
      <c r="AG277" s="403"/>
      <c r="AH277" s="403"/>
      <c r="AI277" s="403"/>
    </row>
    <row r="278" spans="12:35">
      <c r="L278" s="412"/>
      <c r="X278" s="403"/>
      <c r="Y278" s="403"/>
      <c r="Z278" s="403"/>
      <c r="AA278" s="403"/>
      <c r="AB278" s="403"/>
      <c r="AC278" s="403"/>
      <c r="AD278" s="403"/>
      <c r="AE278" s="403"/>
      <c r="AF278" s="403"/>
      <c r="AG278" s="403"/>
      <c r="AH278" s="403"/>
      <c r="AI278" s="403"/>
    </row>
    <row r="279" spans="12:35">
      <c r="L279" s="412"/>
      <c r="X279" s="403"/>
      <c r="Y279" s="403"/>
      <c r="Z279" s="403"/>
      <c r="AA279" s="403"/>
      <c r="AB279" s="403"/>
      <c r="AC279" s="403"/>
      <c r="AD279" s="403"/>
      <c r="AE279" s="403"/>
      <c r="AF279" s="403"/>
      <c r="AG279" s="403"/>
      <c r="AH279" s="403"/>
      <c r="AI279" s="403"/>
    </row>
    <row r="280" spans="12:35">
      <c r="L280" s="412"/>
      <c r="X280" s="403"/>
      <c r="Y280" s="403"/>
      <c r="Z280" s="403"/>
      <c r="AA280" s="403"/>
      <c r="AB280" s="403"/>
      <c r="AC280" s="403"/>
      <c r="AD280" s="403"/>
      <c r="AE280" s="403"/>
      <c r="AF280" s="403"/>
      <c r="AG280" s="403"/>
      <c r="AH280" s="403"/>
      <c r="AI280" s="403"/>
    </row>
    <row r="281" spans="12:35">
      <c r="L281" s="412"/>
      <c r="X281" s="403"/>
      <c r="Y281" s="403"/>
      <c r="Z281" s="403"/>
      <c r="AA281" s="403"/>
      <c r="AB281" s="403"/>
      <c r="AC281" s="403"/>
      <c r="AD281" s="403"/>
      <c r="AE281" s="403"/>
      <c r="AF281" s="403"/>
      <c r="AG281" s="403"/>
      <c r="AH281" s="403"/>
      <c r="AI281" s="403"/>
    </row>
    <row r="282" spans="12:35">
      <c r="L282" s="412"/>
      <c r="X282" s="403"/>
      <c r="Y282" s="403"/>
      <c r="Z282" s="403"/>
      <c r="AA282" s="403"/>
      <c r="AB282" s="403"/>
      <c r="AC282" s="403"/>
      <c r="AD282" s="403"/>
      <c r="AE282" s="403"/>
      <c r="AF282" s="403"/>
      <c r="AG282" s="403"/>
      <c r="AH282" s="403"/>
      <c r="AI282" s="403"/>
    </row>
    <row r="283" spans="12:35">
      <c r="X283" s="403"/>
      <c r="Y283" s="403"/>
      <c r="Z283" s="403"/>
      <c r="AA283" s="403"/>
      <c r="AB283" s="403"/>
      <c r="AC283" s="403"/>
      <c r="AD283" s="403"/>
      <c r="AE283" s="403"/>
      <c r="AF283" s="403"/>
      <c r="AG283" s="403"/>
      <c r="AH283" s="403"/>
      <c r="AI283" s="403"/>
    </row>
    <row r="284" spans="12:35">
      <c r="X284" s="403"/>
      <c r="Y284" s="403"/>
      <c r="Z284" s="403"/>
      <c r="AA284" s="403"/>
      <c r="AB284" s="403"/>
      <c r="AC284" s="403"/>
      <c r="AD284" s="403"/>
      <c r="AE284" s="403"/>
      <c r="AF284" s="403"/>
      <c r="AG284" s="403"/>
      <c r="AH284" s="403"/>
      <c r="AI284" s="403"/>
    </row>
    <row r="285" spans="12:35">
      <c r="X285" s="403"/>
      <c r="Y285" s="403"/>
      <c r="Z285" s="403"/>
      <c r="AA285" s="403"/>
      <c r="AB285" s="403"/>
      <c r="AC285" s="403"/>
      <c r="AD285" s="403"/>
      <c r="AE285" s="403"/>
      <c r="AF285" s="403"/>
      <c r="AG285" s="403"/>
      <c r="AH285" s="403"/>
      <c r="AI285" s="403"/>
    </row>
    <row r="286" spans="12:35">
      <c r="X286" s="403"/>
      <c r="Y286" s="403"/>
      <c r="Z286" s="403"/>
      <c r="AA286" s="403"/>
      <c r="AB286" s="403"/>
      <c r="AC286" s="403"/>
      <c r="AD286" s="403"/>
      <c r="AE286" s="403"/>
      <c r="AF286" s="403"/>
      <c r="AG286" s="403"/>
      <c r="AH286" s="403"/>
      <c r="AI286" s="403"/>
    </row>
    <row r="287" spans="12:35">
      <c r="X287" s="403"/>
      <c r="Y287" s="403"/>
      <c r="Z287" s="403"/>
      <c r="AA287" s="403"/>
      <c r="AB287" s="403"/>
      <c r="AC287" s="403"/>
      <c r="AD287" s="403"/>
      <c r="AE287" s="403"/>
      <c r="AF287" s="403"/>
      <c r="AG287" s="403"/>
      <c r="AH287" s="403"/>
      <c r="AI287" s="403"/>
    </row>
    <row r="288" spans="12:35">
      <c r="X288" s="403"/>
      <c r="Y288" s="403"/>
      <c r="Z288" s="403"/>
      <c r="AA288" s="403"/>
      <c r="AB288" s="403"/>
      <c r="AC288" s="403"/>
      <c r="AD288" s="403"/>
      <c r="AE288" s="403"/>
      <c r="AF288" s="403"/>
      <c r="AG288" s="403"/>
      <c r="AH288" s="403"/>
      <c r="AI288" s="403"/>
    </row>
    <row r="289" spans="24:35">
      <c r="X289" s="403"/>
      <c r="Y289" s="403"/>
      <c r="Z289" s="403"/>
      <c r="AA289" s="403"/>
      <c r="AB289" s="403"/>
      <c r="AC289" s="403"/>
      <c r="AD289" s="403"/>
      <c r="AE289" s="403"/>
      <c r="AF289" s="403"/>
      <c r="AG289" s="403"/>
      <c r="AH289" s="403"/>
      <c r="AI289" s="403"/>
    </row>
    <row r="290" spans="24:35">
      <c r="X290" s="403"/>
      <c r="Y290" s="403"/>
      <c r="Z290" s="403"/>
      <c r="AA290" s="403"/>
      <c r="AB290" s="403"/>
      <c r="AC290" s="403"/>
      <c r="AD290" s="403"/>
      <c r="AE290" s="403"/>
      <c r="AF290" s="403"/>
      <c r="AG290" s="403"/>
      <c r="AH290" s="403"/>
      <c r="AI290" s="403"/>
    </row>
    <row r="291" spans="24:35">
      <c r="X291" s="403"/>
      <c r="Y291" s="403"/>
      <c r="Z291" s="403"/>
      <c r="AA291" s="403"/>
      <c r="AB291" s="403"/>
      <c r="AC291" s="403"/>
      <c r="AD291" s="403"/>
      <c r="AE291" s="403"/>
      <c r="AF291" s="403"/>
      <c r="AG291" s="403"/>
      <c r="AH291" s="403"/>
      <c r="AI291" s="403"/>
    </row>
    <row r="292" spans="24:35">
      <c r="X292" s="403"/>
      <c r="Y292" s="403"/>
      <c r="Z292" s="403"/>
      <c r="AA292" s="403"/>
      <c r="AB292" s="403"/>
      <c r="AC292" s="403"/>
      <c r="AD292" s="403"/>
      <c r="AE292" s="403"/>
      <c r="AF292" s="403"/>
      <c r="AG292" s="403"/>
      <c r="AH292" s="403"/>
      <c r="AI292" s="403"/>
    </row>
    <row r="293" spans="24:35">
      <c r="X293" s="403"/>
      <c r="Y293" s="403"/>
      <c r="Z293" s="403"/>
      <c r="AA293" s="403"/>
      <c r="AB293" s="403"/>
      <c r="AC293" s="403"/>
      <c r="AD293" s="403"/>
      <c r="AE293" s="403"/>
      <c r="AF293" s="403"/>
      <c r="AG293" s="403"/>
      <c r="AH293" s="403"/>
      <c r="AI293" s="403"/>
    </row>
    <row r="294" spans="24:35">
      <c r="X294" s="403"/>
      <c r="Y294" s="403"/>
      <c r="Z294" s="403"/>
      <c r="AA294" s="403"/>
      <c r="AB294" s="403"/>
      <c r="AC294" s="403"/>
      <c r="AD294" s="403"/>
      <c r="AE294" s="403"/>
      <c r="AF294" s="403"/>
      <c r="AG294" s="403"/>
      <c r="AH294" s="403"/>
      <c r="AI294" s="403"/>
    </row>
    <row r="295" spans="24:35">
      <c r="X295" s="403"/>
      <c r="Y295" s="403"/>
      <c r="Z295" s="403"/>
      <c r="AA295" s="403"/>
      <c r="AB295" s="403"/>
      <c r="AC295" s="403"/>
      <c r="AD295" s="403"/>
      <c r="AE295" s="403"/>
      <c r="AF295" s="403"/>
      <c r="AG295" s="403"/>
      <c r="AH295" s="403"/>
      <c r="AI295" s="403"/>
    </row>
    <row r="296" spans="24:35">
      <c r="X296" s="403"/>
      <c r="Y296" s="403"/>
      <c r="Z296" s="403"/>
      <c r="AA296" s="403"/>
      <c r="AB296" s="403"/>
      <c r="AC296" s="403"/>
      <c r="AD296" s="403"/>
      <c r="AE296" s="403"/>
      <c r="AF296" s="403"/>
      <c r="AG296" s="403"/>
      <c r="AH296" s="403"/>
      <c r="AI296" s="403"/>
    </row>
    <row r="297" spans="24:35">
      <c r="X297" s="403"/>
      <c r="Y297" s="403"/>
      <c r="Z297" s="403"/>
      <c r="AA297" s="403"/>
      <c r="AB297" s="403"/>
      <c r="AC297" s="403"/>
      <c r="AD297" s="403"/>
      <c r="AE297" s="403"/>
      <c r="AF297" s="403"/>
      <c r="AG297" s="403"/>
      <c r="AH297" s="403"/>
      <c r="AI297" s="403"/>
    </row>
    <row r="298" spans="24:35">
      <c r="X298" s="403"/>
      <c r="Y298" s="403"/>
      <c r="Z298" s="403"/>
      <c r="AA298" s="403"/>
      <c r="AB298" s="403"/>
      <c r="AC298" s="403"/>
      <c r="AD298" s="403"/>
      <c r="AE298" s="403"/>
      <c r="AF298" s="403"/>
      <c r="AG298" s="403"/>
      <c r="AH298" s="403"/>
      <c r="AI298" s="403"/>
    </row>
    <row r="299" spans="24:35">
      <c r="X299" s="403"/>
      <c r="Y299" s="403"/>
      <c r="Z299" s="403"/>
      <c r="AA299" s="403"/>
      <c r="AB299" s="403"/>
      <c r="AC299" s="403"/>
      <c r="AD299" s="403"/>
      <c r="AE299" s="403"/>
      <c r="AF299" s="403"/>
      <c r="AG299" s="403"/>
      <c r="AH299" s="403"/>
      <c r="AI299" s="403"/>
    </row>
    <row r="300" spans="24:35">
      <c r="X300" s="403"/>
      <c r="Y300" s="403"/>
      <c r="Z300" s="403"/>
      <c r="AA300" s="403"/>
      <c r="AB300" s="403"/>
      <c r="AC300" s="403"/>
      <c r="AD300" s="403"/>
      <c r="AE300" s="403"/>
      <c r="AF300" s="403"/>
      <c r="AG300" s="403"/>
      <c r="AH300" s="403"/>
      <c r="AI300" s="403"/>
    </row>
    <row r="301" spans="24:35">
      <c r="X301" s="403"/>
      <c r="Y301" s="403"/>
      <c r="Z301" s="403"/>
      <c r="AA301" s="403"/>
      <c r="AB301" s="403"/>
      <c r="AC301" s="403"/>
      <c r="AD301" s="403"/>
      <c r="AE301" s="403"/>
      <c r="AF301" s="403"/>
      <c r="AG301" s="403"/>
      <c r="AH301" s="403"/>
      <c r="AI301" s="403"/>
    </row>
    <row r="302" spans="24:35">
      <c r="X302" s="403"/>
      <c r="Y302" s="403"/>
      <c r="Z302" s="403"/>
      <c r="AA302" s="403"/>
      <c r="AB302" s="403"/>
      <c r="AC302" s="403"/>
      <c r="AD302" s="403"/>
      <c r="AE302" s="403"/>
      <c r="AF302" s="403"/>
      <c r="AG302" s="403"/>
      <c r="AH302" s="403"/>
      <c r="AI302" s="403"/>
    </row>
    <row r="303" spans="24:35">
      <c r="X303" s="403"/>
      <c r="Y303" s="403"/>
      <c r="Z303" s="403"/>
      <c r="AA303" s="403"/>
      <c r="AB303" s="403"/>
      <c r="AC303" s="403"/>
      <c r="AD303" s="403"/>
      <c r="AE303" s="403"/>
      <c r="AF303" s="403"/>
      <c r="AG303" s="403"/>
      <c r="AH303" s="403"/>
      <c r="AI303" s="403"/>
    </row>
    <row r="304" spans="24:35">
      <c r="X304" s="403"/>
      <c r="Y304" s="403"/>
      <c r="Z304" s="403"/>
      <c r="AA304" s="403"/>
      <c r="AB304" s="403"/>
      <c r="AC304" s="403"/>
      <c r="AD304" s="403"/>
      <c r="AE304" s="403"/>
      <c r="AF304" s="403"/>
      <c r="AG304" s="403"/>
      <c r="AH304" s="403"/>
      <c r="AI304" s="403"/>
    </row>
    <row r="305" spans="24:35">
      <c r="X305" s="403"/>
      <c r="Y305" s="403"/>
      <c r="Z305" s="403"/>
      <c r="AA305" s="403"/>
      <c r="AB305" s="403"/>
      <c r="AC305" s="403"/>
      <c r="AD305" s="403"/>
      <c r="AE305" s="403"/>
      <c r="AF305" s="403"/>
      <c r="AG305" s="403"/>
      <c r="AH305" s="403"/>
      <c r="AI305" s="403"/>
    </row>
    <row r="306" spans="24:35">
      <c r="X306" s="403"/>
      <c r="Y306" s="403"/>
      <c r="Z306" s="403"/>
      <c r="AA306" s="403"/>
      <c r="AB306" s="403"/>
      <c r="AC306" s="403"/>
      <c r="AD306" s="403"/>
      <c r="AE306" s="403"/>
      <c r="AF306" s="403"/>
      <c r="AG306" s="403"/>
      <c r="AH306" s="403"/>
      <c r="AI306" s="403"/>
    </row>
    <row r="307" spans="24:35">
      <c r="X307" s="403"/>
      <c r="Y307" s="403"/>
      <c r="Z307" s="403"/>
      <c r="AA307" s="403"/>
      <c r="AB307" s="403"/>
      <c r="AC307" s="403"/>
      <c r="AD307" s="403"/>
      <c r="AE307" s="403"/>
      <c r="AF307" s="403"/>
      <c r="AG307" s="403"/>
      <c r="AH307" s="403"/>
      <c r="AI307" s="403"/>
    </row>
    <row r="308" spans="24:35">
      <c r="X308" s="403"/>
      <c r="Y308" s="403"/>
      <c r="Z308" s="403"/>
      <c r="AA308" s="403"/>
      <c r="AB308" s="403"/>
      <c r="AC308" s="403"/>
      <c r="AD308" s="403"/>
      <c r="AE308" s="403"/>
      <c r="AF308" s="403"/>
      <c r="AG308" s="403"/>
      <c r="AH308" s="403"/>
      <c r="AI308" s="403"/>
    </row>
    <row r="309" spans="24:35">
      <c r="X309" s="403"/>
      <c r="Y309" s="403"/>
      <c r="Z309" s="403"/>
      <c r="AA309" s="403"/>
      <c r="AB309" s="403"/>
      <c r="AC309" s="403"/>
      <c r="AD309" s="403"/>
      <c r="AE309" s="403"/>
      <c r="AF309" s="403"/>
      <c r="AG309" s="403"/>
      <c r="AH309" s="403"/>
      <c r="AI309" s="403"/>
    </row>
    <row r="310" spans="24:35">
      <c r="X310" s="403"/>
      <c r="Y310" s="403"/>
      <c r="Z310" s="403"/>
      <c r="AA310" s="403"/>
      <c r="AB310" s="403"/>
      <c r="AC310" s="403"/>
      <c r="AD310" s="403"/>
      <c r="AE310" s="403"/>
      <c r="AF310" s="403"/>
      <c r="AG310" s="403"/>
      <c r="AH310" s="403"/>
      <c r="AI310" s="403"/>
    </row>
    <row r="311" spans="24:35">
      <c r="X311" s="403"/>
      <c r="Y311" s="403"/>
      <c r="Z311" s="403"/>
      <c r="AA311" s="403"/>
      <c r="AB311" s="403"/>
      <c r="AC311" s="403"/>
      <c r="AD311" s="403"/>
      <c r="AE311" s="403"/>
      <c r="AF311" s="403"/>
      <c r="AG311" s="403"/>
      <c r="AH311" s="403"/>
      <c r="AI311" s="403"/>
    </row>
    <row r="312" spans="24:35">
      <c r="X312" s="403"/>
      <c r="Y312" s="403"/>
      <c r="Z312" s="403"/>
      <c r="AA312" s="403"/>
      <c r="AB312" s="403"/>
      <c r="AC312" s="403"/>
      <c r="AD312" s="403"/>
      <c r="AE312" s="403"/>
      <c r="AF312" s="403"/>
      <c r="AG312" s="403"/>
      <c r="AH312" s="403"/>
      <c r="AI312" s="403"/>
    </row>
    <row r="313" spans="24:35">
      <c r="X313" s="403"/>
      <c r="Y313" s="403"/>
      <c r="Z313" s="403"/>
      <c r="AA313" s="403"/>
      <c r="AB313" s="403"/>
      <c r="AC313" s="403"/>
      <c r="AD313" s="403"/>
      <c r="AE313" s="403"/>
      <c r="AF313" s="403"/>
      <c r="AG313" s="403"/>
      <c r="AH313" s="403"/>
      <c r="AI313" s="403"/>
    </row>
    <row r="314" spans="24:35">
      <c r="X314" s="403"/>
      <c r="Y314" s="403"/>
      <c r="Z314" s="403"/>
      <c r="AA314" s="403"/>
      <c r="AB314" s="403"/>
      <c r="AC314" s="403"/>
      <c r="AD314" s="403"/>
      <c r="AE314" s="403"/>
      <c r="AF314" s="403"/>
      <c r="AG314" s="403"/>
      <c r="AH314" s="403"/>
      <c r="AI314" s="403"/>
    </row>
    <row r="315" spans="24:35">
      <c r="X315" s="403"/>
      <c r="Y315" s="403"/>
      <c r="Z315" s="403"/>
      <c r="AA315" s="403"/>
      <c r="AB315" s="403"/>
      <c r="AC315" s="403"/>
      <c r="AD315" s="403"/>
      <c r="AE315" s="403"/>
      <c r="AF315" s="403"/>
      <c r="AG315" s="403"/>
      <c r="AH315" s="403"/>
      <c r="AI315" s="403"/>
    </row>
    <row r="316" spans="24:35">
      <c r="X316" s="403"/>
      <c r="Y316" s="403"/>
      <c r="Z316" s="403"/>
      <c r="AA316" s="403"/>
      <c r="AB316" s="403"/>
      <c r="AC316" s="403"/>
      <c r="AD316" s="403"/>
      <c r="AE316" s="403"/>
      <c r="AF316" s="403"/>
      <c r="AG316" s="403"/>
      <c r="AH316" s="403"/>
      <c r="AI316" s="403"/>
    </row>
    <row r="317" spans="24:35">
      <c r="X317" s="403"/>
      <c r="Y317" s="403"/>
      <c r="Z317" s="403"/>
      <c r="AA317" s="403"/>
      <c r="AB317" s="403"/>
      <c r="AC317" s="403"/>
      <c r="AD317" s="403"/>
      <c r="AE317" s="403"/>
      <c r="AF317" s="403"/>
      <c r="AG317" s="403"/>
      <c r="AH317" s="403"/>
      <c r="AI317" s="403"/>
    </row>
    <row r="318" spans="24:35">
      <c r="X318" s="403"/>
      <c r="Y318" s="403"/>
      <c r="Z318" s="403"/>
      <c r="AA318" s="403"/>
      <c r="AB318" s="403"/>
      <c r="AC318" s="403"/>
      <c r="AD318" s="403"/>
      <c r="AE318" s="403"/>
      <c r="AF318" s="403"/>
      <c r="AG318" s="403"/>
      <c r="AH318" s="403"/>
      <c r="AI318" s="403"/>
    </row>
    <row r="319" spans="24:35">
      <c r="X319" s="403"/>
      <c r="Y319" s="403"/>
      <c r="Z319" s="403"/>
      <c r="AA319" s="403"/>
      <c r="AB319" s="403"/>
      <c r="AC319" s="403"/>
      <c r="AD319" s="403"/>
      <c r="AE319" s="403"/>
      <c r="AF319" s="403"/>
      <c r="AG319" s="403"/>
      <c r="AH319" s="403"/>
      <c r="AI319" s="403"/>
    </row>
    <row r="320" spans="24:35">
      <c r="X320" s="403"/>
      <c r="Y320" s="403"/>
      <c r="Z320" s="403"/>
      <c r="AA320" s="403"/>
      <c r="AB320" s="403"/>
      <c r="AC320" s="403"/>
      <c r="AD320" s="403"/>
      <c r="AE320" s="403"/>
      <c r="AF320" s="403"/>
      <c r="AG320" s="403"/>
      <c r="AH320" s="403"/>
      <c r="AI320" s="403"/>
    </row>
    <row r="321" spans="24:35">
      <c r="X321" s="403"/>
      <c r="Y321" s="403"/>
      <c r="Z321" s="403"/>
      <c r="AA321" s="403"/>
      <c r="AB321" s="403"/>
      <c r="AC321" s="403"/>
      <c r="AD321" s="403"/>
      <c r="AE321" s="403"/>
      <c r="AF321" s="403"/>
      <c r="AG321" s="403"/>
      <c r="AH321" s="403"/>
      <c r="AI321" s="403"/>
    </row>
    <row r="322" spans="24:35">
      <c r="X322" s="403"/>
      <c r="Y322" s="403"/>
      <c r="Z322" s="403"/>
      <c r="AA322" s="403"/>
      <c r="AB322" s="403"/>
      <c r="AC322" s="403"/>
      <c r="AD322" s="403"/>
      <c r="AE322" s="403"/>
      <c r="AF322" s="403"/>
      <c r="AG322" s="403"/>
      <c r="AH322" s="403"/>
      <c r="AI322" s="403"/>
    </row>
    <row r="323" spans="24:35">
      <c r="X323" s="403"/>
      <c r="Y323" s="403"/>
      <c r="Z323" s="403"/>
      <c r="AA323" s="403"/>
      <c r="AB323" s="403"/>
      <c r="AC323" s="403"/>
      <c r="AD323" s="403"/>
      <c r="AE323" s="403"/>
      <c r="AF323" s="403"/>
      <c r="AG323" s="403"/>
      <c r="AH323" s="403"/>
      <c r="AI323" s="403"/>
    </row>
    <row r="324" spans="24:35">
      <c r="X324" s="403"/>
      <c r="Y324" s="403"/>
      <c r="Z324" s="403"/>
      <c r="AA324" s="403"/>
      <c r="AB324" s="403"/>
      <c r="AC324" s="403"/>
      <c r="AD324" s="403"/>
      <c r="AE324" s="403"/>
      <c r="AF324" s="403"/>
      <c r="AG324" s="403"/>
      <c r="AH324" s="403"/>
      <c r="AI324" s="403"/>
    </row>
    <row r="325" spans="24:35">
      <c r="X325" s="403"/>
      <c r="Y325" s="403"/>
      <c r="Z325" s="403"/>
      <c r="AA325" s="403"/>
      <c r="AB325" s="403"/>
      <c r="AC325" s="403"/>
      <c r="AD325" s="403"/>
      <c r="AE325" s="403"/>
      <c r="AF325" s="403"/>
      <c r="AG325" s="403"/>
      <c r="AH325" s="403"/>
      <c r="AI325" s="403"/>
    </row>
    <row r="326" spans="24:35">
      <c r="X326" s="403"/>
      <c r="Y326" s="403"/>
      <c r="Z326" s="403"/>
      <c r="AA326" s="403"/>
      <c r="AB326" s="403"/>
      <c r="AC326" s="403"/>
      <c r="AD326" s="403"/>
      <c r="AE326" s="403"/>
      <c r="AF326" s="403"/>
      <c r="AG326" s="403"/>
      <c r="AH326" s="403"/>
      <c r="AI326" s="403"/>
    </row>
    <row r="327" spans="24:35">
      <c r="X327" s="403"/>
      <c r="Y327" s="403"/>
      <c r="Z327" s="403"/>
      <c r="AA327" s="403"/>
      <c r="AB327" s="403"/>
      <c r="AC327" s="403"/>
      <c r="AD327" s="403"/>
      <c r="AE327" s="403"/>
      <c r="AF327" s="403"/>
      <c r="AG327" s="403"/>
      <c r="AH327" s="403"/>
      <c r="AI327" s="403"/>
    </row>
    <row r="328" spans="24:35">
      <c r="X328" s="403"/>
      <c r="Y328" s="403"/>
      <c r="Z328" s="403"/>
      <c r="AA328" s="403"/>
      <c r="AB328" s="403"/>
      <c r="AC328" s="403"/>
      <c r="AD328" s="403"/>
      <c r="AE328" s="403"/>
      <c r="AF328" s="403"/>
      <c r="AG328" s="403"/>
      <c r="AH328" s="403"/>
      <c r="AI328" s="403"/>
    </row>
    <row r="329" spans="24:35">
      <c r="X329" s="403"/>
      <c r="Y329" s="403"/>
      <c r="Z329" s="403"/>
      <c r="AA329" s="403"/>
      <c r="AB329" s="403"/>
      <c r="AC329" s="403"/>
      <c r="AD329" s="403"/>
      <c r="AE329" s="403"/>
      <c r="AF329" s="403"/>
      <c r="AG329" s="403"/>
      <c r="AH329" s="403"/>
      <c r="AI329" s="403"/>
    </row>
    <row r="330" spans="24:35">
      <c r="X330" s="403"/>
      <c r="Y330" s="403"/>
      <c r="Z330" s="403"/>
      <c r="AA330" s="403"/>
      <c r="AB330" s="403"/>
      <c r="AC330" s="403"/>
      <c r="AD330" s="403"/>
      <c r="AE330" s="403"/>
      <c r="AF330" s="403"/>
      <c r="AG330" s="403"/>
      <c r="AH330" s="403"/>
      <c r="AI330" s="403"/>
    </row>
    <row r="331" spans="24:35">
      <c r="X331" s="403"/>
      <c r="Y331" s="403"/>
      <c r="Z331" s="403"/>
      <c r="AA331" s="403"/>
      <c r="AB331" s="403"/>
      <c r="AC331" s="403"/>
      <c r="AD331" s="403"/>
      <c r="AE331" s="403"/>
      <c r="AF331" s="403"/>
      <c r="AG331" s="403"/>
      <c r="AH331" s="403"/>
      <c r="AI331" s="403"/>
    </row>
    <row r="332" spans="24:35">
      <c r="X332" s="403"/>
      <c r="Y332" s="403"/>
      <c r="Z332" s="403"/>
      <c r="AA332" s="403"/>
      <c r="AB332" s="403"/>
      <c r="AC332" s="403"/>
      <c r="AD332" s="403"/>
      <c r="AE332" s="403"/>
      <c r="AF332" s="403"/>
      <c r="AG332" s="403"/>
      <c r="AH332" s="403"/>
      <c r="AI332" s="403"/>
    </row>
    <row r="333" spans="24:35">
      <c r="X333" s="403"/>
      <c r="Y333" s="403"/>
      <c r="Z333" s="403"/>
      <c r="AA333" s="403"/>
      <c r="AB333" s="403"/>
      <c r="AC333" s="403"/>
      <c r="AD333" s="403"/>
      <c r="AE333" s="403"/>
      <c r="AF333" s="403"/>
      <c r="AG333" s="403"/>
      <c r="AH333" s="403"/>
      <c r="AI333" s="403"/>
    </row>
    <row r="334" spans="24:35">
      <c r="X334" s="403"/>
      <c r="Y334" s="403"/>
      <c r="Z334" s="403"/>
      <c r="AA334" s="403"/>
      <c r="AB334" s="403"/>
      <c r="AC334" s="403"/>
      <c r="AD334" s="403"/>
      <c r="AE334" s="403"/>
      <c r="AF334" s="403"/>
      <c r="AG334" s="403"/>
      <c r="AH334" s="403"/>
      <c r="AI334" s="403"/>
    </row>
    <row r="335" spans="24:35">
      <c r="X335" s="403"/>
      <c r="Y335" s="403"/>
      <c r="Z335" s="403"/>
      <c r="AA335" s="403"/>
      <c r="AB335" s="403"/>
      <c r="AC335" s="403"/>
      <c r="AD335" s="403"/>
      <c r="AE335" s="403"/>
      <c r="AF335" s="403"/>
      <c r="AG335" s="403"/>
      <c r="AH335" s="403"/>
      <c r="AI335" s="403"/>
    </row>
    <row r="336" spans="24:35">
      <c r="X336" s="403"/>
      <c r="Y336" s="403"/>
      <c r="Z336" s="403"/>
      <c r="AA336" s="403"/>
      <c r="AB336" s="403"/>
      <c r="AC336" s="403"/>
      <c r="AD336" s="403"/>
      <c r="AE336" s="403"/>
      <c r="AF336" s="403"/>
      <c r="AG336" s="403"/>
      <c r="AH336" s="403"/>
      <c r="AI336" s="403"/>
    </row>
    <row r="337" spans="24:35">
      <c r="X337" s="403"/>
      <c r="Y337" s="403"/>
      <c r="Z337" s="403"/>
      <c r="AA337" s="403"/>
      <c r="AB337" s="403"/>
      <c r="AC337" s="403"/>
      <c r="AD337" s="403"/>
      <c r="AE337" s="403"/>
      <c r="AF337" s="403"/>
      <c r="AG337" s="403"/>
      <c r="AH337" s="403"/>
      <c r="AI337" s="403"/>
    </row>
    <row r="338" spans="24:35">
      <c r="X338" s="403"/>
      <c r="Y338" s="403"/>
      <c r="Z338" s="403"/>
      <c r="AA338" s="403"/>
      <c r="AB338" s="403"/>
      <c r="AC338" s="403"/>
      <c r="AD338" s="403"/>
      <c r="AE338" s="403"/>
      <c r="AF338" s="403"/>
      <c r="AG338" s="403"/>
      <c r="AH338" s="403"/>
      <c r="AI338" s="403"/>
    </row>
    <row r="339" spans="24:35">
      <c r="X339" s="403"/>
      <c r="Y339" s="403"/>
      <c r="Z339" s="403"/>
      <c r="AA339" s="403"/>
      <c r="AB339" s="403"/>
      <c r="AC339" s="403"/>
      <c r="AD339" s="403"/>
      <c r="AE339" s="403"/>
      <c r="AF339" s="403"/>
      <c r="AG339" s="403"/>
      <c r="AH339" s="403"/>
      <c r="AI339" s="403"/>
    </row>
    <row r="340" spans="24:35">
      <c r="X340" s="403"/>
      <c r="Y340" s="403"/>
      <c r="Z340" s="403"/>
      <c r="AA340" s="403"/>
      <c r="AB340" s="403"/>
      <c r="AC340" s="403"/>
      <c r="AD340" s="403"/>
      <c r="AE340" s="403"/>
      <c r="AF340" s="403"/>
      <c r="AG340" s="403"/>
      <c r="AH340" s="403"/>
      <c r="AI340" s="403"/>
    </row>
    <row r="341" spans="24:35">
      <c r="X341" s="403"/>
      <c r="Y341" s="403"/>
      <c r="Z341" s="403"/>
      <c r="AA341" s="403"/>
      <c r="AB341" s="403"/>
      <c r="AC341" s="403"/>
      <c r="AD341" s="403"/>
      <c r="AE341" s="403"/>
      <c r="AF341" s="403"/>
      <c r="AG341" s="403"/>
      <c r="AH341" s="403"/>
      <c r="AI341" s="403"/>
    </row>
    <row r="342" spans="24:35">
      <c r="X342" s="403"/>
      <c r="Y342" s="403"/>
      <c r="Z342" s="403"/>
      <c r="AA342" s="403"/>
      <c r="AB342" s="403"/>
      <c r="AC342" s="403"/>
      <c r="AD342" s="403"/>
      <c r="AE342" s="403"/>
      <c r="AF342" s="403"/>
      <c r="AG342" s="403"/>
      <c r="AH342" s="403"/>
      <c r="AI342" s="403"/>
    </row>
    <row r="343" spans="24:35">
      <c r="X343" s="403"/>
      <c r="Y343" s="403"/>
      <c r="Z343" s="403"/>
      <c r="AA343" s="403"/>
      <c r="AB343" s="403"/>
      <c r="AC343" s="403"/>
      <c r="AD343" s="403"/>
      <c r="AE343" s="403"/>
      <c r="AF343" s="403"/>
      <c r="AG343" s="403"/>
      <c r="AH343" s="403"/>
      <c r="AI343" s="403"/>
    </row>
    <row r="344" spans="24:35">
      <c r="X344" s="403"/>
      <c r="Y344" s="403"/>
      <c r="Z344" s="403"/>
      <c r="AA344" s="403"/>
      <c r="AB344" s="403"/>
      <c r="AC344" s="403"/>
      <c r="AD344" s="403"/>
      <c r="AE344" s="403"/>
      <c r="AF344" s="403"/>
      <c r="AG344" s="403"/>
      <c r="AH344" s="403"/>
      <c r="AI344" s="403"/>
    </row>
    <row r="345" spans="24:35">
      <c r="X345" s="403"/>
      <c r="Y345" s="403"/>
      <c r="Z345" s="403"/>
      <c r="AA345" s="403"/>
      <c r="AB345" s="403"/>
      <c r="AC345" s="403"/>
      <c r="AD345" s="403"/>
      <c r="AE345" s="403"/>
      <c r="AF345" s="403"/>
      <c r="AG345" s="403"/>
      <c r="AH345" s="403"/>
      <c r="AI345" s="403"/>
    </row>
    <row r="346" spans="24:35">
      <c r="X346" s="403"/>
      <c r="Y346" s="403"/>
      <c r="Z346" s="403"/>
      <c r="AA346" s="403"/>
      <c r="AB346" s="403"/>
      <c r="AC346" s="403"/>
      <c r="AD346" s="403"/>
      <c r="AE346" s="403"/>
      <c r="AF346" s="403"/>
      <c r="AG346" s="403"/>
      <c r="AH346" s="403"/>
      <c r="AI346" s="403"/>
    </row>
    <row r="347" spans="24:35">
      <c r="X347" s="403"/>
      <c r="Y347" s="403"/>
      <c r="Z347" s="403"/>
      <c r="AA347" s="403"/>
      <c r="AB347" s="403"/>
      <c r="AC347" s="403"/>
      <c r="AD347" s="403"/>
      <c r="AE347" s="403"/>
      <c r="AF347" s="403"/>
      <c r="AG347" s="403"/>
      <c r="AH347" s="403"/>
      <c r="AI347" s="403"/>
    </row>
    <row r="348" spans="24:35">
      <c r="X348" s="403"/>
      <c r="Y348" s="403"/>
      <c r="Z348" s="403"/>
      <c r="AA348" s="403"/>
      <c r="AB348" s="403"/>
      <c r="AC348" s="403"/>
      <c r="AD348" s="403"/>
      <c r="AE348" s="403"/>
      <c r="AF348" s="403"/>
      <c r="AG348" s="403"/>
      <c r="AH348" s="403"/>
      <c r="AI348" s="403"/>
    </row>
    <row r="349" spans="24:35">
      <c r="X349" s="403"/>
      <c r="Y349" s="403"/>
      <c r="Z349" s="403"/>
      <c r="AA349" s="403"/>
      <c r="AB349" s="403"/>
      <c r="AC349" s="403"/>
      <c r="AD349" s="403"/>
      <c r="AE349" s="403"/>
      <c r="AF349" s="403"/>
      <c r="AG349" s="403"/>
      <c r="AH349" s="403"/>
      <c r="AI349" s="403"/>
    </row>
    <row r="350" spans="24:35">
      <c r="X350" s="403"/>
      <c r="Y350" s="403"/>
      <c r="Z350" s="403"/>
      <c r="AA350" s="403"/>
      <c r="AB350" s="403"/>
      <c r="AC350" s="403"/>
      <c r="AD350" s="403"/>
      <c r="AE350" s="403"/>
      <c r="AF350" s="403"/>
      <c r="AG350" s="403"/>
      <c r="AH350" s="403"/>
      <c r="AI350" s="403"/>
    </row>
    <row r="351" spans="24:35">
      <c r="X351" s="403"/>
      <c r="Y351" s="403"/>
      <c r="Z351" s="403"/>
      <c r="AA351" s="403"/>
      <c r="AB351" s="403"/>
      <c r="AC351" s="403"/>
      <c r="AD351" s="403"/>
      <c r="AE351" s="403"/>
      <c r="AF351" s="403"/>
      <c r="AG351" s="403"/>
      <c r="AH351" s="403"/>
      <c r="AI351" s="403"/>
    </row>
    <row r="352" spans="24:35">
      <c r="X352" s="403"/>
      <c r="Y352" s="403"/>
      <c r="Z352" s="403"/>
      <c r="AA352" s="403"/>
      <c r="AB352" s="403"/>
      <c r="AC352" s="403"/>
      <c r="AD352" s="403"/>
      <c r="AE352" s="403"/>
      <c r="AF352" s="403"/>
      <c r="AG352" s="403"/>
      <c r="AH352" s="403"/>
      <c r="AI352" s="403"/>
    </row>
    <row r="353" spans="24:35">
      <c r="X353" s="403"/>
      <c r="Y353" s="403"/>
      <c r="Z353" s="403"/>
      <c r="AA353" s="403"/>
      <c r="AB353" s="403"/>
      <c r="AC353" s="403"/>
      <c r="AD353" s="403"/>
      <c r="AE353" s="403"/>
      <c r="AF353" s="403"/>
      <c r="AG353" s="403"/>
      <c r="AH353" s="403"/>
      <c r="AI353" s="403"/>
    </row>
    <row r="354" spans="24:35">
      <c r="X354" s="403"/>
      <c r="Y354" s="403"/>
      <c r="Z354" s="403"/>
      <c r="AA354" s="403"/>
      <c r="AB354" s="403"/>
      <c r="AC354" s="403"/>
      <c r="AD354" s="403"/>
      <c r="AE354" s="403"/>
      <c r="AF354" s="403"/>
      <c r="AG354" s="403"/>
      <c r="AH354" s="403"/>
      <c r="AI354" s="403"/>
    </row>
    <row r="355" spans="24:35">
      <c r="X355" s="403"/>
      <c r="Y355" s="403"/>
      <c r="Z355" s="403"/>
      <c r="AA355" s="403"/>
      <c r="AB355" s="403"/>
      <c r="AC355" s="403"/>
      <c r="AD355" s="403"/>
      <c r="AE355" s="403"/>
      <c r="AF355" s="403"/>
      <c r="AG355" s="403"/>
      <c r="AH355" s="403"/>
      <c r="AI355" s="403"/>
    </row>
    <row r="356" spans="24:35">
      <c r="X356" s="403"/>
      <c r="Y356" s="403"/>
      <c r="Z356" s="403"/>
      <c r="AA356" s="403"/>
      <c r="AB356" s="403"/>
      <c r="AC356" s="403"/>
      <c r="AD356" s="403"/>
      <c r="AE356" s="403"/>
      <c r="AF356" s="403"/>
      <c r="AG356" s="403"/>
      <c r="AH356" s="403"/>
      <c r="AI356" s="403"/>
    </row>
    <row r="357" spans="24:35">
      <c r="X357" s="403"/>
      <c r="Y357" s="403"/>
      <c r="Z357" s="403"/>
      <c r="AA357" s="403"/>
      <c r="AB357" s="403"/>
      <c r="AC357" s="403"/>
      <c r="AD357" s="403"/>
      <c r="AE357" s="403"/>
      <c r="AF357" s="403"/>
      <c r="AG357" s="403"/>
      <c r="AH357" s="403"/>
      <c r="AI357" s="403"/>
    </row>
    <row r="358" spans="24:35">
      <c r="X358" s="403"/>
      <c r="Y358" s="403"/>
      <c r="Z358" s="403"/>
      <c r="AA358" s="403"/>
      <c r="AB358" s="403"/>
      <c r="AC358" s="403"/>
      <c r="AD358" s="403"/>
      <c r="AE358" s="403"/>
      <c r="AF358" s="403"/>
      <c r="AG358" s="403"/>
      <c r="AH358" s="403"/>
      <c r="AI358" s="403"/>
    </row>
    <row r="359" spans="24:35">
      <c r="X359" s="403"/>
      <c r="Y359" s="403"/>
      <c r="Z359" s="403"/>
      <c r="AA359" s="403"/>
      <c r="AB359" s="403"/>
      <c r="AC359" s="403"/>
      <c r="AD359" s="403"/>
      <c r="AE359" s="403"/>
      <c r="AF359" s="403"/>
      <c r="AG359" s="403"/>
      <c r="AH359" s="403"/>
      <c r="AI359" s="403"/>
    </row>
    <row r="360" spans="24:35">
      <c r="X360" s="403"/>
      <c r="Y360" s="403"/>
      <c r="Z360" s="403"/>
      <c r="AA360" s="403"/>
      <c r="AB360" s="403"/>
      <c r="AC360" s="403"/>
      <c r="AD360" s="403"/>
      <c r="AE360" s="403"/>
      <c r="AF360" s="403"/>
      <c r="AG360" s="403"/>
      <c r="AH360" s="403"/>
      <c r="AI360" s="403"/>
    </row>
    <row r="361" spans="24:35">
      <c r="X361" s="403"/>
      <c r="Y361" s="403"/>
      <c r="Z361" s="403"/>
      <c r="AA361" s="403"/>
      <c r="AB361" s="403"/>
      <c r="AC361" s="403"/>
      <c r="AD361" s="403"/>
      <c r="AE361" s="403"/>
      <c r="AF361" s="403"/>
      <c r="AG361" s="403"/>
      <c r="AH361" s="403"/>
      <c r="AI361" s="403"/>
    </row>
    <row r="362" spans="24:35">
      <c r="X362" s="403"/>
      <c r="Y362" s="403"/>
      <c r="Z362" s="403"/>
      <c r="AA362" s="403"/>
      <c r="AB362" s="403"/>
      <c r="AC362" s="403"/>
      <c r="AD362" s="403"/>
      <c r="AE362" s="403"/>
      <c r="AF362" s="403"/>
      <c r="AG362" s="403"/>
      <c r="AH362" s="403"/>
      <c r="AI362" s="403"/>
    </row>
    <row r="363" spans="24:35">
      <c r="X363" s="403"/>
      <c r="Y363" s="403"/>
      <c r="Z363" s="403"/>
      <c r="AA363" s="403"/>
      <c r="AB363" s="403"/>
      <c r="AC363" s="403"/>
      <c r="AD363" s="403"/>
      <c r="AE363" s="403"/>
      <c r="AF363" s="403"/>
      <c r="AG363" s="403"/>
      <c r="AH363" s="403"/>
      <c r="AI363" s="403"/>
    </row>
    <row r="364" spans="24:35">
      <c r="X364" s="403"/>
      <c r="Y364" s="403"/>
      <c r="Z364" s="403"/>
      <c r="AA364" s="403"/>
      <c r="AB364" s="403"/>
      <c r="AC364" s="403"/>
      <c r="AD364" s="403"/>
      <c r="AE364" s="403"/>
      <c r="AF364" s="403"/>
      <c r="AG364" s="403"/>
      <c r="AH364" s="403"/>
      <c r="AI364" s="403"/>
    </row>
    <row r="365" spans="24:35">
      <c r="X365" s="403"/>
      <c r="Y365" s="403"/>
      <c r="Z365" s="403"/>
      <c r="AA365" s="403"/>
      <c r="AB365" s="403"/>
      <c r="AC365" s="403"/>
      <c r="AD365" s="403"/>
      <c r="AE365" s="403"/>
      <c r="AF365" s="403"/>
      <c r="AG365" s="403"/>
      <c r="AH365" s="403"/>
      <c r="AI365" s="403"/>
    </row>
    <row r="366" spans="24:35">
      <c r="X366" s="403"/>
      <c r="Y366" s="403"/>
      <c r="Z366" s="403"/>
      <c r="AA366" s="403"/>
      <c r="AB366" s="403"/>
      <c r="AC366" s="403"/>
      <c r="AD366" s="403"/>
      <c r="AE366" s="403"/>
      <c r="AF366" s="403"/>
      <c r="AG366" s="403"/>
      <c r="AH366" s="403"/>
      <c r="AI366" s="403"/>
    </row>
    <row r="367" spans="24:35">
      <c r="X367" s="403"/>
      <c r="Y367" s="403"/>
      <c r="Z367" s="403"/>
      <c r="AA367" s="403"/>
      <c r="AB367" s="403"/>
      <c r="AC367" s="403"/>
      <c r="AD367" s="403"/>
      <c r="AE367" s="403"/>
      <c r="AF367" s="403"/>
      <c r="AG367" s="403"/>
      <c r="AH367" s="403"/>
      <c r="AI367" s="403"/>
    </row>
    <row r="368" spans="24:35">
      <c r="X368" s="403"/>
      <c r="Y368" s="403"/>
      <c r="Z368" s="403"/>
      <c r="AA368" s="403"/>
      <c r="AB368" s="403"/>
      <c r="AC368" s="403"/>
      <c r="AD368" s="403"/>
      <c r="AE368" s="403"/>
      <c r="AF368" s="403"/>
      <c r="AG368" s="403"/>
      <c r="AH368" s="403"/>
      <c r="AI368" s="403"/>
    </row>
    <row r="369" spans="24:35">
      <c r="X369" s="403"/>
      <c r="Y369" s="403"/>
      <c r="Z369" s="403"/>
      <c r="AA369" s="403"/>
      <c r="AB369" s="403"/>
      <c r="AC369" s="403"/>
      <c r="AD369" s="403"/>
      <c r="AE369" s="403"/>
      <c r="AF369" s="403"/>
      <c r="AG369" s="403"/>
      <c r="AH369" s="403"/>
      <c r="AI369" s="403"/>
    </row>
    <row r="370" spans="24:35">
      <c r="X370" s="403"/>
      <c r="Y370" s="403"/>
      <c r="Z370" s="403"/>
      <c r="AA370" s="403"/>
      <c r="AB370" s="403"/>
      <c r="AC370" s="403"/>
      <c r="AD370" s="403"/>
      <c r="AE370" s="403"/>
      <c r="AF370" s="403"/>
      <c r="AG370" s="403"/>
      <c r="AH370" s="403"/>
      <c r="AI370" s="403"/>
    </row>
    <row r="371" spans="24:35">
      <c r="X371" s="403"/>
      <c r="Y371" s="403"/>
      <c r="Z371" s="403"/>
      <c r="AA371" s="403"/>
      <c r="AB371" s="403"/>
      <c r="AC371" s="403"/>
      <c r="AD371" s="403"/>
      <c r="AE371" s="403"/>
      <c r="AF371" s="403"/>
      <c r="AG371" s="403"/>
      <c r="AH371" s="403"/>
      <c r="AI371" s="403"/>
    </row>
    <row r="372" spans="24:35">
      <c r="X372" s="403"/>
      <c r="Y372" s="403"/>
      <c r="Z372" s="403"/>
      <c r="AA372" s="403"/>
      <c r="AB372" s="403"/>
      <c r="AC372" s="403"/>
      <c r="AD372" s="403"/>
      <c r="AE372" s="403"/>
      <c r="AF372" s="403"/>
      <c r="AG372" s="403"/>
      <c r="AH372" s="403"/>
      <c r="AI372" s="403"/>
    </row>
    <row r="373" spans="24:35">
      <c r="X373" s="403"/>
      <c r="Y373" s="403"/>
      <c r="Z373" s="403"/>
      <c r="AA373" s="403"/>
      <c r="AB373" s="403"/>
      <c r="AC373" s="403"/>
      <c r="AD373" s="403"/>
      <c r="AE373" s="403"/>
      <c r="AF373" s="403"/>
      <c r="AG373" s="403"/>
      <c r="AH373" s="403"/>
      <c r="AI373" s="403"/>
    </row>
    <row r="374" spans="24:35">
      <c r="X374" s="403"/>
      <c r="Y374" s="403"/>
      <c r="Z374" s="403"/>
      <c r="AA374" s="403"/>
      <c r="AB374" s="403"/>
      <c r="AC374" s="403"/>
      <c r="AD374" s="403"/>
      <c r="AE374" s="403"/>
      <c r="AF374" s="403"/>
      <c r="AG374" s="403"/>
      <c r="AH374" s="403"/>
      <c r="AI374" s="403"/>
    </row>
    <row r="375" spans="24:35">
      <c r="X375" s="403"/>
      <c r="Y375" s="403"/>
      <c r="Z375" s="403"/>
      <c r="AA375" s="403"/>
      <c r="AB375" s="403"/>
      <c r="AC375" s="403"/>
      <c r="AD375" s="403"/>
      <c r="AE375" s="403"/>
      <c r="AF375" s="403"/>
      <c r="AG375" s="403"/>
      <c r="AH375" s="403"/>
      <c r="AI375" s="403"/>
    </row>
    <row r="376" spans="24:35">
      <c r="X376" s="403"/>
      <c r="Y376" s="403"/>
      <c r="Z376" s="403"/>
      <c r="AA376" s="403"/>
      <c r="AB376" s="403"/>
      <c r="AC376" s="403"/>
      <c r="AD376" s="403"/>
      <c r="AE376" s="403"/>
      <c r="AF376" s="403"/>
      <c r="AG376" s="403"/>
      <c r="AH376" s="403"/>
      <c r="AI376" s="403"/>
    </row>
    <row r="377" spans="24:35">
      <c r="X377" s="403"/>
      <c r="Y377" s="403"/>
      <c r="Z377" s="403"/>
      <c r="AA377" s="403"/>
      <c r="AB377" s="403"/>
      <c r="AC377" s="403"/>
      <c r="AD377" s="403"/>
      <c r="AE377" s="403"/>
      <c r="AF377" s="403"/>
      <c r="AG377" s="403"/>
      <c r="AH377" s="403"/>
      <c r="AI377" s="403"/>
    </row>
    <row r="378" spans="24:35">
      <c r="X378" s="403"/>
      <c r="Y378" s="403"/>
      <c r="Z378" s="403"/>
      <c r="AA378" s="403"/>
      <c r="AB378" s="403"/>
      <c r="AC378" s="403"/>
      <c r="AD378" s="403"/>
      <c r="AE378" s="403"/>
      <c r="AF378" s="403"/>
      <c r="AG378" s="403"/>
      <c r="AH378" s="403"/>
      <c r="AI378" s="403"/>
    </row>
    <row r="379" spans="24:35">
      <c r="X379" s="403"/>
      <c r="Y379" s="403"/>
      <c r="Z379" s="403"/>
      <c r="AA379" s="403"/>
      <c r="AB379" s="403"/>
      <c r="AC379" s="403"/>
      <c r="AD379" s="403"/>
      <c r="AE379" s="403"/>
      <c r="AF379" s="403"/>
      <c r="AG379" s="403"/>
      <c r="AH379" s="403"/>
      <c r="AI379" s="403"/>
    </row>
    <row r="380" spans="24:35">
      <c r="X380" s="403"/>
      <c r="Y380" s="403"/>
      <c r="Z380" s="403"/>
      <c r="AA380" s="403"/>
      <c r="AB380" s="403"/>
      <c r="AC380" s="403"/>
      <c r="AD380" s="403"/>
      <c r="AE380" s="403"/>
      <c r="AF380" s="403"/>
      <c r="AG380" s="403"/>
      <c r="AH380" s="403"/>
      <c r="AI380" s="403"/>
    </row>
    <row r="381" spans="24:35">
      <c r="X381" s="403"/>
      <c r="Y381" s="403"/>
      <c r="Z381" s="403"/>
      <c r="AA381" s="403"/>
      <c r="AB381" s="403"/>
      <c r="AC381" s="403"/>
      <c r="AD381" s="403"/>
      <c r="AE381" s="403"/>
      <c r="AF381" s="403"/>
      <c r="AG381" s="403"/>
      <c r="AH381" s="403"/>
      <c r="AI381" s="403"/>
    </row>
    <row r="382" spans="24:35">
      <c r="X382" s="403"/>
      <c r="Y382" s="403"/>
      <c r="Z382" s="403"/>
      <c r="AA382" s="403"/>
      <c r="AB382" s="403"/>
      <c r="AC382" s="403"/>
      <c r="AD382" s="403"/>
      <c r="AE382" s="403"/>
      <c r="AF382" s="403"/>
      <c r="AG382" s="403"/>
      <c r="AH382" s="403"/>
      <c r="AI382" s="403"/>
    </row>
    <row r="383" spans="24:35">
      <c r="X383" s="403"/>
      <c r="Y383" s="403"/>
      <c r="Z383" s="403"/>
      <c r="AA383" s="403"/>
      <c r="AB383" s="403"/>
      <c r="AC383" s="403"/>
      <c r="AD383" s="403"/>
      <c r="AE383" s="403"/>
      <c r="AF383" s="403"/>
      <c r="AG383" s="403"/>
      <c r="AH383" s="403"/>
      <c r="AI383" s="403"/>
    </row>
    <row r="384" spans="24:35">
      <c r="X384" s="403"/>
      <c r="Y384" s="403"/>
      <c r="Z384" s="403"/>
      <c r="AA384" s="403"/>
      <c r="AB384" s="403"/>
      <c r="AC384" s="403"/>
      <c r="AD384" s="403"/>
      <c r="AE384" s="403"/>
      <c r="AF384" s="403"/>
      <c r="AG384" s="403"/>
      <c r="AH384" s="403"/>
      <c r="AI384" s="403"/>
    </row>
    <row r="385" spans="24:35">
      <c r="X385" s="403"/>
      <c r="Y385" s="403"/>
      <c r="Z385" s="403"/>
      <c r="AA385" s="403"/>
      <c r="AB385" s="403"/>
      <c r="AC385" s="403"/>
      <c r="AD385" s="403"/>
      <c r="AE385" s="403"/>
      <c r="AF385" s="403"/>
      <c r="AG385" s="403"/>
      <c r="AH385" s="403"/>
      <c r="AI385" s="403"/>
    </row>
    <row r="386" spans="24:35">
      <c r="X386" s="403"/>
      <c r="Y386" s="403"/>
      <c r="Z386" s="403"/>
      <c r="AA386" s="403"/>
      <c r="AB386" s="403"/>
      <c r="AC386" s="403"/>
      <c r="AD386" s="403"/>
      <c r="AE386" s="403"/>
      <c r="AF386" s="403"/>
      <c r="AG386" s="403"/>
      <c r="AH386" s="403"/>
      <c r="AI386" s="403"/>
    </row>
    <row r="387" spans="24:35">
      <c r="X387" s="403"/>
      <c r="Y387" s="403"/>
      <c r="Z387" s="403"/>
      <c r="AA387" s="403"/>
      <c r="AB387" s="403"/>
      <c r="AC387" s="403"/>
      <c r="AD387" s="403"/>
      <c r="AE387" s="403"/>
      <c r="AF387" s="403"/>
      <c r="AG387" s="403"/>
      <c r="AH387" s="403"/>
      <c r="AI387" s="403"/>
    </row>
    <row r="388" spans="24:35">
      <c r="X388" s="403"/>
      <c r="Y388" s="403"/>
      <c r="Z388" s="403"/>
      <c r="AA388" s="403"/>
      <c r="AB388" s="403"/>
      <c r="AC388" s="403"/>
      <c r="AD388" s="403"/>
      <c r="AE388" s="403"/>
      <c r="AF388" s="403"/>
      <c r="AG388" s="403"/>
      <c r="AH388" s="403"/>
      <c r="AI388" s="403"/>
    </row>
    <row r="389" spans="24:35">
      <c r="X389" s="403"/>
      <c r="Y389" s="403"/>
      <c r="Z389" s="403"/>
      <c r="AA389" s="403"/>
      <c r="AB389" s="403"/>
      <c r="AC389" s="403"/>
      <c r="AD389" s="403"/>
      <c r="AE389" s="403"/>
      <c r="AF389" s="403"/>
      <c r="AG389" s="403"/>
      <c r="AH389" s="403"/>
      <c r="AI389" s="403"/>
    </row>
    <row r="390" spans="24:35">
      <c r="X390" s="403"/>
      <c r="Y390" s="403"/>
      <c r="Z390" s="403"/>
      <c r="AA390" s="403"/>
      <c r="AB390" s="403"/>
      <c r="AC390" s="403"/>
      <c r="AD390" s="403"/>
      <c r="AE390" s="403"/>
      <c r="AF390" s="403"/>
      <c r="AG390" s="403"/>
      <c r="AH390" s="403"/>
      <c r="AI390" s="403"/>
    </row>
    <row r="391" spans="24:35">
      <c r="X391" s="403"/>
      <c r="Y391" s="403"/>
      <c r="Z391" s="403"/>
      <c r="AA391" s="403"/>
      <c r="AB391" s="403"/>
      <c r="AC391" s="403"/>
      <c r="AD391" s="403"/>
      <c r="AE391" s="403"/>
      <c r="AF391" s="403"/>
      <c r="AG391" s="403"/>
      <c r="AH391" s="403"/>
      <c r="AI391" s="403"/>
    </row>
    <row r="392" spans="24:35">
      <c r="X392" s="403"/>
      <c r="Y392" s="403"/>
      <c r="Z392" s="403"/>
      <c r="AA392" s="403"/>
      <c r="AB392" s="403"/>
      <c r="AC392" s="403"/>
      <c r="AD392" s="403"/>
      <c r="AE392" s="403"/>
      <c r="AF392" s="403"/>
      <c r="AG392" s="403"/>
      <c r="AH392" s="403"/>
      <c r="AI392" s="403"/>
    </row>
    <row r="393" spans="24:35">
      <c r="X393" s="403"/>
      <c r="Y393" s="403"/>
      <c r="Z393" s="403"/>
      <c r="AA393" s="403"/>
      <c r="AB393" s="403"/>
      <c r="AC393" s="403"/>
      <c r="AD393" s="403"/>
      <c r="AE393" s="403"/>
      <c r="AF393" s="403"/>
      <c r="AG393" s="403"/>
      <c r="AH393" s="403"/>
      <c r="AI393" s="403"/>
    </row>
    <row r="394" spans="24:35">
      <c r="X394" s="403"/>
      <c r="Y394" s="403"/>
      <c r="Z394" s="403"/>
      <c r="AA394" s="403"/>
      <c r="AB394" s="403"/>
      <c r="AC394" s="403"/>
      <c r="AD394" s="403"/>
      <c r="AE394" s="403"/>
      <c r="AF394" s="403"/>
      <c r="AG394" s="403"/>
      <c r="AH394" s="403"/>
      <c r="AI394" s="403"/>
    </row>
    <row r="395" spans="24:35">
      <c r="X395" s="403"/>
      <c r="Y395" s="403"/>
      <c r="Z395" s="403"/>
      <c r="AA395" s="403"/>
      <c r="AB395" s="403"/>
      <c r="AC395" s="403"/>
      <c r="AD395" s="403"/>
      <c r="AE395" s="403"/>
      <c r="AF395" s="403"/>
      <c r="AG395" s="403"/>
      <c r="AH395" s="403"/>
      <c r="AI395" s="403"/>
    </row>
    <row r="396" spans="24:35">
      <c r="X396" s="403"/>
      <c r="Y396" s="403"/>
      <c r="Z396" s="403"/>
      <c r="AA396" s="403"/>
      <c r="AB396" s="403"/>
      <c r="AC396" s="403"/>
      <c r="AD396" s="403"/>
      <c r="AE396" s="403"/>
      <c r="AF396" s="403"/>
      <c r="AG396" s="403"/>
      <c r="AH396" s="403"/>
      <c r="AI396" s="403"/>
    </row>
    <row r="397" spans="24:35">
      <c r="X397" s="403"/>
      <c r="Y397" s="403"/>
      <c r="Z397" s="403"/>
      <c r="AA397" s="403"/>
      <c r="AB397" s="403"/>
      <c r="AC397" s="403"/>
      <c r="AD397" s="403"/>
      <c r="AE397" s="403"/>
      <c r="AF397" s="403"/>
      <c r="AG397" s="403"/>
      <c r="AH397" s="403"/>
      <c r="AI397" s="403"/>
    </row>
    <row r="398" spans="24:35">
      <c r="X398" s="403"/>
      <c r="Y398" s="403"/>
      <c r="Z398" s="403"/>
      <c r="AA398" s="403"/>
      <c r="AB398" s="403"/>
      <c r="AC398" s="403"/>
      <c r="AD398" s="403"/>
      <c r="AE398" s="403"/>
      <c r="AF398" s="403"/>
      <c r="AG398" s="403"/>
      <c r="AH398" s="403"/>
      <c r="AI398" s="403"/>
    </row>
    <row r="399" spans="24:35">
      <c r="X399" s="403"/>
      <c r="Y399" s="403"/>
      <c r="Z399" s="403"/>
      <c r="AA399" s="403"/>
      <c r="AB399" s="403"/>
      <c r="AC399" s="403"/>
      <c r="AD399" s="403"/>
      <c r="AE399" s="403"/>
      <c r="AF399" s="403"/>
      <c r="AG399" s="403"/>
      <c r="AH399" s="403"/>
      <c r="AI399" s="403"/>
    </row>
    <row r="400" spans="24:35">
      <c r="X400" s="403"/>
      <c r="Y400" s="403"/>
      <c r="Z400" s="403"/>
      <c r="AA400" s="403"/>
      <c r="AB400" s="403"/>
      <c r="AC400" s="403"/>
      <c r="AD400" s="403"/>
      <c r="AE400" s="403"/>
      <c r="AF400" s="403"/>
      <c r="AG400" s="403"/>
      <c r="AH400" s="403"/>
      <c r="AI400" s="403"/>
    </row>
    <row r="401" spans="24:35">
      <c r="X401" s="403"/>
      <c r="Y401" s="403"/>
      <c r="Z401" s="403"/>
      <c r="AA401" s="403"/>
      <c r="AB401" s="403"/>
      <c r="AC401" s="403"/>
      <c r="AD401" s="403"/>
      <c r="AE401" s="403"/>
      <c r="AF401" s="403"/>
      <c r="AG401" s="403"/>
      <c r="AH401" s="403"/>
      <c r="AI401" s="403"/>
    </row>
    <row r="402" spans="24:35">
      <c r="X402" s="403"/>
      <c r="Y402" s="403"/>
      <c r="Z402" s="403"/>
      <c r="AA402" s="403"/>
      <c r="AB402" s="403"/>
      <c r="AC402" s="403"/>
      <c r="AD402" s="403"/>
      <c r="AE402" s="403"/>
      <c r="AF402" s="403"/>
      <c r="AG402" s="403"/>
      <c r="AH402" s="403"/>
      <c r="AI402" s="403"/>
    </row>
    <row r="403" spans="24:35">
      <c r="X403" s="403"/>
      <c r="Y403" s="403"/>
      <c r="Z403" s="403"/>
      <c r="AA403" s="403"/>
      <c r="AB403" s="403"/>
      <c r="AC403" s="403"/>
      <c r="AD403" s="403"/>
      <c r="AE403" s="403"/>
      <c r="AF403" s="403"/>
      <c r="AG403" s="403"/>
      <c r="AH403" s="403"/>
      <c r="AI403" s="403"/>
    </row>
    <row r="404" spans="24:35">
      <c r="X404" s="403"/>
      <c r="Y404" s="403"/>
      <c r="Z404" s="403"/>
      <c r="AA404" s="403"/>
      <c r="AB404" s="403"/>
      <c r="AC404" s="403"/>
      <c r="AD404" s="403"/>
      <c r="AE404" s="403"/>
      <c r="AF404" s="403"/>
      <c r="AG404" s="403"/>
      <c r="AH404" s="403"/>
      <c r="AI404" s="403"/>
    </row>
    <row r="405" spans="24:35">
      <c r="X405" s="403"/>
      <c r="Y405" s="403"/>
      <c r="Z405" s="403"/>
      <c r="AA405" s="403"/>
      <c r="AB405" s="403"/>
      <c r="AC405" s="403"/>
      <c r="AD405" s="403"/>
      <c r="AE405" s="403"/>
      <c r="AF405" s="403"/>
      <c r="AG405" s="403"/>
      <c r="AH405" s="403"/>
      <c r="AI405" s="403"/>
    </row>
    <row r="406" spans="24:35">
      <c r="X406" s="403"/>
      <c r="Y406" s="403"/>
      <c r="Z406" s="403"/>
      <c r="AA406" s="403"/>
      <c r="AB406" s="403"/>
      <c r="AC406" s="403"/>
      <c r="AD406" s="403"/>
      <c r="AE406" s="403"/>
      <c r="AF406" s="403"/>
      <c r="AG406" s="403"/>
      <c r="AH406" s="403"/>
      <c r="AI406" s="403"/>
    </row>
    <row r="407" spans="24:35">
      <c r="X407" s="403"/>
      <c r="Y407" s="403"/>
      <c r="Z407" s="403"/>
      <c r="AA407" s="403"/>
      <c r="AB407" s="403"/>
      <c r="AC407" s="403"/>
      <c r="AD407" s="403"/>
      <c r="AE407" s="403"/>
      <c r="AF407" s="403"/>
      <c r="AG407" s="403"/>
      <c r="AH407" s="403"/>
      <c r="AI407" s="403"/>
    </row>
    <row r="408" spans="24:35">
      <c r="X408" s="403"/>
      <c r="Y408" s="403"/>
      <c r="Z408" s="403"/>
      <c r="AA408" s="403"/>
      <c r="AB408" s="403"/>
      <c r="AC408" s="403"/>
      <c r="AD408" s="403"/>
      <c r="AE408" s="403"/>
      <c r="AF408" s="403"/>
      <c r="AG408" s="403"/>
      <c r="AH408" s="403"/>
      <c r="AI408" s="403"/>
    </row>
    <row r="409" spans="24:35">
      <c r="X409" s="403"/>
      <c r="Y409" s="403"/>
      <c r="Z409" s="403"/>
      <c r="AA409" s="403"/>
      <c r="AB409" s="403"/>
      <c r="AC409" s="403"/>
      <c r="AD409" s="403"/>
      <c r="AE409" s="403"/>
      <c r="AF409" s="403"/>
      <c r="AG409" s="403"/>
      <c r="AH409" s="403"/>
      <c r="AI409" s="403"/>
    </row>
    <row r="410" spans="24:35">
      <c r="X410" s="403"/>
      <c r="Y410" s="403"/>
      <c r="Z410" s="403"/>
      <c r="AA410" s="403"/>
      <c r="AB410" s="403"/>
      <c r="AC410" s="403"/>
      <c r="AD410" s="403"/>
      <c r="AE410" s="403"/>
      <c r="AF410" s="403"/>
      <c r="AG410" s="403"/>
      <c r="AH410" s="403"/>
      <c r="AI410" s="403"/>
    </row>
    <row r="411" spans="24:35">
      <c r="X411" s="403"/>
      <c r="Y411" s="403"/>
      <c r="Z411" s="403"/>
      <c r="AA411" s="403"/>
      <c r="AB411" s="403"/>
      <c r="AC411" s="403"/>
      <c r="AD411" s="403"/>
      <c r="AE411" s="403"/>
      <c r="AF411" s="403"/>
      <c r="AG411" s="403"/>
      <c r="AH411" s="403"/>
      <c r="AI411" s="403"/>
    </row>
    <row r="412" spans="24:35">
      <c r="X412" s="403"/>
      <c r="Y412" s="403"/>
      <c r="Z412" s="403"/>
      <c r="AA412" s="403"/>
      <c r="AB412" s="403"/>
      <c r="AC412" s="403"/>
      <c r="AD412" s="403"/>
      <c r="AE412" s="403"/>
      <c r="AF412" s="403"/>
      <c r="AG412" s="403"/>
      <c r="AH412" s="403"/>
      <c r="AI412" s="403"/>
    </row>
    <row r="413" spans="24:35">
      <c r="X413" s="403"/>
      <c r="Y413" s="403"/>
      <c r="Z413" s="403"/>
      <c r="AA413" s="403"/>
      <c r="AB413" s="403"/>
      <c r="AC413" s="403"/>
      <c r="AD413" s="403"/>
      <c r="AE413" s="403"/>
      <c r="AF413" s="403"/>
      <c r="AG413" s="403"/>
      <c r="AH413" s="403"/>
      <c r="AI413" s="403"/>
    </row>
    <row r="414" spans="24:35">
      <c r="X414" s="403"/>
      <c r="Y414" s="403"/>
      <c r="Z414" s="403"/>
      <c r="AA414" s="403"/>
      <c r="AB414" s="403"/>
      <c r="AC414" s="403"/>
      <c r="AD414" s="403"/>
      <c r="AE414" s="403"/>
      <c r="AF414" s="403"/>
      <c r="AG414" s="403"/>
      <c r="AH414" s="403"/>
      <c r="AI414" s="403"/>
    </row>
    <row r="415" spans="24:35">
      <c r="X415" s="403"/>
      <c r="Y415" s="403"/>
      <c r="Z415" s="403"/>
      <c r="AA415" s="403"/>
      <c r="AB415" s="403"/>
      <c r="AC415" s="403"/>
      <c r="AD415" s="403"/>
      <c r="AE415" s="403"/>
      <c r="AF415" s="403"/>
      <c r="AG415" s="403"/>
      <c r="AH415" s="403"/>
      <c r="AI415" s="403"/>
    </row>
    <row r="416" spans="24:35">
      <c r="X416" s="403"/>
      <c r="Y416" s="403"/>
      <c r="Z416" s="403"/>
      <c r="AA416" s="403"/>
      <c r="AB416" s="403"/>
      <c r="AC416" s="403"/>
      <c r="AD416" s="403"/>
      <c r="AE416" s="403"/>
      <c r="AF416" s="403"/>
      <c r="AG416" s="403"/>
      <c r="AH416" s="403"/>
      <c r="AI416" s="403"/>
    </row>
    <row r="417" spans="24:35">
      <c r="X417" s="403"/>
      <c r="Y417" s="403"/>
      <c r="Z417" s="403"/>
      <c r="AA417" s="403"/>
      <c r="AB417" s="403"/>
      <c r="AC417" s="403"/>
      <c r="AD417" s="403"/>
      <c r="AE417" s="403"/>
      <c r="AF417" s="403"/>
      <c r="AG417" s="403"/>
      <c r="AH417" s="403"/>
      <c r="AI417" s="403"/>
    </row>
    <row r="418" spans="24:35">
      <c r="X418" s="403"/>
      <c r="Y418" s="403"/>
      <c r="Z418" s="403"/>
      <c r="AA418" s="403"/>
      <c r="AB418" s="403"/>
      <c r="AC418" s="403"/>
      <c r="AD418" s="403"/>
      <c r="AE418" s="403"/>
      <c r="AF418" s="403"/>
      <c r="AG418" s="403"/>
      <c r="AH418" s="403"/>
      <c r="AI418" s="403"/>
    </row>
    <row r="419" spans="24:35">
      <c r="X419" s="403"/>
      <c r="Y419" s="403"/>
      <c r="Z419" s="403"/>
      <c r="AA419" s="403"/>
      <c r="AB419" s="403"/>
      <c r="AC419" s="403"/>
      <c r="AD419" s="403"/>
      <c r="AE419" s="403"/>
      <c r="AF419" s="403"/>
      <c r="AG419" s="403"/>
      <c r="AH419" s="403"/>
      <c r="AI419" s="403"/>
    </row>
    <row r="420" spans="24:35">
      <c r="X420" s="403"/>
      <c r="Y420" s="403"/>
      <c r="Z420" s="403"/>
      <c r="AA420" s="403"/>
      <c r="AB420" s="403"/>
      <c r="AC420" s="403"/>
      <c r="AD420" s="403"/>
      <c r="AE420" s="403"/>
      <c r="AF420" s="403"/>
      <c r="AG420" s="403"/>
      <c r="AH420" s="403"/>
      <c r="AI420" s="403"/>
    </row>
    <row r="421" spans="24:35">
      <c r="X421" s="403"/>
      <c r="Y421" s="403"/>
      <c r="Z421" s="403"/>
      <c r="AA421" s="403"/>
      <c r="AB421" s="403"/>
      <c r="AC421" s="403"/>
      <c r="AD421" s="403"/>
      <c r="AE421" s="403"/>
      <c r="AF421" s="403"/>
      <c r="AG421" s="403"/>
      <c r="AH421" s="403"/>
      <c r="AI421" s="403"/>
    </row>
    <row r="422" spans="24:35">
      <c r="X422" s="403"/>
      <c r="Y422" s="403"/>
      <c r="Z422" s="403"/>
      <c r="AA422" s="403"/>
      <c r="AB422" s="403"/>
      <c r="AC422" s="403"/>
      <c r="AD422" s="403"/>
      <c r="AE422" s="403"/>
      <c r="AF422" s="403"/>
      <c r="AG422" s="403"/>
      <c r="AH422" s="403"/>
      <c r="AI422" s="403"/>
    </row>
    <row r="423" spans="24:35">
      <c r="X423" s="403"/>
      <c r="Y423" s="403"/>
      <c r="Z423" s="403"/>
      <c r="AA423" s="403"/>
      <c r="AB423" s="403"/>
      <c r="AC423" s="403"/>
      <c r="AD423" s="403"/>
      <c r="AE423" s="403"/>
      <c r="AF423" s="403"/>
      <c r="AG423" s="403"/>
      <c r="AH423" s="403"/>
      <c r="AI423" s="403"/>
    </row>
    <row r="424" spans="24:35">
      <c r="X424" s="403"/>
      <c r="Y424" s="403"/>
      <c r="Z424" s="403"/>
      <c r="AA424" s="403"/>
      <c r="AB424" s="403"/>
      <c r="AC424" s="403"/>
      <c r="AD424" s="403"/>
      <c r="AE424" s="403"/>
      <c r="AF424" s="403"/>
      <c r="AG424" s="403"/>
      <c r="AH424" s="403"/>
      <c r="AI424" s="403"/>
    </row>
    <row r="425" spans="24:35">
      <c r="X425" s="403"/>
      <c r="Y425" s="403"/>
      <c r="Z425" s="403"/>
      <c r="AA425" s="403"/>
      <c r="AB425" s="403"/>
      <c r="AC425" s="403"/>
      <c r="AD425" s="403"/>
      <c r="AE425" s="403"/>
      <c r="AF425" s="403"/>
      <c r="AG425" s="403"/>
      <c r="AH425" s="403"/>
      <c r="AI425" s="403"/>
    </row>
    <row r="426" spans="24:35">
      <c r="X426" s="403"/>
      <c r="Y426" s="403"/>
      <c r="Z426" s="403"/>
      <c r="AA426" s="403"/>
      <c r="AB426" s="403"/>
      <c r="AC426" s="403"/>
      <c r="AD426" s="403"/>
      <c r="AE426" s="403"/>
      <c r="AF426" s="403"/>
      <c r="AG426" s="403"/>
      <c r="AH426" s="403"/>
      <c r="AI426" s="403"/>
    </row>
    <row r="427" spans="24:35">
      <c r="X427" s="403"/>
      <c r="Y427" s="403"/>
      <c r="Z427" s="403"/>
      <c r="AA427" s="403"/>
      <c r="AB427" s="403"/>
      <c r="AC427" s="403"/>
      <c r="AD427" s="403"/>
      <c r="AE427" s="403"/>
      <c r="AF427" s="403"/>
      <c r="AG427" s="403"/>
      <c r="AH427" s="403"/>
      <c r="AI427" s="403"/>
    </row>
    <row r="428" spans="24:35">
      <c r="X428" s="403"/>
      <c r="Y428" s="403"/>
      <c r="Z428" s="403"/>
      <c r="AA428" s="403"/>
      <c r="AB428" s="403"/>
      <c r="AC428" s="403"/>
      <c r="AD428" s="403"/>
      <c r="AE428" s="403"/>
      <c r="AF428" s="403"/>
      <c r="AG428" s="403"/>
      <c r="AH428" s="403"/>
      <c r="AI428" s="403"/>
    </row>
    <row r="429" spans="24:35">
      <c r="X429" s="403"/>
      <c r="Y429" s="403"/>
      <c r="Z429" s="403"/>
      <c r="AA429" s="403"/>
      <c r="AB429" s="403"/>
      <c r="AC429" s="403"/>
      <c r="AD429" s="403"/>
      <c r="AE429" s="403"/>
      <c r="AF429" s="403"/>
      <c r="AG429" s="403"/>
      <c r="AH429" s="403"/>
      <c r="AI429" s="403"/>
    </row>
    <row r="430" spans="24:35">
      <c r="X430" s="403"/>
      <c r="Y430" s="403"/>
      <c r="Z430" s="403"/>
      <c r="AA430" s="403"/>
      <c r="AB430" s="403"/>
      <c r="AC430" s="403"/>
      <c r="AD430" s="403"/>
      <c r="AE430" s="403"/>
      <c r="AF430" s="403"/>
      <c r="AG430" s="403"/>
      <c r="AH430" s="403"/>
      <c r="AI430" s="403"/>
    </row>
    <row r="431" spans="24:35">
      <c r="X431" s="403"/>
      <c r="Y431" s="403"/>
      <c r="Z431" s="403"/>
      <c r="AA431" s="403"/>
      <c r="AB431" s="403"/>
      <c r="AC431" s="403"/>
      <c r="AD431" s="403"/>
      <c r="AE431" s="403"/>
      <c r="AF431" s="403"/>
      <c r="AG431" s="403"/>
      <c r="AH431" s="403"/>
      <c r="AI431" s="403"/>
    </row>
    <row r="432" spans="24:35">
      <c r="X432" s="403"/>
      <c r="Y432" s="403"/>
      <c r="Z432" s="403"/>
      <c r="AA432" s="403"/>
      <c r="AB432" s="403"/>
      <c r="AC432" s="403"/>
      <c r="AD432" s="403"/>
      <c r="AE432" s="403"/>
      <c r="AF432" s="403"/>
      <c r="AG432" s="403"/>
      <c r="AH432" s="403"/>
      <c r="AI432" s="403"/>
    </row>
    <row r="433" spans="24:35">
      <c r="X433" s="403"/>
      <c r="Y433" s="403"/>
      <c r="Z433" s="403"/>
      <c r="AA433" s="403"/>
      <c r="AB433" s="403"/>
      <c r="AC433" s="403"/>
      <c r="AD433" s="403"/>
      <c r="AE433" s="403"/>
      <c r="AF433" s="403"/>
      <c r="AG433" s="403"/>
      <c r="AH433" s="403"/>
      <c r="AI433" s="403"/>
    </row>
    <row r="434" spans="24:35">
      <c r="X434" s="403"/>
      <c r="Y434" s="403"/>
      <c r="Z434" s="403"/>
      <c r="AA434" s="403"/>
      <c r="AB434" s="403"/>
      <c r="AC434" s="403"/>
      <c r="AD434" s="403"/>
      <c r="AE434" s="403"/>
      <c r="AF434" s="403"/>
      <c r="AG434" s="403"/>
      <c r="AH434" s="403"/>
      <c r="AI434" s="403"/>
    </row>
    <row r="435" spans="24:35">
      <c r="X435" s="403"/>
      <c r="Y435" s="403"/>
      <c r="Z435" s="403"/>
      <c r="AA435" s="403"/>
      <c r="AB435" s="403"/>
      <c r="AC435" s="403"/>
      <c r="AD435" s="403"/>
      <c r="AE435" s="403"/>
      <c r="AF435" s="403"/>
      <c r="AG435" s="403"/>
      <c r="AH435" s="403"/>
      <c r="AI435" s="403"/>
    </row>
    <row r="436" spans="24:35">
      <c r="X436" s="403"/>
      <c r="Y436" s="403"/>
      <c r="Z436" s="403"/>
      <c r="AA436" s="403"/>
      <c r="AB436" s="403"/>
      <c r="AC436" s="403"/>
      <c r="AD436" s="403"/>
      <c r="AE436" s="403"/>
      <c r="AF436" s="403"/>
      <c r="AG436" s="403"/>
      <c r="AH436" s="403"/>
      <c r="AI436" s="403"/>
    </row>
    <row r="437" spans="24:35">
      <c r="X437" s="403"/>
      <c r="Y437" s="403"/>
      <c r="Z437" s="403"/>
      <c r="AA437" s="403"/>
      <c r="AB437" s="403"/>
      <c r="AC437" s="403"/>
      <c r="AD437" s="403"/>
      <c r="AE437" s="403"/>
      <c r="AF437" s="403"/>
      <c r="AG437" s="403"/>
      <c r="AH437" s="403"/>
      <c r="AI437" s="403"/>
    </row>
    <row r="438" spans="24:35">
      <c r="X438" s="403"/>
      <c r="Y438" s="403"/>
      <c r="Z438" s="403"/>
      <c r="AA438" s="403"/>
      <c r="AB438" s="403"/>
      <c r="AC438" s="403"/>
      <c r="AD438" s="403"/>
      <c r="AE438" s="403"/>
      <c r="AF438" s="403"/>
      <c r="AG438" s="403"/>
      <c r="AH438" s="403"/>
      <c r="AI438" s="403"/>
    </row>
    <row r="439" spans="24:35">
      <c r="X439" s="403"/>
      <c r="Y439" s="403"/>
      <c r="Z439" s="403"/>
      <c r="AA439" s="403"/>
      <c r="AB439" s="403"/>
      <c r="AC439" s="403"/>
      <c r="AD439" s="403"/>
      <c r="AE439" s="403"/>
      <c r="AF439" s="403"/>
      <c r="AG439" s="403"/>
      <c r="AH439" s="403"/>
      <c r="AI439" s="403"/>
    </row>
    <row r="440" spans="24:35">
      <c r="X440" s="403"/>
      <c r="Y440" s="403"/>
      <c r="Z440" s="403"/>
      <c r="AA440" s="403"/>
      <c r="AB440" s="403"/>
      <c r="AC440" s="403"/>
      <c r="AD440" s="403"/>
      <c r="AE440" s="403"/>
      <c r="AF440" s="403"/>
      <c r="AG440" s="403"/>
      <c r="AH440" s="403"/>
      <c r="AI440" s="403"/>
    </row>
    <row r="441" spans="24:35">
      <c r="X441" s="403"/>
      <c r="Y441" s="403"/>
      <c r="Z441" s="403"/>
      <c r="AA441" s="403"/>
      <c r="AB441" s="403"/>
      <c r="AC441" s="403"/>
      <c r="AD441" s="403"/>
      <c r="AE441" s="403"/>
      <c r="AF441" s="403"/>
      <c r="AG441" s="403"/>
      <c r="AH441" s="403"/>
      <c r="AI441" s="403"/>
    </row>
    <row r="442" spans="24:35">
      <c r="X442" s="403"/>
      <c r="Y442" s="403"/>
      <c r="Z442" s="403"/>
      <c r="AA442" s="403"/>
      <c r="AB442" s="403"/>
      <c r="AC442" s="403"/>
      <c r="AD442" s="403"/>
      <c r="AE442" s="403"/>
      <c r="AF442" s="403"/>
      <c r="AG442" s="403"/>
      <c r="AH442" s="403"/>
      <c r="AI442" s="403"/>
    </row>
    <row r="443" spans="24:35">
      <c r="X443" s="403"/>
      <c r="Y443" s="403"/>
      <c r="Z443" s="403"/>
      <c r="AA443" s="403"/>
      <c r="AB443" s="403"/>
      <c r="AC443" s="403"/>
      <c r="AD443" s="403"/>
      <c r="AE443" s="403"/>
      <c r="AF443" s="403"/>
      <c r="AG443" s="403"/>
      <c r="AH443" s="403"/>
      <c r="AI443" s="403"/>
    </row>
    <row r="444" spans="24:35">
      <c r="X444" s="403"/>
      <c r="Y444" s="403"/>
      <c r="Z444" s="403"/>
      <c r="AA444" s="403"/>
      <c r="AB444" s="403"/>
      <c r="AC444" s="403"/>
      <c r="AD444" s="403"/>
      <c r="AE444" s="403"/>
      <c r="AF444" s="403"/>
      <c r="AG444" s="403"/>
      <c r="AH444" s="403"/>
      <c r="AI444" s="403"/>
    </row>
    <row r="445" spans="24:35">
      <c r="X445" s="403"/>
      <c r="Y445" s="403"/>
      <c r="Z445" s="403"/>
      <c r="AA445" s="403"/>
      <c r="AB445" s="403"/>
      <c r="AC445" s="403"/>
      <c r="AD445" s="403"/>
      <c r="AE445" s="403"/>
      <c r="AF445" s="403"/>
      <c r="AG445" s="403"/>
      <c r="AH445" s="403"/>
      <c r="AI445" s="403"/>
    </row>
    <row r="446" spans="24:35">
      <c r="X446" s="403"/>
      <c r="Y446" s="403"/>
      <c r="Z446" s="403"/>
      <c r="AA446" s="403"/>
      <c r="AB446" s="403"/>
      <c r="AC446" s="403"/>
      <c r="AD446" s="403"/>
      <c r="AE446" s="403"/>
      <c r="AF446" s="403"/>
      <c r="AG446" s="403"/>
      <c r="AH446" s="403"/>
      <c r="AI446" s="403"/>
    </row>
    <row r="447" spans="24:35">
      <c r="X447" s="403"/>
      <c r="Y447" s="403"/>
      <c r="Z447" s="403"/>
      <c r="AA447" s="403"/>
      <c r="AB447" s="403"/>
      <c r="AC447" s="403"/>
      <c r="AD447" s="403"/>
      <c r="AE447" s="403"/>
      <c r="AF447" s="403"/>
      <c r="AG447" s="403"/>
      <c r="AH447" s="403"/>
      <c r="AI447" s="403"/>
    </row>
    <row r="448" spans="24:35">
      <c r="X448" s="403"/>
      <c r="Y448" s="403"/>
      <c r="Z448" s="403"/>
      <c r="AA448" s="403"/>
      <c r="AB448" s="403"/>
      <c r="AC448" s="403"/>
      <c r="AD448" s="403"/>
      <c r="AE448" s="403"/>
      <c r="AF448" s="403"/>
      <c r="AG448" s="403"/>
      <c r="AH448" s="403"/>
      <c r="AI448" s="403"/>
    </row>
    <row r="449" spans="24:35">
      <c r="X449" s="403"/>
      <c r="Y449" s="403"/>
      <c r="Z449" s="403"/>
      <c r="AA449" s="403"/>
      <c r="AB449" s="403"/>
      <c r="AC449" s="403"/>
      <c r="AD449" s="403"/>
      <c r="AE449" s="403"/>
      <c r="AF449" s="403"/>
      <c r="AG449" s="403"/>
      <c r="AH449" s="403"/>
      <c r="AI449" s="403"/>
    </row>
    <row r="450" spans="24:35">
      <c r="X450" s="403"/>
      <c r="Y450" s="403"/>
      <c r="Z450" s="403"/>
      <c r="AA450" s="403"/>
      <c r="AB450" s="403"/>
      <c r="AC450" s="403"/>
      <c r="AD450" s="403"/>
      <c r="AE450" s="403"/>
      <c r="AF450" s="403"/>
      <c r="AG450" s="403"/>
      <c r="AH450" s="403"/>
      <c r="AI450" s="403"/>
    </row>
    <row r="451" spans="24:35">
      <c r="X451" s="403"/>
      <c r="Y451" s="403"/>
      <c r="Z451" s="403"/>
      <c r="AA451" s="403"/>
      <c r="AB451" s="403"/>
      <c r="AC451" s="403"/>
      <c r="AD451" s="403"/>
      <c r="AE451" s="403"/>
      <c r="AF451" s="403"/>
      <c r="AG451" s="403"/>
      <c r="AH451" s="403"/>
      <c r="AI451" s="403"/>
    </row>
    <row r="452" spans="24:35">
      <c r="X452" s="403"/>
      <c r="Y452" s="403"/>
      <c r="Z452" s="403"/>
      <c r="AA452" s="403"/>
      <c r="AB452" s="403"/>
      <c r="AC452" s="403"/>
      <c r="AD452" s="403"/>
      <c r="AE452" s="403"/>
      <c r="AF452" s="403"/>
      <c r="AG452" s="403"/>
      <c r="AH452" s="403"/>
      <c r="AI452" s="403"/>
    </row>
    <row r="453" spans="24:35">
      <c r="X453" s="403"/>
      <c r="Y453" s="403"/>
      <c r="Z453" s="403"/>
      <c r="AA453" s="403"/>
      <c r="AB453" s="403"/>
      <c r="AC453" s="403"/>
      <c r="AD453" s="403"/>
      <c r="AE453" s="403"/>
      <c r="AF453" s="403"/>
      <c r="AG453" s="403"/>
      <c r="AH453" s="403"/>
      <c r="AI453" s="403"/>
    </row>
    <row r="454" spans="24:35">
      <c r="X454" s="403"/>
      <c r="Y454" s="403"/>
      <c r="Z454" s="403"/>
      <c r="AA454" s="403"/>
      <c r="AB454" s="403"/>
      <c r="AC454" s="403"/>
      <c r="AD454" s="403"/>
      <c r="AE454" s="403"/>
      <c r="AF454" s="403"/>
      <c r="AG454" s="403"/>
      <c r="AH454" s="403"/>
      <c r="AI454" s="403"/>
    </row>
    <row r="455" spans="24:35">
      <c r="X455" s="403"/>
      <c r="Y455" s="403"/>
      <c r="Z455" s="403"/>
      <c r="AA455" s="403"/>
      <c r="AB455" s="403"/>
      <c r="AC455" s="403"/>
      <c r="AD455" s="403"/>
      <c r="AE455" s="403"/>
      <c r="AF455" s="403"/>
      <c r="AG455" s="403"/>
      <c r="AH455" s="403"/>
      <c r="AI455" s="403"/>
    </row>
    <row r="456" spans="24:35">
      <c r="X456" s="403"/>
      <c r="Y456" s="403"/>
      <c r="Z456" s="403"/>
      <c r="AA456" s="403"/>
      <c r="AB456" s="403"/>
      <c r="AC456" s="403"/>
      <c r="AD456" s="403"/>
      <c r="AE456" s="403"/>
      <c r="AF456" s="403"/>
      <c r="AG456" s="403"/>
      <c r="AH456" s="403"/>
      <c r="AI456" s="403"/>
    </row>
    <row r="457" spans="24:35">
      <c r="X457" s="403"/>
      <c r="Y457" s="403"/>
      <c r="Z457" s="403"/>
      <c r="AA457" s="403"/>
      <c r="AB457" s="403"/>
      <c r="AC457" s="403"/>
      <c r="AD457" s="403"/>
      <c r="AE457" s="403"/>
      <c r="AF457" s="403"/>
      <c r="AG457" s="403"/>
      <c r="AH457" s="403"/>
      <c r="AI457" s="403"/>
    </row>
    <row r="458" spans="24:35">
      <c r="X458" s="403"/>
      <c r="Y458" s="403"/>
      <c r="Z458" s="403"/>
      <c r="AA458" s="403"/>
      <c r="AB458" s="403"/>
      <c r="AC458" s="403"/>
      <c r="AD458" s="403"/>
      <c r="AE458" s="403"/>
      <c r="AF458" s="403"/>
      <c r="AG458" s="403"/>
      <c r="AH458" s="403"/>
      <c r="AI458" s="403"/>
    </row>
    <row r="459" spans="24:35">
      <c r="X459" s="403"/>
      <c r="Y459" s="403"/>
      <c r="Z459" s="403"/>
      <c r="AA459" s="403"/>
      <c r="AB459" s="403"/>
      <c r="AC459" s="403"/>
      <c r="AD459" s="403"/>
      <c r="AE459" s="403"/>
      <c r="AF459" s="403"/>
      <c r="AG459" s="403"/>
      <c r="AH459" s="403"/>
      <c r="AI459" s="403"/>
    </row>
    <row r="460" spans="24:35">
      <c r="X460" s="403"/>
      <c r="Y460" s="403"/>
      <c r="Z460" s="403"/>
      <c r="AA460" s="403"/>
      <c r="AB460" s="403"/>
      <c r="AC460" s="403"/>
      <c r="AD460" s="403"/>
      <c r="AE460" s="403"/>
      <c r="AF460" s="403"/>
      <c r="AG460" s="403"/>
      <c r="AH460" s="403"/>
      <c r="AI460" s="403"/>
    </row>
    <row r="461" spans="24:35">
      <c r="X461" s="403"/>
      <c r="Y461" s="403"/>
      <c r="Z461" s="403"/>
      <c r="AA461" s="403"/>
      <c r="AB461" s="403"/>
      <c r="AC461" s="403"/>
      <c r="AD461" s="403"/>
      <c r="AE461" s="403"/>
      <c r="AF461" s="403"/>
      <c r="AG461" s="403"/>
      <c r="AH461" s="403"/>
      <c r="AI461" s="403"/>
    </row>
    <row r="462" spans="24:35">
      <c r="X462" s="403"/>
      <c r="Y462" s="403"/>
      <c r="Z462" s="403"/>
      <c r="AA462" s="403"/>
      <c r="AB462" s="403"/>
      <c r="AC462" s="403"/>
      <c r="AD462" s="403"/>
      <c r="AE462" s="403"/>
      <c r="AF462" s="403"/>
      <c r="AG462" s="403"/>
      <c r="AH462" s="403"/>
      <c r="AI462" s="403"/>
    </row>
    <row r="463" spans="24:35">
      <c r="X463" s="403"/>
      <c r="Y463" s="403"/>
      <c r="Z463" s="403"/>
      <c r="AA463" s="403"/>
      <c r="AB463" s="403"/>
      <c r="AC463" s="403"/>
      <c r="AD463" s="403"/>
      <c r="AE463" s="403"/>
      <c r="AF463" s="403"/>
      <c r="AG463" s="403"/>
      <c r="AH463" s="403"/>
      <c r="AI463" s="403"/>
    </row>
    <row r="464" spans="24:35">
      <c r="X464" s="403"/>
      <c r="Y464" s="403"/>
      <c r="Z464" s="403"/>
      <c r="AA464" s="403"/>
      <c r="AB464" s="403"/>
      <c r="AC464" s="403"/>
      <c r="AD464" s="403"/>
      <c r="AE464" s="403"/>
      <c r="AF464" s="403"/>
      <c r="AG464" s="403"/>
      <c r="AH464" s="403"/>
      <c r="AI464" s="403"/>
    </row>
    <row r="465" spans="24:35">
      <c r="X465" s="403"/>
      <c r="Y465" s="403"/>
      <c r="Z465" s="403"/>
      <c r="AA465" s="403"/>
      <c r="AB465" s="403"/>
      <c r="AC465" s="403"/>
      <c r="AD465" s="403"/>
      <c r="AE465" s="403"/>
      <c r="AF465" s="403"/>
      <c r="AG465" s="403"/>
      <c r="AH465" s="403"/>
      <c r="AI465" s="403"/>
    </row>
    <row r="466" spans="24:35">
      <c r="X466" s="403"/>
      <c r="Y466" s="403"/>
      <c r="Z466" s="403"/>
      <c r="AA466" s="403"/>
      <c r="AB466" s="403"/>
      <c r="AC466" s="403"/>
      <c r="AD466" s="403"/>
      <c r="AE466" s="403"/>
      <c r="AF466" s="403"/>
      <c r="AG466" s="403"/>
      <c r="AH466" s="403"/>
      <c r="AI466" s="403"/>
    </row>
    <row r="467" spans="24:35">
      <c r="X467" s="403"/>
      <c r="Y467" s="403"/>
      <c r="Z467" s="403"/>
      <c r="AA467" s="403"/>
      <c r="AB467" s="403"/>
      <c r="AC467" s="403"/>
      <c r="AD467" s="403"/>
      <c r="AE467" s="403"/>
      <c r="AF467" s="403"/>
      <c r="AG467" s="403"/>
      <c r="AH467" s="403"/>
      <c r="AI467" s="403"/>
    </row>
    <row r="468" spans="24:35">
      <c r="X468" s="403"/>
      <c r="Y468" s="403"/>
      <c r="Z468" s="403"/>
      <c r="AA468" s="403"/>
      <c r="AB468" s="403"/>
      <c r="AC468" s="403"/>
      <c r="AD468" s="403"/>
      <c r="AE468" s="403"/>
      <c r="AF468" s="403"/>
      <c r="AG468" s="403"/>
      <c r="AH468" s="403"/>
      <c r="AI468" s="403"/>
    </row>
    <row r="469" spans="24:35">
      <c r="X469" s="403"/>
      <c r="Y469" s="403"/>
      <c r="Z469" s="403"/>
      <c r="AA469" s="403"/>
      <c r="AB469" s="403"/>
      <c r="AC469" s="403"/>
      <c r="AD469" s="403"/>
      <c r="AE469" s="403"/>
      <c r="AF469" s="403"/>
      <c r="AG469" s="403"/>
      <c r="AH469" s="403"/>
      <c r="AI469" s="403"/>
    </row>
    <row r="470" spans="24:35">
      <c r="X470" s="403"/>
      <c r="Y470" s="403"/>
      <c r="Z470" s="403"/>
      <c r="AA470" s="403"/>
      <c r="AB470" s="403"/>
      <c r="AC470" s="403"/>
      <c r="AD470" s="403"/>
      <c r="AE470" s="403"/>
      <c r="AF470" s="403"/>
      <c r="AG470" s="403"/>
      <c r="AH470" s="403"/>
      <c r="AI470" s="403"/>
    </row>
    <row r="471" spans="24:35">
      <c r="X471" s="403"/>
      <c r="Y471" s="403"/>
      <c r="Z471" s="403"/>
      <c r="AA471" s="403"/>
      <c r="AB471" s="403"/>
      <c r="AC471" s="403"/>
      <c r="AD471" s="403"/>
      <c r="AE471" s="403"/>
      <c r="AF471" s="403"/>
      <c r="AG471" s="403"/>
      <c r="AH471" s="403"/>
      <c r="AI471" s="403"/>
    </row>
    <row r="472" spans="24:35">
      <c r="X472" s="403"/>
      <c r="Y472" s="403"/>
      <c r="Z472" s="403"/>
      <c r="AA472" s="403"/>
      <c r="AB472" s="403"/>
      <c r="AC472" s="403"/>
      <c r="AD472" s="403"/>
      <c r="AE472" s="403"/>
      <c r="AF472" s="403"/>
      <c r="AG472" s="403"/>
      <c r="AH472" s="403"/>
      <c r="AI472" s="403"/>
    </row>
    <row r="473" spans="24:35">
      <c r="X473" s="403"/>
      <c r="Y473" s="403"/>
      <c r="Z473" s="403"/>
      <c r="AA473" s="403"/>
      <c r="AB473" s="403"/>
      <c r="AC473" s="403"/>
      <c r="AD473" s="403"/>
      <c r="AE473" s="403"/>
      <c r="AF473" s="403"/>
      <c r="AG473" s="403"/>
      <c r="AH473" s="403"/>
      <c r="AI473" s="403"/>
    </row>
    <row r="474" spans="24:35">
      <c r="X474" s="403"/>
      <c r="Y474" s="403"/>
      <c r="Z474" s="403"/>
      <c r="AA474" s="403"/>
      <c r="AB474" s="403"/>
      <c r="AC474" s="403"/>
      <c r="AD474" s="403"/>
      <c r="AE474" s="403"/>
      <c r="AF474" s="403"/>
      <c r="AG474" s="403"/>
      <c r="AH474" s="403"/>
      <c r="AI474" s="403"/>
    </row>
    <row r="475" spans="24:35">
      <c r="X475" s="403"/>
      <c r="Y475" s="403"/>
      <c r="Z475" s="403"/>
      <c r="AA475" s="403"/>
      <c r="AB475" s="403"/>
      <c r="AC475" s="403"/>
      <c r="AD475" s="403"/>
      <c r="AE475" s="403"/>
      <c r="AF475" s="403"/>
      <c r="AG475" s="403"/>
      <c r="AH475" s="403"/>
      <c r="AI475" s="403"/>
    </row>
    <row r="476" spans="24:35">
      <c r="X476" s="403"/>
      <c r="Y476" s="403"/>
      <c r="Z476" s="403"/>
      <c r="AA476" s="403"/>
      <c r="AB476" s="403"/>
      <c r="AC476" s="403"/>
      <c r="AD476" s="403"/>
      <c r="AE476" s="403"/>
      <c r="AF476" s="403"/>
      <c r="AG476" s="403"/>
      <c r="AH476" s="403"/>
      <c r="AI476" s="403"/>
    </row>
    <row r="477" spans="24:35">
      <c r="X477" s="403"/>
      <c r="Y477" s="403"/>
      <c r="Z477" s="403"/>
      <c r="AA477" s="403"/>
      <c r="AB477" s="403"/>
      <c r="AC477" s="403"/>
      <c r="AD477" s="403"/>
      <c r="AE477" s="403"/>
      <c r="AF477" s="403"/>
      <c r="AG477" s="403"/>
      <c r="AH477" s="403"/>
      <c r="AI477" s="403"/>
    </row>
    <row r="478" spans="24:35">
      <c r="X478" s="403"/>
      <c r="Y478" s="403"/>
      <c r="Z478" s="403"/>
      <c r="AA478" s="403"/>
      <c r="AB478" s="403"/>
      <c r="AC478" s="403"/>
      <c r="AD478" s="403"/>
      <c r="AE478" s="403"/>
      <c r="AF478" s="403"/>
      <c r="AG478" s="403"/>
      <c r="AH478" s="403"/>
      <c r="AI478" s="403"/>
    </row>
    <row r="479" spans="24:35">
      <c r="X479" s="403"/>
      <c r="Y479" s="403"/>
      <c r="Z479" s="403"/>
      <c r="AA479" s="403"/>
      <c r="AB479" s="403"/>
      <c r="AC479" s="403"/>
      <c r="AD479" s="403"/>
      <c r="AE479" s="403"/>
      <c r="AF479" s="403"/>
      <c r="AG479" s="403"/>
      <c r="AH479" s="403"/>
      <c r="AI479" s="403"/>
    </row>
    <row r="480" spans="24:35">
      <c r="X480" s="403"/>
      <c r="Y480" s="403"/>
      <c r="Z480" s="403"/>
      <c r="AA480" s="403"/>
      <c r="AB480" s="403"/>
      <c r="AC480" s="403"/>
      <c r="AD480" s="403"/>
      <c r="AE480" s="403"/>
      <c r="AF480" s="403"/>
      <c r="AG480" s="403"/>
      <c r="AH480" s="403"/>
      <c r="AI480" s="403"/>
    </row>
    <row r="481" spans="24:35">
      <c r="X481" s="403"/>
      <c r="Y481" s="403"/>
      <c r="Z481" s="403"/>
      <c r="AA481" s="403"/>
      <c r="AB481" s="403"/>
      <c r="AC481" s="403"/>
      <c r="AD481" s="403"/>
      <c r="AE481" s="403"/>
      <c r="AF481" s="403"/>
      <c r="AG481" s="403"/>
      <c r="AH481" s="403"/>
      <c r="AI481" s="403"/>
    </row>
    <row r="482" spans="24:35">
      <c r="X482" s="403"/>
      <c r="Y482" s="403"/>
      <c r="Z482" s="403"/>
      <c r="AA482" s="403"/>
      <c r="AB482" s="403"/>
      <c r="AC482" s="403"/>
      <c r="AD482" s="403"/>
      <c r="AE482" s="403"/>
      <c r="AF482" s="403"/>
      <c r="AG482" s="403"/>
      <c r="AH482" s="403"/>
      <c r="AI482" s="403"/>
    </row>
    <row r="483" spans="24:35">
      <c r="X483" s="403"/>
      <c r="Y483" s="403"/>
      <c r="Z483" s="403"/>
      <c r="AA483" s="403"/>
      <c r="AB483" s="403"/>
      <c r="AC483" s="403"/>
      <c r="AD483" s="403"/>
      <c r="AE483" s="403"/>
      <c r="AF483" s="403"/>
      <c r="AG483" s="403"/>
      <c r="AH483" s="403"/>
      <c r="AI483" s="403"/>
    </row>
    <row r="484" spans="24:35">
      <c r="X484" s="403"/>
      <c r="Y484" s="403"/>
      <c r="Z484" s="403"/>
      <c r="AA484" s="403"/>
      <c r="AB484" s="403"/>
      <c r="AC484" s="403"/>
      <c r="AD484" s="403"/>
      <c r="AE484" s="403"/>
      <c r="AF484" s="403"/>
      <c r="AG484" s="403"/>
      <c r="AH484" s="403"/>
      <c r="AI484" s="403"/>
    </row>
    <row r="485" spans="24:35">
      <c r="X485" s="403"/>
      <c r="Y485" s="403"/>
      <c r="Z485" s="403"/>
      <c r="AA485" s="403"/>
      <c r="AB485" s="403"/>
      <c r="AC485" s="403"/>
      <c r="AD485" s="403"/>
      <c r="AE485" s="403"/>
      <c r="AF485" s="403"/>
      <c r="AG485" s="403"/>
      <c r="AH485" s="403"/>
      <c r="AI485" s="403"/>
    </row>
    <row r="486" spans="24:35">
      <c r="X486" s="403"/>
      <c r="Y486" s="403"/>
      <c r="Z486" s="403"/>
      <c r="AA486" s="403"/>
      <c r="AB486" s="403"/>
      <c r="AC486" s="403"/>
      <c r="AD486" s="403"/>
      <c r="AE486" s="403"/>
      <c r="AF486" s="403"/>
      <c r="AG486" s="403"/>
      <c r="AH486" s="403"/>
      <c r="AI486" s="403"/>
    </row>
    <row r="487" spans="24:35">
      <c r="X487" s="403"/>
      <c r="Y487" s="403"/>
      <c r="Z487" s="403"/>
      <c r="AA487" s="403"/>
      <c r="AB487" s="403"/>
      <c r="AC487" s="403"/>
      <c r="AD487" s="403"/>
      <c r="AE487" s="403"/>
      <c r="AF487" s="403"/>
      <c r="AG487" s="403"/>
      <c r="AH487" s="403"/>
      <c r="AI487" s="403"/>
    </row>
    <row r="488" spans="24:35">
      <c r="X488" s="403"/>
      <c r="Y488" s="403"/>
      <c r="Z488" s="403"/>
      <c r="AA488" s="403"/>
      <c r="AB488" s="403"/>
      <c r="AC488" s="403"/>
      <c r="AD488" s="403"/>
      <c r="AE488" s="403"/>
      <c r="AF488" s="403"/>
      <c r="AG488" s="403"/>
      <c r="AH488" s="403"/>
      <c r="AI488" s="403"/>
    </row>
    <row r="489" spans="24:35">
      <c r="X489" s="403"/>
      <c r="Y489" s="403"/>
      <c r="Z489" s="403"/>
      <c r="AA489" s="403"/>
      <c r="AB489" s="403"/>
      <c r="AC489" s="403"/>
      <c r="AD489" s="403"/>
      <c r="AE489" s="403"/>
      <c r="AF489" s="403"/>
      <c r="AG489" s="403"/>
      <c r="AH489" s="403"/>
      <c r="AI489" s="403"/>
    </row>
    <row r="490" spans="24:35">
      <c r="X490" s="403"/>
      <c r="Y490" s="403"/>
      <c r="Z490" s="403"/>
      <c r="AA490" s="403"/>
      <c r="AB490" s="403"/>
      <c r="AC490" s="403"/>
      <c r="AD490" s="403"/>
      <c r="AE490" s="403"/>
      <c r="AF490" s="403"/>
      <c r="AG490" s="403"/>
      <c r="AH490" s="403"/>
      <c r="AI490" s="403"/>
    </row>
    <row r="491" spans="24:35">
      <c r="X491" s="403"/>
      <c r="Y491" s="403"/>
      <c r="Z491" s="403"/>
      <c r="AA491" s="403"/>
      <c r="AB491" s="403"/>
      <c r="AC491" s="403"/>
      <c r="AD491" s="403"/>
      <c r="AE491" s="403"/>
      <c r="AF491" s="403"/>
      <c r="AG491" s="403"/>
      <c r="AH491" s="403"/>
      <c r="AI491" s="403"/>
    </row>
    <row r="492" spans="24:35">
      <c r="X492" s="403"/>
      <c r="Y492" s="403"/>
      <c r="Z492" s="403"/>
      <c r="AA492" s="403"/>
      <c r="AB492" s="403"/>
      <c r="AC492" s="403"/>
      <c r="AD492" s="403"/>
      <c r="AE492" s="403"/>
      <c r="AF492" s="403"/>
      <c r="AG492" s="403"/>
      <c r="AH492" s="403"/>
      <c r="AI492" s="403"/>
    </row>
    <row r="493" spans="24:35">
      <c r="X493" s="403"/>
      <c r="Y493" s="403"/>
      <c r="Z493" s="403"/>
      <c r="AA493" s="403"/>
      <c r="AB493" s="403"/>
      <c r="AC493" s="403"/>
      <c r="AD493" s="403"/>
      <c r="AE493" s="403"/>
      <c r="AF493" s="403"/>
      <c r="AG493" s="403"/>
      <c r="AH493" s="403"/>
      <c r="AI493" s="403"/>
    </row>
    <row r="494" spans="24:35">
      <c r="X494" s="403"/>
      <c r="Y494" s="403"/>
      <c r="Z494" s="403"/>
      <c r="AA494" s="403"/>
      <c r="AB494" s="403"/>
      <c r="AC494" s="403"/>
      <c r="AD494" s="403"/>
      <c r="AE494" s="403"/>
      <c r="AF494" s="403"/>
      <c r="AG494" s="403"/>
      <c r="AH494" s="403"/>
      <c r="AI494" s="403"/>
    </row>
    <row r="495" spans="24:35">
      <c r="X495" s="403"/>
      <c r="Y495" s="403"/>
      <c r="Z495" s="403"/>
      <c r="AA495" s="403"/>
      <c r="AB495" s="403"/>
      <c r="AC495" s="403"/>
      <c r="AD495" s="403"/>
      <c r="AE495" s="403"/>
      <c r="AF495" s="403"/>
      <c r="AG495" s="403"/>
      <c r="AH495" s="403"/>
      <c r="AI495" s="403"/>
    </row>
    <row r="496" spans="24:35">
      <c r="X496" s="403"/>
      <c r="Y496" s="403"/>
      <c r="Z496" s="403"/>
      <c r="AA496" s="403"/>
      <c r="AB496" s="403"/>
      <c r="AC496" s="403"/>
      <c r="AD496" s="403"/>
      <c r="AE496" s="403"/>
      <c r="AF496" s="403"/>
      <c r="AG496" s="403"/>
      <c r="AH496" s="403"/>
      <c r="AI496" s="403"/>
    </row>
    <row r="497" spans="24:35">
      <c r="X497" s="403"/>
      <c r="Y497" s="403"/>
      <c r="Z497" s="403"/>
      <c r="AA497" s="403"/>
      <c r="AB497" s="403"/>
      <c r="AC497" s="403"/>
      <c r="AD497" s="403"/>
      <c r="AE497" s="403"/>
      <c r="AF497" s="403"/>
      <c r="AG497" s="403"/>
      <c r="AH497" s="403"/>
      <c r="AI497" s="403"/>
    </row>
    <row r="498" spans="24:35">
      <c r="X498" s="403"/>
      <c r="Y498" s="403"/>
      <c r="Z498" s="403"/>
      <c r="AA498" s="403"/>
      <c r="AB498" s="403"/>
      <c r="AC498" s="403"/>
      <c r="AD498" s="403"/>
      <c r="AE498" s="403"/>
      <c r="AF498" s="403"/>
      <c r="AG498" s="403"/>
      <c r="AH498" s="403"/>
      <c r="AI498" s="403"/>
    </row>
    <row r="499" spans="24:35">
      <c r="X499" s="403"/>
      <c r="Y499" s="403"/>
      <c r="Z499" s="403"/>
      <c r="AA499" s="403"/>
      <c r="AB499" s="403"/>
      <c r="AC499" s="403"/>
      <c r="AD499" s="403"/>
      <c r="AE499" s="403"/>
      <c r="AF499" s="403"/>
      <c r="AG499" s="403"/>
      <c r="AH499" s="403"/>
      <c r="AI499" s="403"/>
    </row>
    <row r="500" spans="24:35">
      <c r="X500" s="403"/>
      <c r="Y500" s="403"/>
      <c r="Z500" s="403"/>
      <c r="AA500" s="403"/>
      <c r="AB500" s="403"/>
      <c r="AC500" s="403"/>
      <c r="AD500" s="403"/>
      <c r="AE500" s="403"/>
      <c r="AF500" s="403"/>
      <c r="AG500" s="403"/>
      <c r="AH500" s="403"/>
      <c r="AI500" s="403"/>
    </row>
    <row r="501" spans="24:35">
      <c r="X501" s="403"/>
      <c r="Y501" s="403"/>
      <c r="Z501" s="403"/>
      <c r="AA501" s="403"/>
      <c r="AB501" s="403"/>
      <c r="AC501" s="403"/>
      <c r="AD501" s="403"/>
      <c r="AE501" s="403"/>
      <c r="AF501" s="403"/>
      <c r="AG501" s="403"/>
      <c r="AH501" s="403"/>
      <c r="AI501" s="403"/>
    </row>
    <row r="502" spans="24:35">
      <c r="X502" s="403"/>
      <c r="Y502" s="403"/>
      <c r="Z502" s="403"/>
      <c r="AA502" s="403"/>
      <c r="AB502" s="403"/>
      <c r="AC502" s="403"/>
      <c r="AD502" s="403"/>
      <c r="AE502" s="403"/>
      <c r="AF502" s="403"/>
      <c r="AG502" s="403"/>
      <c r="AH502" s="403"/>
      <c r="AI502" s="403"/>
    </row>
    <row r="503" spans="24:35">
      <c r="X503" s="403"/>
      <c r="Y503" s="403"/>
      <c r="Z503" s="403"/>
      <c r="AA503" s="403"/>
      <c r="AB503" s="403"/>
      <c r="AC503" s="403"/>
      <c r="AD503" s="403"/>
      <c r="AE503" s="403"/>
      <c r="AF503" s="403"/>
      <c r="AG503" s="403"/>
      <c r="AH503" s="403"/>
      <c r="AI503" s="403"/>
    </row>
    <row r="504" spans="24:35">
      <c r="X504" s="403"/>
      <c r="Y504" s="403"/>
      <c r="Z504" s="403"/>
      <c r="AA504" s="403"/>
      <c r="AB504" s="403"/>
      <c r="AC504" s="403"/>
      <c r="AD504" s="403"/>
      <c r="AE504" s="403"/>
      <c r="AF504" s="403"/>
      <c r="AG504" s="403"/>
      <c r="AH504" s="403"/>
      <c r="AI504" s="403"/>
    </row>
    <row r="505" spans="24:35">
      <c r="X505" s="403"/>
      <c r="Y505" s="403"/>
      <c r="Z505" s="403"/>
      <c r="AA505" s="403"/>
      <c r="AB505" s="403"/>
      <c r="AC505" s="403"/>
      <c r="AD505" s="403"/>
      <c r="AE505" s="403"/>
      <c r="AF505" s="403"/>
      <c r="AG505" s="403"/>
      <c r="AH505" s="403"/>
      <c r="AI505" s="403"/>
    </row>
    <row r="506" spans="24:35">
      <c r="X506" s="403"/>
      <c r="Y506" s="403"/>
      <c r="Z506" s="403"/>
      <c r="AA506" s="403"/>
      <c r="AB506" s="403"/>
      <c r="AC506" s="403"/>
      <c r="AD506" s="403"/>
      <c r="AE506" s="403"/>
      <c r="AF506" s="403"/>
      <c r="AG506" s="403"/>
      <c r="AH506" s="403"/>
      <c r="AI506" s="403"/>
    </row>
    <row r="507" spans="24:35">
      <c r="X507" s="403"/>
      <c r="Y507" s="403"/>
      <c r="Z507" s="403"/>
      <c r="AA507" s="403"/>
      <c r="AB507" s="403"/>
      <c r="AC507" s="403"/>
      <c r="AD507" s="403"/>
      <c r="AE507" s="403"/>
      <c r="AF507" s="403"/>
      <c r="AG507" s="403"/>
      <c r="AH507" s="403"/>
      <c r="AI507" s="403"/>
    </row>
    <row r="508" spans="24:35">
      <c r="X508" s="403"/>
      <c r="Y508" s="403"/>
      <c r="Z508" s="403"/>
      <c r="AA508" s="403"/>
      <c r="AB508" s="403"/>
      <c r="AC508" s="403"/>
      <c r="AD508" s="403"/>
      <c r="AE508" s="403"/>
      <c r="AF508" s="403"/>
      <c r="AG508" s="403"/>
      <c r="AH508" s="403"/>
      <c r="AI508" s="403"/>
    </row>
    <row r="509" spans="24:35">
      <c r="X509" s="403"/>
      <c r="Y509" s="403"/>
      <c r="Z509" s="403"/>
      <c r="AA509" s="403"/>
      <c r="AB509" s="403"/>
      <c r="AC509" s="403"/>
      <c r="AD509" s="403"/>
      <c r="AE509" s="403"/>
      <c r="AF509" s="403"/>
      <c r="AG509" s="403"/>
      <c r="AH509" s="403"/>
      <c r="AI509" s="403"/>
    </row>
    <row r="510" spans="24:35">
      <c r="X510" s="403"/>
      <c r="Y510" s="403"/>
      <c r="Z510" s="403"/>
      <c r="AA510" s="403"/>
      <c r="AB510" s="403"/>
      <c r="AC510" s="403"/>
      <c r="AD510" s="403"/>
      <c r="AE510" s="403"/>
      <c r="AF510" s="403"/>
      <c r="AG510" s="403"/>
      <c r="AH510" s="403"/>
      <c r="AI510" s="403"/>
    </row>
    <row r="511" spans="24:35">
      <c r="X511" s="403"/>
      <c r="Y511" s="403"/>
      <c r="Z511" s="403"/>
      <c r="AA511" s="403"/>
      <c r="AB511" s="403"/>
      <c r="AC511" s="403"/>
      <c r="AD511" s="403"/>
      <c r="AE511" s="403"/>
      <c r="AF511" s="403"/>
      <c r="AG511" s="403"/>
      <c r="AH511" s="403"/>
      <c r="AI511" s="403"/>
    </row>
    <row r="512" spans="24:35">
      <c r="X512" s="403"/>
      <c r="Y512" s="403"/>
      <c r="Z512" s="403"/>
      <c r="AA512" s="403"/>
      <c r="AB512" s="403"/>
      <c r="AC512" s="403"/>
      <c r="AD512" s="403"/>
      <c r="AE512" s="403"/>
      <c r="AF512" s="403"/>
      <c r="AG512" s="403"/>
      <c r="AH512" s="403"/>
      <c r="AI512" s="403"/>
    </row>
    <row r="513" spans="24:35">
      <c r="X513" s="403"/>
      <c r="Y513" s="403"/>
      <c r="Z513" s="403"/>
      <c r="AA513" s="403"/>
      <c r="AB513" s="403"/>
      <c r="AC513" s="403"/>
      <c r="AD513" s="403"/>
      <c r="AE513" s="403"/>
      <c r="AF513" s="403"/>
      <c r="AG513" s="403"/>
      <c r="AH513" s="403"/>
      <c r="AI513" s="403"/>
    </row>
    <row r="514" spans="24:35">
      <c r="X514" s="403"/>
      <c r="Y514" s="403"/>
      <c r="Z514" s="403"/>
      <c r="AA514" s="403"/>
      <c r="AB514" s="403"/>
      <c r="AC514" s="403"/>
      <c r="AD514" s="403"/>
      <c r="AE514" s="403"/>
      <c r="AF514" s="403"/>
      <c r="AG514" s="403"/>
      <c r="AH514" s="403"/>
      <c r="AI514" s="403"/>
    </row>
    <row r="515" spans="24:35">
      <c r="X515" s="403"/>
      <c r="Y515" s="403"/>
      <c r="Z515" s="403"/>
      <c r="AA515" s="403"/>
      <c r="AB515" s="403"/>
      <c r="AC515" s="403"/>
      <c r="AD515" s="403"/>
      <c r="AE515" s="403"/>
      <c r="AF515" s="403"/>
      <c r="AG515" s="403"/>
      <c r="AH515" s="403"/>
      <c r="AI515" s="403"/>
    </row>
    <row r="516" spans="24:35">
      <c r="X516" s="403"/>
      <c r="Y516" s="403"/>
      <c r="Z516" s="403"/>
      <c r="AA516" s="403"/>
      <c r="AB516" s="403"/>
      <c r="AC516" s="403"/>
      <c r="AD516" s="403"/>
      <c r="AE516" s="403"/>
      <c r="AF516" s="403"/>
      <c r="AG516" s="403"/>
      <c r="AH516" s="403"/>
      <c r="AI516" s="403"/>
    </row>
    <row r="517" spans="24:35">
      <c r="X517" s="403"/>
      <c r="Y517" s="403"/>
      <c r="Z517" s="403"/>
      <c r="AA517" s="403"/>
      <c r="AB517" s="403"/>
      <c r="AC517" s="403"/>
      <c r="AD517" s="403"/>
      <c r="AE517" s="403"/>
      <c r="AF517" s="403"/>
      <c r="AG517" s="403"/>
      <c r="AH517" s="403"/>
      <c r="AI517" s="403"/>
    </row>
    <row r="518" spans="24:35">
      <c r="X518" s="403"/>
      <c r="Y518" s="403"/>
      <c r="Z518" s="403"/>
      <c r="AA518" s="403"/>
      <c r="AB518" s="403"/>
      <c r="AC518" s="403"/>
      <c r="AD518" s="403"/>
      <c r="AE518" s="403"/>
      <c r="AF518" s="403"/>
      <c r="AG518" s="403"/>
      <c r="AH518" s="403"/>
      <c r="AI518" s="403"/>
    </row>
    <row r="519" spans="24:35">
      <c r="X519" s="403"/>
      <c r="Y519" s="403"/>
      <c r="Z519" s="403"/>
      <c r="AA519" s="403"/>
      <c r="AB519" s="403"/>
      <c r="AC519" s="403"/>
      <c r="AD519" s="403"/>
      <c r="AE519" s="403"/>
      <c r="AF519" s="403"/>
      <c r="AG519" s="403"/>
      <c r="AH519" s="403"/>
      <c r="AI519" s="403"/>
    </row>
    <row r="520" spans="24:35">
      <c r="X520" s="403"/>
      <c r="Y520" s="403"/>
      <c r="Z520" s="403"/>
      <c r="AA520" s="403"/>
      <c r="AB520" s="403"/>
      <c r="AC520" s="403"/>
      <c r="AD520" s="403"/>
      <c r="AE520" s="403"/>
      <c r="AF520" s="403"/>
      <c r="AG520" s="403"/>
      <c r="AH520" s="403"/>
      <c r="AI520" s="403"/>
    </row>
    <row r="521" spans="24:35">
      <c r="X521" s="403"/>
      <c r="Y521" s="403"/>
      <c r="Z521" s="403"/>
      <c r="AA521" s="403"/>
      <c r="AB521" s="403"/>
      <c r="AC521" s="403"/>
      <c r="AD521" s="403"/>
      <c r="AE521" s="403"/>
      <c r="AF521" s="403"/>
      <c r="AG521" s="403"/>
      <c r="AH521" s="403"/>
      <c r="AI521" s="403"/>
    </row>
    <row r="522" spans="24:35">
      <c r="X522" s="403"/>
      <c r="Y522" s="403"/>
      <c r="Z522" s="403"/>
      <c r="AA522" s="403"/>
      <c r="AB522" s="403"/>
      <c r="AC522" s="403"/>
      <c r="AD522" s="403"/>
      <c r="AE522" s="403"/>
      <c r="AF522" s="403"/>
      <c r="AG522" s="403"/>
      <c r="AH522" s="403"/>
      <c r="AI522" s="403"/>
    </row>
    <row r="523" spans="24:35">
      <c r="X523" s="403"/>
      <c r="Y523" s="403"/>
      <c r="Z523" s="403"/>
      <c r="AA523" s="403"/>
      <c r="AB523" s="403"/>
      <c r="AC523" s="403"/>
      <c r="AD523" s="403"/>
      <c r="AE523" s="403"/>
      <c r="AF523" s="403"/>
      <c r="AG523" s="403"/>
      <c r="AH523" s="403"/>
      <c r="AI523" s="403"/>
    </row>
    <row r="524" spans="24:35">
      <c r="X524" s="403"/>
      <c r="Y524" s="403"/>
      <c r="Z524" s="403"/>
      <c r="AA524" s="403"/>
      <c r="AB524" s="403"/>
      <c r="AC524" s="403"/>
      <c r="AD524" s="403"/>
      <c r="AE524" s="403"/>
      <c r="AF524" s="403"/>
      <c r="AG524" s="403"/>
      <c r="AH524" s="403"/>
      <c r="AI524" s="403"/>
    </row>
    <row r="525" spans="24:35">
      <c r="X525" s="403"/>
      <c r="Y525" s="403"/>
      <c r="Z525" s="403"/>
      <c r="AA525" s="403"/>
      <c r="AB525" s="403"/>
      <c r="AC525" s="403"/>
      <c r="AD525" s="403"/>
      <c r="AE525" s="403"/>
      <c r="AF525" s="403"/>
      <c r="AG525" s="403"/>
      <c r="AH525" s="403"/>
      <c r="AI525" s="403"/>
    </row>
    <row r="526" spans="24:35">
      <c r="X526" s="403"/>
      <c r="Y526" s="403"/>
      <c r="Z526" s="403"/>
      <c r="AA526" s="403"/>
      <c r="AB526" s="403"/>
      <c r="AC526" s="403"/>
      <c r="AD526" s="403"/>
      <c r="AE526" s="403"/>
      <c r="AF526" s="403"/>
      <c r="AG526" s="403"/>
      <c r="AH526" s="403"/>
      <c r="AI526" s="403"/>
    </row>
    <row r="527" spans="24:35">
      <c r="X527" s="403"/>
      <c r="Y527" s="403"/>
      <c r="Z527" s="403"/>
      <c r="AA527" s="403"/>
      <c r="AB527" s="403"/>
      <c r="AC527" s="403"/>
      <c r="AD527" s="403"/>
      <c r="AE527" s="403"/>
      <c r="AF527" s="403"/>
      <c r="AG527" s="403"/>
      <c r="AH527" s="403"/>
      <c r="AI527" s="403"/>
    </row>
    <row r="528" spans="24:35">
      <c r="X528" s="403"/>
      <c r="Y528" s="403"/>
      <c r="Z528" s="403"/>
      <c r="AA528" s="403"/>
      <c r="AB528" s="403"/>
      <c r="AC528" s="403"/>
      <c r="AD528" s="403"/>
      <c r="AE528" s="403"/>
      <c r="AF528" s="403"/>
      <c r="AG528" s="403"/>
      <c r="AH528" s="403"/>
      <c r="AI528" s="403"/>
    </row>
    <row r="529" spans="24:35">
      <c r="X529" s="403"/>
      <c r="Y529" s="403"/>
      <c r="Z529" s="403"/>
      <c r="AA529" s="403"/>
      <c r="AB529" s="403"/>
      <c r="AC529" s="403"/>
      <c r="AD529" s="403"/>
      <c r="AE529" s="403"/>
      <c r="AF529" s="403"/>
      <c r="AG529" s="403"/>
      <c r="AH529" s="403"/>
      <c r="AI529" s="403"/>
    </row>
    <row r="530" spans="24:35">
      <c r="X530" s="403"/>
      <c r="Y530" s="403"/>
      <c r="Z530" s="403"/>
      <c r="AA530" s="403"/>
      <c r="AB530" s="403"/>
      <c r="AC530" s="403"/>
      <c r="AD530" s="403"/>
      <c r="AE530" s="403"/>
      <c r="AF530" s="403"/>
      <c r="AG530" s="403"/>
      <c r="AH530" s="403"/>
      <c r="AI530" s="403"/>
    </row>
    <row r="531" spans="24:35">
      <c r="X531" s="403"/>
      <c r="Y531" s="403"/>
      <c r="Z531" s="403"/>
      <c r="AA531" s="403"/>
      <c r="AB531" s="403"/>
      <c r="AC531" s="403"/>
      <c r="AD531" s="403"/>
      <c r="AE531" s="403"/>
      <c r="AF531" s="403"/>
      <c r="AG531" s="403"/>
      <c r="AH531" s="403"/>
      <c r="AI531" s="403"/>
    </row>
    <row r="532" spans="24:35">
      <c r="X532" s="403"/>
      <c r="Y532" s="403"/>
      <c r="Z532" s="403"/>
      <c r="AA532" s="403"/>
      <c r="AB532" s="403"/>
      <c r="AC532" s="403"/>
      <c r="AD532" s="403"/>
      <c r="AE532" s="403"/>
      <c r="AF532" s="403"/>
      <c r="AG532" s="403"/>
      <c r="AH532" s="403"/>
      <c r="AI532" s="403"/>
    </row>
    <row r="533" spans="24:35">
      <c r="X533" s="403"/>
      <c r="Y533" s="403"/>
      <c r="Z533" s="403"/>
      <c r="AA533" s="403"/>
      <c r="AB533" s="403"/>
      <c r="AC533" s="403"/>
      <c r="AD533" s="403"/>
      <c r="AE533" s="403"/>
      <c r="AF533" s="403"/>
      <c r="AG533" s="403"/>
      <c r="AH533" s="403"/>
      <c r="AI533" s="403"/>
    </row>
    <row r="534" spans="24:35">
      <c r="X534" s="403"/>
      <c r="Y534" s="403"/>
      <c r="Z534" s="403"/>
      <c r="AA534" s="403"/>
      <c r="AB534" s="403"/>
      <c r="AC534" s="403"/>
      <c r="AD534" s="403"/>
      <c r="AE534" s="403"/>
      <c r="AF534" s="403"/>
      <c r="AG534" s="403"/>
      <c r="AH534" s="403"/>
      <c r="AI534" s="403"/>
    </row>
    <row r="535" spans="24:35">
      <c r="X535" s="403"/>
      <c r="Y535" s="403"/>
      <c r="Z535" s="403"/>
      <c r="AA535" s="403"/>
      <c r="AB535" s="403"/>
      <c r="AC535" s="403"/>
      <c r="AD535" s="403"/>
      <c r="AE535" s="403"/>
      <c r="AF535" s="403"/>
      <c r="AG535" s="403"/>
      <c r="AH535" s="403"/>
      <c r="AI535" s="403"/>
    </row>
    <row r="536" spans="24:35">
      <c r="X536" s="403"/>
      <c r="Y536" s="403"/>
      <c r="Z536" s="403"/>
      <c r="AA536" s="403"/>
      <c r="AB536" s="403"/>
      <c r="AC536" s="403"/>
      <c r="AD536" s="403"/>
      <c r="AE536" s="403"/>
      <c r="AF536" s="403"/>
      <c r="AG536" s="403"/>
      <c r="AH536" s="403"/>
      <c r="AI536" s="403"/>
    </row>
    <row r="537" spans="24:35">
      <c r="X537" s="403"/>
      <c r="Y537" s="403"/>
      <c r="Z537" s="403"/>
      <c r="AA537" s="403"/>
      <c r="AB537" s="403"/>
      <c r="AC537" s="403"/>
      <c r="AD537" s="403"/>
      <c r="AE537" s="403"/>
      <c r="AF537" s="403"/>
      <c r="AG537" s="403"/>
      <c r="AH537" s="403"/>
      <c r="AI537" s="403"/>
    </row>
    <row r="538" spans="24:35">
      <c r="X538" s="403"/>
      <c r="Y538" s="403"/>
      <c r="Z538" s="403"/>
      <c r="AA538" s="403"/>
      <c r="AB538" s="403"/>
      <c r="AC538" s="403"/>
      <c r="AD538" s="403"/>
      <c r="AE538" s="403"/>
      <c r="AF538" s="403"/>
      <c r="AG538" s="403"/>
      <c r="AH538" s="403"/>
      <c r="AI538" s="403"/>
    </row>
    <row r="539" spans="24:35">
      <c r="X539" s="403"/>
      <c r="Y539" s="403"/>
      <c r="Z539" s="403"/>
      <c r="AA539" s="403"/>
      <c r="AB539" s="403"/>
      <c r="AC539" s="403"/>
      <c r="AD539" s="403"/>
      <c r="AE539" s="403"/>
      <c r="AF539" s="403"/>
      <c r="AG539" s="403"/>
      <c r="AH539" s="403"/>
      <c r="AI539" s="403"/>
    </row>
    <row r="540" spans="24:35">
      <c r="X540" s="403"/>
      <c r="Y540" s="403"/>
      <c r="Z540" s="403"/>
      <c r="AA540" s="403"/>
      <c r="AB540" s="403"/>
      <c r="AC540" s="403"/>
      <c r="AD540" s="403"/>
      <c r="AE540" s="403"/>
      <c r="AF540" s="403"/>
      <c r="AG540" s="403"/>
      <c r="AH540" s="403"/>
      <c r="AI540" s="403"/>
    </row>
    <row r="541" spans="24:35">
      <c r="X541" s="403"/>
      <c r="Y541" s="403"/>
      <c r="Z541" s="403"/>
      <c r="AA541" s="403"/>
      <c r="AB541" s="403"/>
      <c r="AC541" s="403"/>
      <c r="AD541" s="403"/>
      <c r="AE541" s="403"/>
      <c r="AF541" s="403"/>
      <c r="AG541" s="403"/>
      <c r="AH541" s="403"/>
      <c r="AI541" s="403"/>
    </row>
    <row r="542" spans="24:35">
      <c r="X542" s="403"/>
      <c r="Y542" s="403"/>
      <c r="Z542" s="403"/>
      <c r="AA542" s="403"/>
      <c r="AB542" s="403"/>
      <c r="AC542" s="403"/>
      <c r="AD542" s="403"/>
      <c r="AE542" s="403"/>
      <c r="AF542" s="403"/>
      <c r="AG542" s="403"/>
      <c r="AH542" s="403"/>
      <c r="AI542" s="403"/>
    </row>
    <row r="543" spans="24:35">
      <c r="X543" s="403"/>
      <c r="Y543" s="403"/>
      <c r="Z543" s="403"/>
      <c r="AA543" s="403"/>
      <c r="AB543" s="403"/>
      <c r="AC543" s="403"/>
      <c r="AD543" s="403"/>
      <c r="AE543" s="403"/>
      <c r="AF543" s="403"/>
      <c r="AG543" s="403"/>
      <c r="AH543" s="403"/>
      <c r="AI543" s="403"/>
    </row>
    <row r="544" spans="24:35">
      <c r="X544" s="403"/>
      <c r="Y544" s="403"/>
      <c r="Z544" s="403"/>
      <c r="AA544" s="403"/>
      <c r="AB544" s="403"/>
      <c r="AC544" s="403"/>
      <c r="AD544" s="403"/>
      <c r="AE544" s="403"/>
      <c r="AF544" s="403"/>
      <c r="AG544" s="403"/>
      <c r="AH544" s="403"/>
      <c r="AI544" s="403"/>
    </row>
    <row r="545" spans="24:35">
      <c r="X545" s="403"/>
      <c r="Y545" s="403"/>
      <c r="Z545" s="403"/>
      <c r="AA545" s="403"/>
      <c r="AB545" s="403"/>
      <c r="AC545" s="403"/>
      <c r="AD545" s="403"/>
      <c r="AE545" s="403"/>
      <c r="AF545" s="403"/>
      <c r="AG545" s="403"/>
      <c r="AH545" s="403"/>
      <c r="AI545" s="403"/>
    </row>
    <row r="546" spans="24:35">
      <c r="X546" s="403"/>
      <c r="Y546" s="403"/>
      <c r="Z546" s="403"/>
      <c r="AA546" s="403"/>
      <c r="AB546" s="403"/>
      <c r="AC546" s="403"/>
      <c r="AD546" s="403"/>
      <c r="AE546" s="403"/>
      <c r="AF546" s="403"/>
      <c r="AG546" s="403"/>
      <c r="AH546" s="403"/>
      <c r="AI546" s="403"/>
    </row>
    <row r="547" spans="24:35">
      <c r="X547" s="403"/>
      <c r="Y547" s="403"/>
      <c r="Z547" s="403"/>
      <c r="AA547" s="403"/>
      <c r="AB547" s="403"/>
      <c r="AC547" s="403"/>
      <c r="AD547" s="403"/>
      <c r="AE547" s="403"/>
      <c r="AF547" s="403"/>
      <c r="AG547" s="403"/>
      <c r="AH547" s="403"/>
      <c r="AI547" s="403"/>
    </row>
    <row r="548" spans="24:35">
      <c r="X548" s="403"/>
      <c r="Y548" s="403"/>
      <c r="Z548" s="403"/>
      <c r="AA548" s="403"/>
      <c r="AB548" s="403"/>
      <c r="AC548" s="403"/>
      <c r="AD548" s="403"/>
      <c r="AE548" s="403"/>
      <c r="AF548" s="403"/>
      <c r="AG548" s="403"/>
      <c r="AH548" s="403"/>
      <c r="AI548" s="403"/>
    </row>
    <row r="549" spans="24:35">
      <c r="X549" s="403"/>
      <c r="Y549" s="403"/>
      <c r="Z549" s="403"/>
      <c r="AA549" s="403"/>
      <c r="AB549" s="403"/>
      <c r="AC549" s="403"/>
      <c r="AD549" s="403"/>
      <c r="AE549" s="403"/>
      <c r="AF549" s="403"/>
      <c r="AG549" s="403"/>
      <c r="AH549" s="403"/>
      <c r="AI549" s="403"/>
    </row>
    <row r="550" spans="24:35">
      <c r="X550" s="403"/>
      <c r="Y550" s="403"/>
      <c r="Z550" s="403"/>
      <c r="AA550" s="403"/>
      <c r="AB550" s="403"/>
      <c r="AC550" s="403"/>
      <c r="AD550" s="403"/>
      <c r="AE550" s="403"/>
      <c r="AF550" s="403"/>
      <c r="AG550" s="403"/>
      <c r="AH550" s="403"/>
      <c r="AI550" s="403"/>
    </row>
    <row r="551" spans="24:35">
      <c r="X551" s="403"/>
      <c r="Y551" s="403"/>
      <c r="Z551" s="403"/>
      <c r="AA551" s="403"/>
      <c r="AB551" s="403"/>
      <c r="AC551" s="403"/>
      <c r="AD551" s="403"/>
      <c r="AE551" s="403"/>
      <c r="AF551" s="403"/>
      <c r="AG551" s="403"/>
      <c r="AH551" s="403"/>
      <c r="AI551" s="403"/>
    </row>
    <row r="552" spans="24:35">
      <c r="X552" s="403"/>
      <c r="Y552" s="403"/>
      <c r="Z552" s="403"/>
      <c r="AA552" s="403"/>
      <c r="AB552" s="403"/>
      <c r="AC552" s="403"/>
      <c r="AD552" s="403"/>
      <c r="AE552" s="403"/>
      <c r="AF552" s="403"/>
      <c r="AG552" s="403"/>
      <c r="AH552" s="403"/>
      <c r="AI552" s="403"/>
    </row>
    <row r="553" spans="24:35">
      <c r="X553" s="403"/>
      <c r="Y553" s="403"/>
      <c r="Z553" s="403"/>
      <c r="AA553" s="403"/>
      <c r="AB553" s="403"/>
      <c r="AC553" s="403"/>
      <c r="AD553" s="403"/>
      <c r="AE553" s="403"/>
      <c r="AF553" s="403"/>
      <c r="AG553" s="403"/>
      <c r="AH553" s="403"/>
      <c r="AI553" s="403"/>
    </row>
    <row r="554" spans="24:35">
      <c r="X554" s="403"/>
      <c r="Y554" s="403"/>
      <c r="Z554" s="403"/>
      <c r="AA554" s="403"/>
      <c r="AB554" s="403"/>
      <c r="AC554" s="403"/>
      <c r="AD554" s="403"/>
      <c r="AE554" s="403"/>
      <c r="AF554" s="403"/>
      <c r="AG554" s="403"/>
      <c r="AH554" s="403"/>
      <c r="AI554" s="403"/>
    </row>
    <row r="555" spans="24:35">
      <c r="X555" s="403"/>
      <c r="Y555" s="403"/>
      <c r="Z555" s="403"/>
      <c r="AA555" s="403"/>
      <c r="AB555" s="403"/>
      <c r="AC555" s="403"/>
      <c r="AD555" s="403"/>
      <c r="AE555" s="403"/>
      <c r="AF555" s="403"/>
      <c r="AG555" s="403"/>
      <c r="AH555" s="403"/>
      <c r="AI555" s="403"/>
    </row>
    <row r="556" spans="24:35">
      <c r="X556" s="403"/>
      <c r="Y556" s="403"/>
      <c r="Z556" s="403"/>
      <c r="AA556" s="403"/>
      <c r="AB556" s="403"/>
      <c r="AC556" s="403"/>
      <c r="AD556" s="403"/>
      <c r="AE556" s="403"/>
      <c r="AF556" s="403"/>
      <c r="AG556" s="403"/>
      <c r="AH556" s="403"/>
      <c r="AI556" s="403"/>
    </row>
    <row r="557" spans="24:35">
      <c r="X557" s="403"/>
      <c r="Y557" s="403"/>
      <c r="Z557" s="403"/>
      <c r="AA557" s="403"/>
      <c r="AB557" s="403"/>
      <c r="AC557" s="403"/>
      <c r="AD557" s="403"/>
      <c r="AE557" s="403"/>
      <c r="AF557" s="403"/>
      <c r="AG557" s="403"/>
      <c r="AH557" s="403"/>
      <c r="AI557" s="403"/>
    </row>
    <row r="558" spans="24:35">
      <c r="X558" s="403"/>
      <c r="Y558" s="403"/>
      <c r="Z558" s="403"/>
      <c r="AA558" s="403"/>
      <c r="AB558" s="403"/>
      <c r="AC558" s="403"/>
      <c r="AD558" s="403"/>
      <c r="AE558" s="403"/>
      <c r="AF558" s="403"/>
      <c r="AG558" s="403"/>
      <c r="AH558" s="403"/>
      <c r="AI558" s="403"/>
    </row>
    <row r="559" spans="24:35">
      <c r="X559" s="403"/>
      <c r="Y559" s="403"/>
      <c r="Z559" s="403"/>
      <c r="AA559" s="403"/>
      <c r="AB559" s="403"/>
      <c r="AC559" s="403"/>
      <c r="AD559" s="403"/>
      <c r="AE559" s="403"/>
      <c r="AF559" s="403"/>
      <c r="AG559" s="403"/>
      <c r="AH559" s="403"/>
      <c r="AI559" s="403"/>
    </row>
    <row r="560" spans="24:35">
      <c r="X560" s="403"/>
      <c r="Y560" s="403"/>
      <c r="Z560" s="403"/>
      <c r="AA560" s="403"/>
      <c r="AB560" s="403"/>
      <c r="AC560" s="403"/>
      <c r="AD560" s="403"/>
      <c r="AE560" s="403"/>
      <c r="AF560" s="403"/>
      <c r="AG560" s="403"/>
      <c r="AH560" s="403"/>
      <c r="AI560" s="403"/>
    </row>
    <row r="561" spans="24:35">
      <c r="X561" s="403"/>
      <c r="Y561" s="403"/>
      <c r="Z561" s="403"/>
      <c r="AA561" s="403"/>
      <c r="AB561" s="403"/>
      <c r="AC561" s="403"/>
      <c r="AD561" s="403"/>
      <c r="AE561" s="403"/>
      <c r="AF561" s="403"/>
      <c r="AG561" s="403"/>
      <c r="AH561" s="403"/>
      <c r="AI561" s="403"/>
    </row>
    <row r="562" spans="24:35">
      <c r="X562" s="403"/>
      <c r="Y562" s="403"/>
      <c r="Z562" s="403"/>
      <c r="AA562" s="403"/>
      <c r="AB562" s="403"/>
      <c r="AC562" s="403"/>
      <c r="AD562" s="403"/>
      <c r="AE562" s="403"/>
      <c r="AF562" s="403"/>
      <c r="AG562" s="403"/>
      <c r="AH562" s="403"/>
      <c r="AI562" s="403"/>
    </row>
    <row r="563" spans="24:35">
      <c r="X563" s="403"/>
      <c r="Y563" s="403"/>
      <c r="Z563" s="403"/>
      <c r="AA563" s="403"/>
      <c r="AB563" s="403"/>
      <c r="AC563" s="403"/>
      <c r="AD563" s="403"/>
      <c r="AE563" s="403"/>
      <c r="AF563" s="403"/>
      <c r="AG563" s="403"/>
      <c r="AH563" s="403"/>
      <c r="AI563" s="403"/>
    </row>
    <row r="564" spans="24:35">
      <c r="X564" s="403"/>
      <c r="Y564" s="403"/>
      <c r="Z564" s="403"/>
      <c r="AA564" s="403"/>
      <c r="AB564" s="403"/>
      <c r="AC564" s="403"/>
      <c r="AD564" s="403"/>
      <c r="AE564" s="403"/>
      <c r="AF564" s="403"/>
      <c r="AG564" s="403"/>
      <c r="AH564" s="403"/>
      <c r="AI564" s="403"/>
    </row>
    <row r="565" spans="24:35">
      <c r="X565" s="403"/>
      <c r="Y565" s="403"/>
      <c r="Z565" s="403"/>
      <c r="AA565" s="403"/>
      <c r="AB565" s="403"/>
      <c r="AC565" s="403"/>
      <c r="AD565" s="403"/>
      <c r="AE565" s="403"/>
      <c r="AF565" s="403"/>
      <c r="AG565" s="403"/>
      <c r="AH565" s="403"/>
      <c r="AI565" s="403"/>
    </row>
    <row r="566" spans="24:35">
      <c r="X566" s="403"/>
      <c r="Y566" s="403"/>
      <c r="Z566" s="403"/>
      <c r="AA566" s="403"/>
      <c r="AB566" s="403"/>
      <c r="AC566" s="403"/>
      <c r="AD566" s="403"/>
      <c r="AE566" s="403"/>
      <c r="AF566" s="403"/>
      <c r="AG566" s="403"/>
      <c r="AH566" s="403"/>
      <c r="AI566" s="403"/>
    </row>
    <row r="567" spans="24:35">
      <c r="X567" s="403"/>
      <c r="Y567" s="403"/>
      <c r="Z567" s="403"/>
      <c r="AA567" s="403"/>
      <c r="AB567" s="403"/>
      <c r="AC567" s="403"/>
      <c r="AD567" s="403"/>
      <c r="AE567" s="403"/>
      <c r="AF567" s="403"/>
      <c r="AG567" s="403"/>
      <c r="AH567" s="403"/>
      <c r="AI567" s="403"/>
    </row>
    <row r="568" spans="24:35">
      <c r="X568" s="403"/>
      <c r="Y568" s="403"/>
      <c r="Z568" s="403"/>
      <c r="AA568" s="403"/>
      <c r="AB568" s="403"/>
      <c r="AC568" s="403"/>
      <c r="AD568" s="403"/>
      <c r="AE568" s="403"/>
      <c r="AF568" s="403"/>
      <c r="AG568" s="403"/>
      <c r="AH568" s="403"/>
      <c r="AI568" s="403"/>
    </row>
    <row r="569" spans="24:35">
      <c r="X569" s="403"/>
      <c r="Y569" s="403"/>
      <c r="Z569" s="403"/>
      <c r="AA569" s="403"/>
      <c r="AB569" s="403"/>
      <c r="AC569" s="403"/>
      <c r="AD569" s="403"/>
      <c r="AE569" s="403"/>
      <c r="AF569" s="403"/>
      <c r="AG569" s="403"/>
      <c r="AH569" s="403"/>
      <c r="AI569" s="403"/>
    </row>
    <row r="570" spans="24:35">
      <c r="X570" s="403"/>
      <c r="Y570" s="403"/>
      <c r="Z570" s="403"/>
      <c r="AA570" s="403"/>
      <c r="AB570" s="403"/>
      <c r="AC570" s="403"/>
      <c r="AD570" s="403"/>
      <c r="AE570" s="403"/>
      <c r="AF570" s="403"/>
      <c r="AG570" s="403"/>
      <c r="AH570" s="403"/>
      <c r="AI570" s="403"/>
    </row>
    <row r="571" spans="24:35">
      <c r="X571" s="403"/>
      <c r="Y571" s="403"/>
      <c r="Z571" s="403"/>
      <c r="AA571" s="403"/>
      <c r="AB571" s="403"/>
      <c r="AC571" s="403"/>
      <c r="AD571" s="403"/>
      <c r="AE571" s="403"/>
      <c r="AF571" s="403"/>
      <c r="AG571" s="403"/>
      <c r="AH571" s="403"/>
      <c r="AI571" s="403"/>
    </row>
    <row r="572" spans="24:35">
      <c r="X572" s="403"/>
      <c r="Y572" s="403"/>
      <c r="Z572" s="403"/>
      <c r="AA572" s="403"/>
      <c r="AB572" s="403"/>
      <c r="AC572" s="403"/>
      <c r="AD572" s="403"/>
      <c r="AE572" s="403"/>
      <c r="AF572" s="403"/>
      <c r="AG572" s="403"/>
      <c r="AH572" s="403"/>
      <c r="AI572" s="403"/>
    </row>
    <row r="573" spans="24:35">
      <c r="X573" s="403"/>
      <c r="Y573" s="403"/>
      <c r="Z573" s="403"/>
      <c r="AA573" s="403"/>
      <c r="AB573" s="403"/>
      <c r="AC573" s="403"/>
      <c r="AD573" s="403"/>
      <c r="AE573" s="403"/>
      <c r="AF573" s="403"/>
      <c r="AG573" s="403"/>
      <c r="AH573" s="403"/>
      <c r="AI573" s="403"/>
    </row>
    <row r="574" spans="24:35">
      <c r="X574" s="403"/>
      <c r="Y574" s="403"/>
      <c r="Z574" s="403"/>
      <c r="AA574" s="403"/>
      <c r="AB574" s="403"/>
      <c r="AC574" s="403"/>
      <c r="AD574" s="403"/>
      <c r="AE574" s="403"/>
      <c r="AF574" s="403"/>
      <c r="AG574" s="403"/>
      <c r="AH574" s="403"/>
      <c r="AI574" s="403"/>
    </row>
    <row r="575" spans="24:35">
      <c r="X575" s="403"/>
      <c r="Y575" s="403"/>
      <c r="Z575" s="403"/>
      <c r="AA575" s="403"/>
      <c r="AB575" s="403"/>
      <c r="AC575" s="403"/>
      <c r="AD575" s="403"/>
      <c r="AE575" s="403"/>
      <c r="AF575" s="403"/>
      <c r="AG575" s="403"/>
      <c r="AH575" s="403"/>
      <c r="AI575" s="403"/>
    </row>
    <row r="576" spans="24:35">
      <c r="X576" s="403"/>
      <c r="Y576" s="403"/>
      <c r="Z576" s="403"/>
      <c r="AA576" s="403"/>
      <c r="AB576" s="403"/>
      <c r="AC576" s="403"/>
      <c r="AD576" s="403"/>
      <c r="AE576" s="403"/>
      <c r="AF576" s="403"/>
      <c r="AG576" s="403"/>
      <c r="AH576" s="403"/>
      <c r="AI576" s="403"/>
    </row>
    <row r="577" spans="24:35">
      <c r="X577" s="403"/>
      <c r="Y577" s="403"/>
      <c r="Z577" s="403"/>
      <c r="AA577" s="403"/>
      <c r="AB577" s="403"/>
      <c r="AC577" s="403"/>
      <c r="AD577" s="403"/>
      <c r="AE577" s="403"/>
      <c r="AF577" s="403"/>
      <c r="AG577" s="403"/>
      <c r="AH577" s="403"/>
      <c r="AI577" s="403"/>
    </row>
    <row r="578" spans="24:35">
      <c r="X578" s="403"/>
      <c r="Y578" s="403"/>
      <c r="Z578" s="403"/>
      <c r="AA578" s="403"/>
      <c r="AB578" s="403"/>
      <c r="AC578" s="403"/>
      <c r="AD578" s="403"/>
      <c r="AE578" s="403"/>
      <c r="AF578" s="403"/>
      <c r="AG578" s="403"/>
      <c r="AH578" s="403"/>
      <c r="AI578" s="403"/>
    </row>
    <row r="579" spans="24:35">
      <c r="X579" s="403"/>
      <c r="Y579" s="403"/>
      <c r="Z579" s="403"/>
      <c r="AA579" s="403"/>
      <c r="AB579" s="403"/>
      <c r="AC579" s="403"/>
      <c r="AD579" s="403"/>
      <c r="AE579" s="403"/>
      <c r="AF579" s="403"/>
      <c r="AG579" s="403"/>
      <c r="AH579" s="403"/>
      <c r="AI579" s="403"/>
    </row>
    <row r="580" spans="24:35">
      <c r="X580" s="403"/>
      <c r="Y580" s="403"/>
      <c r="Z580" s="403"/>
      <c r="AA580" s="403"/>
      <c r="AB580" s="403"/>
      <c r="AC580" s="403"/>
      <c r="AD580" s="403"/>
      <c r="AE580" s="403"/>
      <c r="AF580" s="403"/>
      <c r="AG580" s="403"/>
      <c r="AH580" s="403"/>
      <c r="AI580" s="403"/>
    </row>
    <row r="581" spans="24:35">
      <c r="X581" s="403"/>
      <c r="Y581" s="403"/>
      <c r="Z581" s="403"/>
      <c r="AA581" s="403"/>
      <c r="AB581" s="403"/>
      <c r="AC581" s="403"/>
      <c r="AD581" s="403"/>
      <c r="AE581" s="403"/>
      <c r="AF581" s="403"/>
      <c r="AG581" s="403"/>
      <c r="AH581" s="403"/>
      <c r="AI581" s="403"/>
    </row>
    <row r="582" spans="24:35">
      <c r="X582" s="403"/>
      <c r="Y582" s="403"/>
      <c r="Z582" s="403"/>
      <c r="AA582" s="403"/>
      <c r="AB582" s="403"/>
      <c r="AC582" s="403"/>
      <c r="AD582" s="403"/>
      <c r="AE582" s="403"/>
      <c r="AF582" s="403"/>
      <c r="AG582" s="403"/>
      <c r="AH582" s="403"/>
      <c r="AI582" s="403"/>
    </row>
    <row r="583" spans="24:35">
      <c r="X583" s="403"/>
      <c r="Y583" s="403"/>
      <c r="Z583" s="403"/>
      <c r="AA583" s="403"/>
      <c r="AB583" s="403"/>
      <c r="AC583" s="403"/>
      <c r="AD583" s="403"/>
      <c r="AE583" s="403"/>
      <c r="AF583" s="403"/>
      <c r="AG583" s="403"/>
      <c r="AH583" s="403"/>
      <c r="AI583" s="403"/>
    </row>
    <row r="584" spans="24:35">
      <c r="X584" s="403"/>
      <c r="Y584" s="403"/>
      <c r="Z584" s="403"/>
      <c r="AA584" s="403"/>
      <c r="AB584" s="403"/>
      <c r="AC584" s="403"/>
      <c r="AD584" s="403"/>
      <c r="AE584" s="403"/>
      <c r="AF584" s="403"/>
      <c r="AG584" s="403"/>
      <c r="AH584" s="403"/>
      <c r="AI584" s="403"/>
    </row>
    <row r="585" spans="24:35">
      <c r="X585" s="403"/>
      <c r="Y585" s="403"/>
      <c r="Z585" s="403"/>
      <c r="AA585" s="403"/>
      <c r="AB585" s="403"/>
      <c r="AC585" s="403"/>
      <c r="AD585" s="403"/>
      <c r="AE585" s="403"/>
      <c r="AF585" s="403"/>
      <c r="AG585" s="403"/>
      <c r="AH585" s="403"/>
      <c r="AI585" s="403"/>
    </row>
    <row r="586" spans="24:35">
      <c r="X586" s="403"/>
      <c r="Y586" s="403"/>
      <c r="Z586" s="403"/>
      <c r="AA586" s="403"/>
      <c r="AB586" s="403"/>
      <c r="AC586" s="403"/>
      <c r="AD586" s="403"/>
      <c r="AE586" s="403"/>
      <c r="AF586" s="403"/>
      <c r="AG586" s="403"/>
      <c r="AH586" s="403"/>
      <c r="AI586" s="403"/>
    </row>
    <row r="587" spans="24:35">
      <c r="X587" s="403"/>
      <c r="Y587" s="403"/>
      <c r="Z587" s="403"/>
      <c r="AA587" s="403"/>
      <c r="AB587" s="403"/>
      <c r="AC587" s="403"/>
      <c r="AD587" s="403"/>
      <c r="AE587" s="403"/>
      <c r="AF587" s="403"/>
      <c r="AG587" s="403"/>
      <c r="AH587" s="403"/>
      <c r="AI587" s="403"/>
    </row>
    <row r="588" spans="24:35">
      <c r="X588" s="403"/>
      <c r="Y588" s="403"/>
      <c r="Z588" s="403"/>
      <c r="AA588" s="403"/>
      <c r="AB588" s="403"/>
      <c r="AC588" s="403"/>
      <c r="AD588" s="403"/>
      <c r="AE588" s="403"/>
      <c r="AF588" s="403"/>
      <c r="AG588" s="403"/>
      <c r="AH588" s="403"/>
      <c r="AI588" s="403"/>
    </row>
    <row r="589" spans="24:35">
      <c r="X589" s="403"/>
      <c r="Y589" s="403"/>
      <c r="Z589" s="403"/>
      <c r="AA589" s="403"/>
      <c r="AB589" s="403"/>
      <c r="AC589" s="403"/>
      <c r="AD589" s="403"/>
      <c r="AE589" s="403"/>
      <c r="AF589" s="403"/>
      <c r="AG589" s="403"/>
      <c r="AH589" s="403"/>
      <c r="AI589" s="403"/>
    </row>
    <row r="590" spans="24:35">
      <c r="X590" s="403"/>
      <c r="Y590" s="403"/>
      <c r="Z590" s="403"/>
      <c r="AA590" s="403"/>
      <c r="AB590" s="403"/>
      <c r="AC590" s="403"/>
      <c r="AD590" s="403"/>
      <c r="AE590" s="403"/>
      <c r="AF590" s="403"/>
      <c r="AG590" s="403"/>
      <c r="AH590" s="403"/>
      <c r="AI590" s="403"/>
    </row>
    <row r="591" spans="24:35">
      <c r="X591" s="403"/>
      <c r="Y591" s="403"/>
      <c r="Z591" s="403"/>
      <c r="AA591" s="403"/>
      <c r="AB591" s="403"/>
      <c r="AC591" s="403"/>
      <c r="AD591" s="403"/>
      <c r="AE591" s="403"/>
      <c r="AF591" s="403"/>
      <c r="AG591" s="403"/>
      <c r="AH591" s="403"/>
      <c r="AI591" s="403"/>
    </row>
    <row r="592" spans="24:35">
      <c r="X592" s="403"/>
      <c r="Y592" s="403"/>
      <c r="Z592" s="403"/>
      <c r="AA592" s="403"/>
      <c r="AB592" s="403"/>
      <c r="AC592" s="403"/>
      <c r="AD592" s="403"/>
      <c r="AE592" s="403"/>
      <c r="AF592" s="403"/>
      <c r="AG592" s="403"/>
      <c r="AH592" s="403"/>
      <c r="AI592" s="403"/>
    </row>
    <row r="593" spans="24:35">
      <c r="X593" s="403"/>
      <c r="Y593" s="403"/>
      <c r="Z593" s="403"/>
      <c r="AA593" s="403"/>
      <c r="AB593" s="403"/>
      <c r="AC593" s="403"/>
      <c r="AD593" s="403"/>
      <c r="AE593" s="403"/>
      <c r="AF593" s="403"/>
      <c r="AG593" s="403"/>
      <c r="AH593" s="403"/>
      <c r="AI593" s="403"/>
    </row>
    <row r="594" spans="24:35">
      <c r="X594" s="403"/>
      <c r="Y594" s="403"/>
      <c r="Z594" s="403"/>
      <c r="AA594" s="403"/>
      <c r="AB594" s="403"/>
      <c r="AC594" s="403"/>
      <c r="AD594" s="403"/>
      <c r="AE594" s="403"/>
      <c r="AF594" s="403"/>
      <c r="AG594" s="403"/>
      <c r="AH594" s="403"/>
      <c r="AI594" s="403"/>
    </row>
    <row r="595" spans="24:35">
      <c r="X595" s="403"/>
      <c r="Y595" s="403"/>
      <c r="Z595" s="403"/>
      <c r="AA595" s="403"/>
      <c r="AB595" s="403"/>
      <c r="AC595" s="403"/>
      <c r="AD595" s="403"/>
      <c r="AE595" s="403"/>
      <c r="AF595" s="403"/>
      <c r="AG595" s="403"/>
      <c r="AH595" s="403"/>
      <c r="AI595" s="403"/>
    </row>
    <row r="596" spans="24:35">
      <c r="X596" s="403"/>
      <c r="Y596" s="403"/>
      <c r="Z596" s="403"/>
      <c r="AA596" s="403"/>
      <c r="AB596" s="403"/>
      <c r="AC596" s="403"/>
      <c r="AD596" s="403"/>
      <c r="AE596" s="403"/>
      <c r="AF596" s="403"/>
      <c r="AG596" s="403"/>
      <c r="AH596" s="403"/>
      <c r="AI596" s="403"/>
    </row>
    <row r="597" spans="24:35">
      <c r="X597" s="403"/>
      <c r="Y597" s="403"/>
      <c r="Z597" s="403"/>
      <c r="AA597" s="403"/>
      <c r="AB597" s="403"/>
      <c r="AC597" s="403"/>
      <c r="AD597" s="403"/>
      <c r="AE597" s="403"/>
      <c r="AF597" s="403"/>
      <c r="AG597" s="403"/>
      <c r="AH597" s="403"/>
      <c r="AI597" s="403"/>
    </row>
    <row r="598" spans="24:35">
      <c r="X598" s="403"/>
      <c r="Y598" s="403"/>
      <c r="Z598" s="403"/>
      <c r="AA598" s="403"/>
      <c r="AB598" s="403"/>
      <c r="AC598" s="403"/>
      <c r="AD598" s="403"/>
      <c r="AE598" s="403"/>
      <c r="AF598" s="403"/>
      <c r="AG598" s="403"/>
      <c r="AH598" s="403"/>
      <c r="AI598" s="403"/>
    </row>
    <row r="599" spans="24:35">
      <c r="X599" s="403"/>
      <c r="Y599" s="403"/>
      <c r="Z599" s="403"/>
      <c r="AA599" s="403"/>
      <c r="AB599" s="403"/>
      <c r="AC599" s="403"/>
      <c r="AD599" s="403"/>
      <c r="AE599" s="403"/>
      <c r="AF599" s="403"/>
      <c r="AG599" s="403"/>
      <c r="AH599" s="403"/>
      <c r="AI599" s="403"/>
    </row>
    <row r="600" spans="24:35">
      <c r="X600" s="403"/>
      <c r="Y600" s="403"/>
      <c r="Z600" s="403"/>
      <c r="AA600" s="403"/>
      <c r="AB600" s="403"/>
      <c r="AC600" s="403"/>
      <c r="AD600" s="403"/>
      <c r="AE600" s="403"/>
      <c r="AF600" s="403"/>
      <c r="AG600" s="403"/>
      <c r="AH600" s="403"/>
      <c r="AI600" s="403"/>
    </row>
    <row r="601" spans="24:35">
      <c r="X601" s="403"/>
      <c r="Y601" s="403"/>
      <c r="Z601" s="403"/>
      <c r="AA601" s="403"/>
      <c r="AB601" s="403"/>
      <c r="AC601" s="403"/>
      <c r="AD601" s="403"/>
      <c r="AE601" s="403"/>
      <c r="AF601" s="403"/>
      <c r="AG601" s="403"/>
      <c r="AH601" s="403"/>
      <c r="AI601" s="403"/>
    </row>
    <row r="602" spans="24:35">
      <c r="X602" s="403"/>
      <c r="Y602" s="403"/>
      <c r="Z602" s="403"/>
      <c r="AA602" s="403"/>
      <c r="AB602" s="403"/>
      <c r="AC602" s="403"/>
      <c r="AD602" s="403"/>
      <c r="AE602" s="403"/>
      <c r="AF602" s="403"/>
      <c r="AG602" s="403"/>
      <c r="AH602" s="403"/>
      <c r="AI602" s="403"/>
    </row>
    <row r="603" spans="24:35">
      <c r="X603" s="403"/>
      <c r="Y603" s="403"/>
      <c r="Z603" s="403"/>
      <c r="AA603" s="403"/>
      <c r="AB603" s="403"/>
      <c r="AC603" s="403"/>
      <c r="AD603" s="403"/>
      <c r="AE603" s="403"/>
      <c r="AF603" s="403"/>
      <c r="AG603" s="403"/>
      <c r="AH603" s="403"/>
      <c r="AI603" s="403"/>
    </row>
    <row r="604" spans="24:35">
      <c r="X604" s="403"/>
      <c r="Y604" s="403"/>
      <c r="Z604" s="403"/>
      <c r="AA604" s="403"/>
      <c r="AB604" s="403"/>
      <c r="AC604" s="403"/>
      <c r="AD604" s="403"/>
      <c r="AE604" s="403"/>
      <c r="AF604" s="403"/>
      <c r="AG604" s="403"/>
      <c r="AH604" s="403"/>
      <c r="AI604" s="403"/>
    </row>
    <row r="605" spans="24:35">
      <c r="X605" s="403"/>
      <c r="Y605" s="403"/>
      <c r="Z605" s="403"/>
      <c r="AA605" s="403"/>
      <c r="AB605" s="403"/>
      <c r="AC605" s="403"/>
      <c r="AD605" s="403"/>
      <c r="AE605" s="403"/>
      <c r="AF605" s="403"/>
      <c r="AG605" s="403"/>
      <c r="AH605" s="403"/>
      <c r="AI605" s="403"/>
    </row>
    <row r="606" spans="24:35">
      <c r="X606" s="403"/>
      <c r="Y606" s="403"/>
      <c r="Z606" s="403"/>
      <c r="AA606" s="403"/>
      <c r="AB606" s="403"/>
      <c r="AC606" s="403"/>
      <c r="AD606" s="403"/>
      <c r="AE606" s="403"/>
      <c r="AF606" s="403"/>
      <c r="AG606" s="403"/>
      <c r="AH606" s="403"/>
      <c r="AI606" s="403"/>
    </row>
    <row r="607" spans="24:35">
      <c r="X607" s="403"/>
      <c r="Y607" s="403"/>
      <c r="Z607" s="403"/>
      <c r="AA607" s="403"/>
      <c r="AB607" s="403"/>
      <c r="AC607" s="403"/>
      <c r="AD607" s="403"/>
      <c r="AE607" s="403"/>
      <c r="AF607" s="403"/>
      <c r="AG607" s="403"/>
      <c r="AH607" s="403"/>
      <c r="AI607" s="403"/>
    </row>
    <row r="608" spans="24:35">
      <c r="X608" s="403"/>
      <c r="Y608" s="403"/>
      <c r="Z608" s="403"/>
      <c r="AA608" s="403"/>
      <c r="AB608" s="403"/>
      <c r="AC608" s="403"/>
      <c r="AD608" s="403"/>
      <c r="AE608" s="403"/>
      <c r="AF608" s="403"/>
      <c r="AG608" s="403"/>
      <c r="AH608" s="403"/>
      <c r="AI608" s="403"/>
    </row>
    <row r="609" spans="24:35">
      <c r="X609" s="403"/>
      <c r="Y609" s="403"/>
      <c r="Z609" s="403"/>
      <c r="AA609" s="403"/>
      <c r="AB609" s="403"/>
      <c r="AC609" s="403"/>
      <c r="AD609" s="403"/>
      <c r="AE609" s="403"/>
      <c r="AF609" s="403"/>
      <c r="AG609" s="403"/>
      <c r="AH609" s="403"/>
      <c r="AI609" s="403"/>
    </row>
    <row r="610" spans="24:35">
      <c r="X610" s="403"/>
      <c r="Y610" s="403"/>
      <c r="Z610" s="403"/>
      <c r="AA610" s="403"/>
      <c r="AB610" s="403"/>
      <c r="AC610" s="403"/>
      <c r="AD610" s="403"/>
      <c r="AE610" s="403"/>
      <c r="AF610" s="403"/>
      <c r="AG610" s="403"/>
      <c r="AH610" s="403"/>
      <c r="AI610" s="403"/>
    </row>
    <row r="611" spans="24:35">
      <c r="X611" s="403"/>
      <c r="Y611" s="403"/>
      <c r="Z611" s="403"/>
      <c r="AA611" s="403"/>
      <c r="AB611" s="403"/>
      <c r="AC611" s="403"/>
      <c r="AD611" s="403"/>
      <c r="AE611" s="403"/>
      <c r="AF611" s="403"/>
      <c r="AG611" s="403"/>
      <c r="AH611" s="403"/>
      <c r="AI611" s="403"/>
    </row>
    <row r="612" spans="24:35">
      <c r="X612" s="403"/>
      <c r="Y612" s="403"/>
      <c r="Z612" s="403"/>
      <c r="AA612" s="403"/>
      <c r="AB612" s="403"/>
      <c r="AC612" s="403"/>
      <c r="AD612" s="403"/>
      <c r="AE612" s="403"/>
      <c r="AF612" s="403"/>
      <c r="AG612" s="403"/>
      <c r="AH612" s="403"/>
      <c r="AI612" s="403"/>
    </row>
    <row r="613" spans="24:35">
      <c r="X613" s="403"/>
      <c r="Y613" s="403"/>
      <c r="Z613" s="403"/>
      <c r="AA613" s="403"/>
      <c r="AB613" s="403"/>
      <c r="AC613" s="403"/>
      <c r="AD613" s="403"/>
      <c r="AE613" s="403"/>
      <c r="AF613" s="403"/>
      <c r="AG613" s="403"/>
      <c r="AH613" s="403"/>
      <c r="AI613" s="403"/>
    </row>
    <row r="614" spans="24:35">
      <c r="X614" s="403"/>
      <c r="Y614" s="403"/>
      <c r="Z614" s="403"/>
      <c r="AA614" s="403"/>
      <c r="AB614" s="403"/>
      <c r="AC614" s="403"/>
      <c r="AD614" s="403"/>
      <c r="AE614" s="403"/>
      <c r="AF614" s="403"/>
      <c r="AG614" s="403"/>
      <c r="AH614" s="403"/>
      <c r="AI614" s="403"/>
    </row>
    <row r="615" spans="24:35">
      <c r="X615" s="403"/>
      <c r="Y615" s="403"/>
      <c r="Z615" s="403"/>
      <c r="AA615" s="403"/>
      <c r="AB615" s="403"/>
      <c r="AC615" s="403"/>
      <c r="AD615" s="403"/>
      <c r="AE615" s="403"/>
      <c r="AF615" s="403"/>
      <c r="AG615" s="403"/>
      <c r="AH615" s="403"/>
      <c r="AI615" s="403"/>
    </row>
    <row r="616" spans="24:35">
      <c r="X616" s="403"/>
      <c r="Y616" s="403"/>
      <c r="Z616" s="403"/>
      <c r="AA616" s="403"/>
      <c r="AB616" s="403"/>
      <c r="AC616" s="403"/>
      <c r="AD616" s="403"/>
      <c r="AE616" s="403"/>
      <c r="AF616" s="403"/>
      <c r="AG616" s="403"/>
      <c r="AH616" s="403"/>
      <c r="AI616" s="403"/>
    </row>
    <row r="617" spans="24:35">
      <c r="X617" s="403"/>
      <c r="Y617" s="403"/>
      <c r="Z617" s="403"/>
      <c r="AA617" s="403"/>
      <c r="AB617" s="403"/>
      <c r="AC617" s="403"/>
      <c r="AD617" s="403"/>
      <c r="AE617" s="403"/>
      <c r="AF617" s="403"/>
      <c r="AG617" s="403"/>
      <c r="AH617" s="403"/>
      <c r="AI617" s="403"/>
    </row>
    <row r="618" spans="24:35">
      <c r="X618" s="403"/>
      <c r="Y618" s="403"/>
      <c r="Z618" s="403"/>
      <c r="AA618" s="403"/>
      <c r="AB618" s="403"/>
      <c r="AC618" s="403"/>
      <c r="AD618" s="403"/>
      <c r="AE618" s="403"/>
      <c r="AF618" s="403"/>
      <c r="AG618" s="403"/>
      <c r="AH618" s="403"/>
      <c r="AI618" s="403"/>
    </row>
    <row r="619" spans="24:35">
      <c r="X619" s="403"/>
      <c r="Y619" s="403"/>
      <c r="Z619" s="403"/>
      <c r="AA619" s="403"/>
      <c r="AB619" s="403"/>
      <c r="AC619" s="403"/>
      <c r="AD619" s="403"/>
      <c r="AE619" s="403"/>
      <c r="AF619" s="403"/>
      <c r="AG619" s="403"/>
      <c r="AH619" s="403"/>
      <c r="AI619" s="403"/>
    </row>
    <row r="620" spans="24:35">
      <c r="X620" s="403"/>
      <c r="Y620" s="403"/>
      <c r="Z620" s="403"/>
      <c r="AA620" s="403"/>
      <c r="AB620" s="403"/>
      <c r="AC620" s="403"/>
      <c r="AD620" s="403"/>
      <c r="AE620" s="403"/>
      <c r="AF620" s="403"/>
      <c r="AG620" s="403"/>
      <c r="AH620" s="403"/>
      <c r="AI620" s="403"/>
    </row>
    <row r="621" spans="24:35">
      <c r="X621" s="403"/>
      <c r="Y621" s="403"/>
      <c r="Z621" s="403"/>
      <c r="AA621" s="403"/>
      <c r="AB621" s="403"/>
      <c r="AC621" s="403"/>
      <c r="AD621" s="403"/>
      <c r="AE621" s="403"/>
      <c r="AF621" s="403"/>
      <c r="AG621" s="403"/>
      <c r="AH621" s="403"/>
      <c r="AI621" s="403"/>
    </row>
    <row r="622" spans="24:35">
      <c r="X622" s="403"/>
      <c r="Y622" s="403"/>
      <c r="Z622" s="403"/>
      <c r="AA622" s="403"/>
      <c r="AB622" s="403"/>
      <c r="AC622" s="403"/>
      <c r="AD622" s="403"/>
      <c r="AE622" s="403"/>
      <c r="AF622" s="403"/>
      <c r="AG622" s="403"/>
      <c r="AH622" s="403"/>
      <c r="AI622" s="403"/>
    </row>
    <row r="623" spans="24:35">
      <c r="X623" s="403"/>
      <c r="Y623" s="403"/>
      <c r="Z623" s="403"/>
      <c r="AA623" s="403"/>
      <c r="AB623" s="403"/>
      <c r="AC623" s="403"/>
      <c r="AD623" s="403"/>
      <c r="AE623" s="403"/>
      <c r="AF623" s="403"/>
      <c r="AG623" s="403"/>
      <c r="AH623" s="403"/>
      <c r="AI623" s="403"/>
    </row>
    <row r="624" spans="24:35">
      <c r="X624" s="403"/>
      <c r="Y624" s="403"/>
      <c r="Z624" s="403"/>
      <c r="AA624" s="403"/>
      <c r="AB624" s="403"/>
      <c r="AC624" s="403"/>
      <c r="AD624" s="403"/>
      <c r="AE624" s="403"/>
      <c r="AF624" s="403"/>
      <c r="AG624" s="403"/>
      <c r="AH624" s="403"/>
      <c r="AI624" s="403"/>
    </row>
    <row r="625" spans="24:35">
      <c r="X625" s="403"/>
      <c r="Y625" s="403"/>
      <c r="Z625" s="403"/>
      <c r="AA625" s="403"/>
      <c r="AB625" s="403"/>
      <c r="AC625" s="403"/>
      <c r="AD625" s="403"/>
      <c r="AE625" s="403"/>
      <c r="AF625" s="403"/>
      <c r="AG625" s="403"/>
      <c r="AH625" s="403"/>
      <c r="AI625" s="403"/>
    </row>
    <row r="626" spans="24:35">
      <c r="X626" s="403"/>
      <c r="Y626" s="403"/>
      <c r="Z626" s="403"/>
      <c r="AA626" s="403"/>
      <c r="AB626" s="403"/>
      <c r="AC626" s="403"/>
      <c r="AD626" s="403"/>
      <c r="AE626" s="403"/>
      <c r="AF626" s="403"/>
      <c r="AG626" s="403"/>
      <c r="AH626" s="403"/>
      <c r="AI626" s="403"/>
    </row>
    <row r="627" spans="24:35">
      <c r="X627" s="403"/>
      <c r="Y627" s="403"/>
      <c r="Z627" s="403"/>
      <c r="AA627" s="403"/>
      <c r="AB627" s="403"/>
      <c r="AC627" s="403"/>
      <c r="AD627" s="403"/>
      <c r="AE627" s="403"/>
      <c r="AF627" s="403"/>
      <c r="AG627" s="403"/>
      <c r="AH627" s="403"/>
      <c r="AI627" s="403"/>
    </row>
    <row r="628" spans="24:35">
      <c r="X628" s="403"/>
      <c r="Y628" s="403"/>
      <c r="Z628" s="403"/>
      <c r="AA628" s="403"/>
      <c r="AB628" s="403"/>
      <c r="AC628" s="403"/>
      <c r="AD628" s="403"/>
      <c r="AE628" s="403"/>
      <c r="AF628" s="403"/>
      <c r="AG628" s="403"/>
      <c r="AH628" s="403"/>
      <c r="AI628" s="403"/>
    </row>
    <row r="629" spans="24:35">
      <c r="X629" s="403"/>
      <c r="Y629" s="403"/>
      <c r="Z629" s="403"/>
      <c r="AA629" s="403"/>
      <c r="AB629" s="403"/>
      <c r="AC629" s="403"/>
      <c r="AD629" s="403"/>
      <c r="AE629" s="403"/>
      <c r="AF629" s="403"/>
      <c r="AG629" s="403"/>
      <c r="AH629" s="403"/>
      <c r="AI629" s="403"/>
    </row>
    <row r="630" spans="24:35">
      <c r="X630" s="403"/>
      <c r="Y630" s="403"/>
      <c r="Z630" s="403"/>
      <c r="AA630" s="403"/>
      <c r="AB630" s="403"/>
      <c r="AC630" s="403"/>
      <c r="AD630" s="403"/>
      <c r="AE630" s="403"/>
      <c r="AF630" s="403"/>
      <c r="AG630" s="403"/>
      <c r="AH630" s="403"/>
      <c r="AI630" s="403"/>
    </row>
    <row r="631" spans="24:35">
      <c r="X631" s="403"/>
      <c r="Y631" s="403"/>
      <c r="Z631" s="403"/>
      <c r="AA631" s="403"/>
      <c r="AB631" s="403"/>
      <c r="AC631" s="403"/>
      <c r="AD631" s="403"/>
      <c r="AE631" s="403"/>
      <c r="AF631" s="403"/>
      <c r="AG631" s="403"/>
      <c r="AH631" s="403"/>
      <c r="AI631" s="403"/>
    </row>
    <row r="632" spans="24:35">
      <c r="X632" s="403"/>
      <c r="Y632" s="403"/>
      <c r="Z632" s="403"/>
      <c r="AA632" s="403"/>
      <c r="AB632" s="403"/>
      <c r="AC632" s="403"/>
      <c r="AD632" s="403"/>
      <c r="AE632" s="403"/>
      <c r="AF632" s="403"/>
      <c r="AG632" s="403"/>
      <c r="AH632" s="403"/>
      <c r="AI632" s="403"/>
    </row>
    <row r="633" spans="24:35">
      <c r="X633" s="403"/>
      <c r="Y633" s="403"/>
      <c r="Z633" s="403"/>
      <c r="AA633" s="403"/>
      <c r="AB633" s="403"/>
      <c r="AC633" s="403"/>
      <c r="AD633" s="403"/>
      <c r="AE633" s="403"/>
      <c r="AF633" s="403"/>
      <c r="AG633" s="403"/>
      <c r="AH633" s="403"/>
      <c r="AI633" s="403"/>
    </row>
    <row r="634" spans="24:35">
      <c r="X634" s="403"/>
      <c r="Y634" s="403"/>
      <c r="Z634" s="403"/>
      <c r="AA634" s="403"/>
      <c r="AB634" s="403"/>
      <c r="AC634" s="403"/>
      <c r="AD634" s="403"/>
      <c r="AE634" s="403"/>
      <c r="AF634" s="403"/>
      <c r="AG634" s="403"/>
      <c r="AH634" s="403"/>
      <c r="AI634" s="403"/>
    </row>
    <row r="635" spans="24:35">
      <c r="X635" s="403"/>
      <c r="Y635" s="403"/>
      <c r="Z635" s="403"/>
      <c r="AA635" s="403"/>
      <c r="AB635" s="403"/>
      <c r="AC635" s="403"/>
      <c r="AD635" s="403"/>
      <c r="AE635" s="403"/>
      <c r="AF635" s="403"/>
      <c r="AG635" s="403"/>
      <c r="AH635" s="403"/>
      <c r="AI635" s="403"/>
    </row>
    <row r="636" spans="24:35">
      <c r="X636" s="403"/>
      <c r="Y636" s="403"/>
      <c r="Z636" s="403"/>
      <c r="AA636" s="403"/>
      <c r="AB636" s="403"/>
      <c r="AC636" s="403"/>
      <c r="AD636" s="403"/>
      <c r="AE636" s="403"/>
      <c r="AF636" s="403"/>
      <c r="AG636" s="403"/>
      <c r="AH636" s="403"/>
      <c r="AI636" s="403"/>
    </row>
    <row r="637" spans="24:35">
      <c r="X637" s="403"/>
      <c r="Y637" s="403"/>
      <c r="Z637" s="403"/>
      <c r="AA637" s="403"/>
      <c r="AB637" s="403"/>
      <c r="AC637" s="403"/>
      <c r="AD637" s="403"/>
      <c r="AE637" s="403"/>
      <c r="AF637" s="403"/>
      <c r="AG637" s="403"/>
      <c r="AH637" s="403"/>
      <c r="AI637" s="403"/>
    </row>
    <row r="638" spans="24:35">
      <c r="X638" s="403"/>
      <c r="Y638" s="403"/>
      <c r="Z638" s="403"/>
      <c r="AA638" s="403"/>
      <c r="AB638" s="403"/>
      <c r="AC638" s="403"/>
      <c r="AD638" s="403"/>
      <c r="AE638" s="403"/>
      <c r="AF638" s="403"/>
      <c r="AG638" s="403"/>
      <c r="AH638" s="403"/>
      <c r="AI638" s="403"/>
    </row>
    <row r="639" spans="24:35">
      <c r="X639" s="403"/>
      <c r="Y639" s="403"/>
      <c r="Z639" s="403"/>
      <c r="AA639" s="403"/>
      <c r="AB639" s="403"/>
      <c r="AC639" s="403"/>
      <c r="AD639" s="403"/>
      <c r="AE639" s="403"/>
      <c r="AF639" s="403"/>
      <c r="AG639" s="403"/>
      <c r="AH639" s="403"/>
      <c r="AI639" s="403"/>
    </row>
    <row r="640" spans="24:35">
      <c r="X640" s="403"/>
      <c r="Y640" s="403"/>
      <c r="Z640" s="403"/>
      <c r="AA640" s="403"/>
      <c r="AB640" s="403"/>
      <c r="AC640" s="403"/>
      <c r="AD640" s="403"/>
      <c r="AE640" s="403"/>
      <c r="AF640" s="403"/>
      <c r="AG640" s="403"/>
      <c r="AH640" s="403"/>
      <c r="AI640" s="403"/>
    </row>
    <row r="641" spans="24:35">
      <c r="X641" s="403"/>
      <c r="Y641" s="403"/>
      <c r="Z641" s="403"/>
      <c r="AA641" s="403"/>
      <c r="AB641" s="403"/>
      <c r="AC641" s="403"/>
      <c r="AD641" s="403"/>
      <c r="AE641" s="403"/>
      <c r="AF641" s="403"/>
      <c r="AG641" s="403"/>
      <c r="AH641" s="403"/>
      <c r="AI641" s="403"/>
    </row>
    <row r="642" spans="24:35">
      <c r="X642" s="403"/>
      <c r="Y642" s="403"/>
      <c r="Z642" s="403"/>
      <c r="AA642" s="403"/>
      <c r="AB642" s="403"/>
      <c r="AC642" s="403"/>
      <c r="AD642" s="403"/>
      <c r="AE642" s="403"/>
      <c r="AF642" s="403"/>
      <c r="AG642" s="403"/>
      <c r="AH642" s="403"/>
      <c r="AI642" s="403"/>
    </row>
    <row r="643" spans="24:35">
      <c r="X643" s="403"/>
      <c r="Y643" s="403"/>
      <c r="Z643" s="403"/>
      <c r="AA643" s="403"/>
      <c r="AB643" s="403"/>
      <c r="AC643" s="403"/>
      <c r="AD643" s="403"/>
      <c r="AE643" s="403"/>
      <c r="AF643" s="403"/>
      <c r="AG643" s="403"/>
      <c r="AH643" s="403"/>
      <c r="AI643" s="403"/>
    </row>
    <row r="644" spans="24:35">
      <c r="X644" s="403"/>
      <c r="Y644" s="403"/>
      <c r="Z644" s="403"/>
      <c r="AA644" s="403"/>
      <c r="AB644" s="403"/>
      <c r="AC644" s="403"/>
      <c r="AD644" s="403"/>
      <c r="AE644" s="403"/>
      <c r="AF644" s="403"/>
      <c r="AG644" s="403"/>
      <c r="AH644" s="403"/>
      <c r="AI644" s="403"/>
    </row>
    <row r="645" spans="24:35">
      <c r="X645" s="403"/>
      <c r="Y645" s="403"/>
      <c r="Z645" s="403"/>
      <c r="AA645" s="403"/>
      <c r="AB645" s="403"/>
      <c r="AC645" s="403"/>
      <c r="AD645" s="403"/>
      <c r="AE645" s="403"/>
      <c r="AF645" s="403"/>
      <c r="AG645" s="403"/>
      <c r="AH645" s="403"/>
      <c r="AI645" s="403"/>
    </row>
    <row r="646" spans="24:35">
      <c r="X646" s="403"/>
      <c r="Y646" s="403"/>
      <c r="Z646" s="403"/>
      <c r="AA646" s="403"/>
      <c r="AB646" s="403"/>
      <c r="AC646" s="403"/>
      <c r="AD646" s="403"/>
      <c r="AE646" s="403"/>
      <c r="AF646" s="403"/>
      <c r="AG646" s="403"/>
      <c r="AH646" s="403"/>
      <c r="AI646" s="403"/>
    </row>
    <row r="647" spans="24:35">
      <c r="X647" s="403"/>
      <c r="Y647" s="403"/>
      <c r="Z647" s="403"/>
      <c r="AA647" s="403"/>
      <c r="AB647" s="403"/>
      <c r="AC647" s="403"/>
      <c r="AD647" s="403"/>
      <c r="AE647" s="403"/>
      <c r="AF647" s="403"/>
      <c r="AG647" s="403"/>
      <c r="AH647" s="403"/>
      <c r="AI647" s="403"/>
    </row>
    <row r="648" spans="24:35">
      <c r="X648" s="403"/>
      <c r="Y648" s="403"/>
      <c r="Z648" s="403"/>
      <c r="AA648" s="403"/>
      <c r="AB648" s="403"/>
      <c r="AC648" s="403"/>
      <c r="AD648" s="403"/>
      <c r="AE648" s="403"/>
      <c r="AF648" s="403"/>
      <c r="AG648" s="403"/>
      <c r="AH648" s="403"/>
      <c r="AI648" s="403"/>
    </row>
    <row r="649" spans="24:35">
      <c r="X649" s="403"/>
      <c r="Y649" s="403"/>
      <c r="Z649" s="403"/>
      <c r="AA649" s="403"/>
      <c r="AB649" s="403"/>
      <c r="AC649" s="403"/>
      <c r="AD649" s="403"/>
      <c r="AE649" s="403"/>
      <c r="AF649" s="403"/>
      <c r="AG649" s="403"/>
      <c r="AH649" s="403"/>
      <c r="AI649" s="403"/>
    </row>
    <row r="650" spans="24:35">
      <c r="X650" s="403"/>
      <c r="Y650" s="403"/>
      <c r="Z650" s="403"/>
      <c r="AA650" s="403"/>
      <c r="AB650" s="403"/>
      <c r="AC650" s="403"/>
      <c r="AD650" s="403"/>
      <c r="AE650" s="403"/>
      <c r="AF650" s="403"/>
      <c r="AG650" s="403"/>
      <c r="AH650" s="403"/>
      <c r="AI650" s="403"/>
    </row>
    <row r="651" spans="24:35">
      <c r="X651" s="403"/>
      <c r="Y651" s="403"/>
      <c r="Z651" s="403"/>
      <c r="AA651" s="403"/>
      <c r="AB651" s="403"/>
      <c r="AC651" s="403"/>
      <c r="AD651" s="403"/>
      <c r="AE651" s="403"/>
      <c r="AF651" s="403"/>
      <c r="AG651" s="403"/>
      <c r="AH651" s="403"/>
      <c r="AI651" s="403"/>
    </row>
    <row r="652" spans="24:35">
      <c r="X652" s="403"/>
      <c r="Y652" s="403"/>
      <c r="Z652" s="403"/>
      <c r="AA652" s="403"/>
      <c r="AB652" s="403"/>
      <c r="AC652" s="403"/>
      <c r="AD652" s="403"/>
      <c r="AE652" s="403"/>
      <c r="AF652" s="403"/>
      <c r="AG652" s="403"/>
      <c r="AH652" s="403"/>
      <c r="AI652" s="403"/>
    </row>
    <row r="653" spans="24:35">
      <c r="X653" s="403"/>
      <c r="Y653" s="403"/>
      <c r="Z653" s="403"/>
      <c r="AA653" s="403"/>
      <c r="AB653" s="403"/>
      <c r="AC653" s="403"/>
      <c r="AD653" s="403"/>
      <c r="AE653" s="403"/>
      <c r="AF653" s="403"/>
      <c r="AG653" s="403"/>
      <c r="AH653" s="403"/>
      <c r="AI653" s="403"/>
    </row>
    <row r="654" spans="24:35">
      <c r="X654" s="403"/>
      <c r="Y654" s="403"/>
      <c r="Z654" s="403"/>
      <c r="AA654" s="403"/>
      <c r="AB654" s="403"/>
      <c r="AC654" s="403"/>
      <c r="AD654" s="403"/>
      <c r="AE654" s="403"/>
      <c r="AF654" s="403"/>
      <c r="AG654" s="403"/>
      <c r="AH654" s="403"/>
      <c r="AI654" s="403"/>
    </row>
    <row r="655" spans="24:35">
      <c r="X655" s="403"/>
      <c r="Y655" s="403"/>
      <c r="Z655" s="403"/>
      <c r="AA655" s="403"/>
      <c r="AB655" s="403"/>
      <c r="AC655" s="403"/>
      <c r="AD655" s="403"/>
      <c r="AE655" s="403"/>
      <c r="AF655" s="403"/>
      <c r="AG655" s="403"/>
      <c r="AH655" s="403"/>
      <c r="AI655" s="403"/>
    </row>
    <row r="656" spans="24:35">
      <c r="X656" s="403"/>
      <c r="Y656" s="403"/>
      <c r="Z656" s="403"/>
      <c r="AA656" s="403"/>
      <c r="AB656" s="403"/>
      <c r="AC656" s="403"/>
      <c r="AD656" s="403"/>
      <c r="AE656" s="403"/>
      <c r="AF656" s="403"/>
      <c r="AG656" s="403"/>
      <c r="AH656" s="403"/>
      <c r="AI656" s="403"/>
    </row>
    <row r="657" spans="24:35">
      <c r="X657" s="403"/>
      <c r="Y657" s="403"/>
      <c r="Z657" s="403"/>
      <c r="AA657" s="403"/>
      <c r="AB657" s="403"/>
      <c r="AC657" s="403"/>
      <c r="AD657" s="403"/>
      <c r="AE657" s="403"/>
      <c r="AF657" s="403"/>
      <c r="AG657" s="403"/>
      <c r="AH657" s="403"/>
      <c r="AI657" s="403"/>
    </row>
    <row r="658" spans="24:35">
      <c r="X658" s="403"/>
      <c r="Y658" s="403"/>
      <c r="Z658" s="403"/>
      <c r="AA658" s="403"/>
      <c r="AB658" s="403"/>
      <c r="AC658" s="403"/>
      <c r="AD658" s="403"/>
      <c r="AE658" s="403"/>
      <c r="AF658" s="403"/>
      <c r="AG658" s="403"/>
      <c r="AH658" s="403"/>
      <c r="AI658" s="403"/>
    </row>
    <row r="659" spans="24:35">
      <c r="X659" s="403"/>
      <c r="Y659" s="403"/>
      <c r="Z659" s="403"/>
      <c r="AA659" s="403"/>
      <c r="AB659" s="403"/>
      <c r="AC659" s="403"/>
      <c r="AD659" s="403"/>
      <c r="AE659" s="403"/>
      <c r="AF659" s="403"/>
      <c r="AG659" s="403"/>
      <c r="AH659" s="403"/>
      <c r="AI659" s="403"/>
    </row>
    <row r="660" spans="24:35">
      <c r="X660" s="403"/>
      <c r="Y660" s="403"/>
      <c r="Z660" s="403"/>
      <c r="AA660" s="403"/>
      <c r="AB660" s="403"/>
      <c r="AC660" s="403"/>
      <c r="AD660" s="403"/>
      <c r="AE660" s="403"/>
      <c r="AF660" s="403"/>
      <c r="AG660" s="403"/>
      <c r="AH660" s="403"/>
      <c r="AI660" s="403"/>
    </row>
    <row r="661" spans="24:35">
      <c r="X661" s="403"/>
      <c r="Y661" s="403"/>
      <c r="Z661" s="403"/>
      <c r="AA661" s="403"/>
      <c r="AB661" s="403"/>
      <c r="AC661" s="403"/>
      <c r="AD661" s="403"/>
      <c r="AE661" s="403"/>
      <c r="AF661" s="403"/>
      <c r="AG661" s="403"/>
      <c r="AH661" s="403"/>
      <c r="AI661" s="403"/>
    </row>
    <row r="662" spans="24:35">
      <c r="X662" s="403"/>
      <c r="Y662" s="403"/>
      <c r="Z662" s="403"/>
      <c r="AA662" s="403"/>
      <c r="AB662" s="403"/>
      <c r="AC662" s="403"/>
      <c r="AD662" s="403"/>
      <c r="AE662" s="403"/>
      <c r="AF662" s="403"/>
      <c r="AG662" s="403"/>
      <c r="AH662" s="403"/>
      <c r="AI662" s="403"/>
    </row>
    <row r="663" spans="24:35">
      <c r="X663" s="403"/>
      <c r="Y663" s="403"/>
      <c r="Z663" s="403"/>
      <c r="AA663" s="403"/>
      <c r="AB663" s="403"/>
      <c r="AC663" s="403"/>
      <c r="AD663" s="403"/>
      <c r="AE663" s="403"/>
      <c r="AF663" s="403"/>
      <c r="AG663" s="403"/>
      <c r="AH663" s="403"/>
      <c r="AI663" s="403"/>
    </row>
    <row r="664" spans="24:35">
      <c r="X664" s="403"/>
      <c r="Y664" s="403"/>
      <c r="Z664" s="403"/>
      <c r="AA664" s="403"/>
      <c r="AB664" s="403"/>
      <c r="AC664" s="403"/>
      <c r="AD664" s="403"/>
      <c r="AE664" s="403"/>
      <c r="AF664" s="403"/>
      <c r="AG664" s="403"/>
      <c r="AH664" s="403"/>
      <c r="AI664" s="403"/>
    </row>
    <row r="665" spans="24:35">
      <c r="X665" s="403"/>
      <c r="Y665" s="403"/>
      <c r="Z665" s="403"/>
      <c r="AA665" s="403"/>
      <c r="AB665" s="403"/>
      <c r="AC665" s="403"/>
      <c r="AD665" s="403"/>
      <c r="AE665" s="403"/>
      <c r="AF665" s="403"/>
      <c r="AG665" s="403"/>
      <c r="AH665" s="403"/>
      <c r="AI665" s="403"/>
    </row>
    <row r="666" spans="24:35">
      <c r="X666" s="403"/>
      <c r="Y666" s="403"/>
      <c r="Z666" s="403"/>
      <c r="AA666" s="403"/>
      <c r="AB666" s="403"/>
      <c r="AC666" s="403"/>
      <c r="AD666" s="403"/>
      <c r="AE666" s="403"/>
      <c r="AF666" s="403"/>
      <c r="AG666" s="403"/>
      <c r="AH666" s="403"/>
      <c r="AI666" s="403"/>
    </row>
    <row r="667" spans="24:35">
      <c r="X667" s="403"/>
      <c r="Y667" s="403"/>
      <c r="Z667" s="403"/>
      <c r="AA667" s="403"/>
      <c r="AB667" s="403"/>
      <c r="AC667" s="403"/>
      <c r="AD667" s="403"/>
      <c r="AE667" s="403"/>
      <c r="AF667" s="403"/>
      <c r="AG667" s="403"/>
      <c r="AH667" s="403"/>
      <c r="AI667" s="403"/>
    </row>
    <row r="668" spans="24:35">
      <c r="X668" s="403"/>
      <c r="Y668" s="403"/>
      <c r="Z668" s="403"/>
      <c r="AA668" s="403"/>
      <c r="AB668" s="403"/>
      <c r="AC668" s="403"/>
      <c r="AD668" s="403"/>
      <c r="AE668" s="403"/>
      <c r="AF668" s="403"/>
      <c r="AG668" s="403"/>
      <c r="AH668" s="403"/>
      <c r="AI668" s="403"/>
    </row>
    <row r="669" spans="24:35">
      <c r="X669" s="403"/>
      <c r="Y669" s="403"/>
      <c r="Z669" s="403"/>
      <c r="AA669" s="403"/>
      <c r="AB669" s="403"/>
      <c r="AC669" s="403"/>
      <c r="AD669" s="403"/>
      <c r="AE669" s="403"/>
      <c r="AF669" s="403"/>
      <c r="AG669" s="403"/>
      <c r="AH669" s="403"/>
      <c r="AI669" s="403"/>
    </row>
    <row r="670" spans="24:35">
      <c r="X670" s="403"/>
      <c r="Y670" s="403"/>
      <c r="Z670" s="403"/>
      <c r="AA670" s="403"/>
      <c r="AB670" s="403"/>
      <c r="AC670" s="403"/>
      <c r="AD670" s="403"/>
      <c r="AE670" s="403"/>
      <c r="AF670" s="403"/>
      <c r="AG670" s="403"/>
      <c r="AH670" s="403"/>
      <c r="AI670" s="403"/>
    </row>
    <row r="671" spans="24:35">
      <c r="X671" s="403"/>
      <c r="Y671" s="403"/>
      <c r="Z671" s="403"/>
      <c r="AA671" s="403"/>
      <c r="AB671" s="403"/>
      <c r="AC671" s="403"/>
      <c r="AD671" s="403"/>
      <c r="AE671" s="403"/>
      <c r="AF671" s="403"/>
      <c r="AG671" s="403"/>
      <c r="AH671" s="403"/>
      <c r="AI671" s="403"/>
    </row>
    <row r="672" spans="24:35">
      <c r="X672" s="403"/>
      <c r="Y672" s="403"/>
      <c r="Z672" s="403"/>
      <c r="AA672" s="403"/>
      <c r="AB672" s="403"/>
      <c r="AC672" s="403"/>
      <c r="AD672" s="403"/>
      <c r="AE672" s="403"/>
      <c r="AF672" s="403"/>
      <c r="AG672" s="403"/>
      <c r="AH672" s="403"/>
      <c r="AI672" s="403"/>
    </row>
    <row r="673" spans="24:35">
      <c r="X673" s="403"/>
      <c r="Y673" s="403"/>
      <c r="Z673" s="403"/>
      <c r="AA673" s="403"/>
      <c r="AB673" s="403"/>
      <c r="AC673" s="403"/>
      <c r="AD673" s="403"/>
      <c r="AE673" s="403"/>
      <c r="AF673" s="403"/>
      <c r="AG673" s="403"/>
      <c r="AH673" s="403"/>
      <c r="AI673" s="403"/>
    </row>
    <row r="674" spans="24:35">
      <c r="X674" s="403"/>
      <c r="Y674" s="403"/>
      <c r="Z674" s="403"/>
      <c r="AA674" s="403"/>
      <c r="AB674" s="403"/>
      <c r="AC674" s="403"/>
      <c r="AD674" s="403"/>
      <c r="AE674" s="403"/>
      <c r="AF674" s="403"/>
      <c r="AG674" s="403"/>
      <c r="AH674" s="403"/>
      <c r="AI674" s="403"/>
    </row>
    <row r="675" spans="24:35">
      <c r="X675" s="403"/>
      <c r="Y675" s="403"/>
      <c r="Z675" s="403"/>
      <c r="AA675" s="403"/>
      <c r="AB675" s="403"/>
      <c r="AC675" s="403"/>
      <c r="AD675" s="403"/>
      <c r="AE675" s="403"/>
      <c r="AF675" s="403"/>
      <c r="AG675" s="403"/>
      <c r="AH675" s="403"/>
      <c r="AI675" s="403"/>
    </row>
    <row r="676" spans="24:35">
      <c r="X676" s="403"/>
      <c r="Y676" s="403"/>
      <c r="Z676" s="403"/>
      <c r="AA676" s="403"/>
      <c r="AB676" s="403"/>
      <c r="AC676" s="403"/>
      <c r="AD676" s="403"/>
      <c r="AE676" s="403"/>
      <c r="AF676" s="403"/>
      <c r="AG676" s="403"/>
      <c r="AH676" s="403"/>
      <c r="AI676" s="403"/>
    </row>
    <row r="677" spans="24:35">
      <c r="X677" s="403"/>
      <c r="Y677" s="403"/>
      <c r="Z677" s="403"/>
      <c r="AA677" s="403"/>
      <c r="AB677" s="403"/>
      <c r="AC677" s="403"/>
      <c r="AD677" s="403"/>
      <c r="AE677" s="403"/>
      <c r="AF677" s="403"/>
      <c r="AG677" s="403"/>
      <c r="AH677" s="403"/>
      <c r="AI677" s="403"/>
    </row>
    <row r="678" spans="24:35">
      <c r="X678" s="403"/>
      <c r="Y678" s="403"/>
      <c r="Z678" s="403"/>
      <c r="AA678" s="403"/>
      <c r="AB678" s="403"/>
      <c r="AC678" s="403"/>
      <c r="AD678" s="403"/>
      <c r="AE678" s="403"/>
      <c r="AF678" s="403"/>
      <c r="AG678" s="403"/>
      <c r="AH678" s="403"/>
      <c r="AI678" s="403"/>
    </row>
    <row r="679" spans="24:35">
      <c r="X679" s="403"/>
      <c r="Y679" s="403"/>
      <c r="Z679" s="403"/>
      <c r="AA679" s="403"/>
      <c r="AB679" s="403"/>
      <c r="AC679" s="403"/>
      <c r="AD679" s="403"/>
      <c r="AE679" s="403"/>
      <c r="AF679" s="403"/>
      <c r="AG679" s="403"/>
      <c r="AH679" s="403"/>
      <c r="AI679" s="403"/>
    </row>
    <row r="680" spans="24:35">
      <c r="X680" s="403"/>
      <c r="Y680" s="403"/>
      <c r="Z680" s="403"/>
      <c r="AA680" s="403"/>
      <c r="AB680" s="403"/>
      <c r="AC680" s="403"/>
      <c r="AD680" s="403"/>
      <c r="AE680" s="403"/>
      <c r="AF680" s="403"/>
      <c r="AG680" s="403"/>
      <c r="AH680" s="403"/>
      <c r="AI680" s="403"/>
    </row>
    <row r="681" spans="24:35">
      <c r="X681" s="403"/>
      <c r="Y681" s="403"/>
      <c r="Z681" s="403"/>
      <c r="AA681" s="403"/>
      <c r="AB681" s="403"/>
      <c r="AC681" s="403"/>
      <c r="AD681" s="403"/>
      <c r="AE681" s="403"/>
      <c r="AF681" s="403"/>
      <c r="AG681" s="403"/>
      <c r="AH681" s="403"/>
      <c r="AI681" s="403"/>
    </row>
    <row r="682" spans="24:35">
      <c r="X682" s="403"/>
      <c r="Y682" s="403"/>
      <c r="Z682" s="403"/>
      <c r="AA682" s="403"/>
      <c r="AB682" s="403"/>
      <c r="AC682" s="403"/>
      <c r="AD682" s="403"/>
      <c r="AE682" s="403"/>
      <c r="AF682" s="403"/>
      <c r="AG682" s="403"/>
      <c r="AH682" s="403"/>
      <c r="AI682" s="403"/>
    </row>
    <row r="683" spans="24:35">
      <c r="X683" s="403"/>
      <c r="Y683" s="403"/>
      <c r="Z683" s="403"/>
      <c r="AA683" s="403"/>
      <c r="AB683" s="403"/>
      <c r="AC683" s="403"/>
      <c r="AD683" s="403"/>
      <c r="AE683" s="403"/>
      <c r="AF683" s="403"/>
      <c r="AG683" s="403"/>
      <c r="AH683" s="403"/>
      <c r="AI683" s="403"/>
    </row>
    <row r="684" spans="24:35">
      <c r="X684" s="403"/>
      <c r="Y684" s="403"/>
      <c r="Z684" s="403"/>
      <c r="AA684" s="403"/>
      <c r="AB684" s="403"/>
      <c r="AC684" s="403"/>
      <c r="AD684" s="403"/>
      <c r="AE684" s="403"/>
      <c r="AF684" s="403"/>
      <c r="AG684" s="403"/>
      <c r="AH684" s="403"/>
      <c r="AI684" s="403"/>
    </row>
    <row r="685" spans="24:35">
      <c r="X685" s="403"/>
      <c r="Y685" s="403"/>
      <c r="Z685" s="403"/>
      <c r="AA685" s="403"/>
      <c r="AB685" s="403"/>
      <c r="AC685" s="403"/>
      <c r="AD685" s="403"/>
      <c r="AE685" s="403"/>
      <c r="AF685" s="403"/>
      <c r="AG685" s="403"/>
      <c r="AH685" s="403"/>
      <c r="AI685" s="403"/>
    </row>
    <row r="686" spans="24:35">
      <c r="X686" s="403"/>
      <c r="Y686" s="403"/>
      <c r="Z686" s="403"/>
      <c r="AA686" s="403"/>
      <c r="AB686" s="403"/>
      <c r="AC686" s="403"/>
      <c r="AD686" s="403"/>
      <c r="AE686" s="403"/>
      <c r="AF686" s="403"/>
      <c r="AG686" s="403"/>
      <c r="AH686" s="403"/>
      <c r="AI686" s="403"/>
    </row>
    <row r="687" spans="24:35">
      <c r="X687" s="403"/>
      <c r="Y687" s="403"/>
      <c r="Z687" s="403"/>
      <c r="AA687" s="403"/>
      <c r="AB687" s="403"/>
      <c r="AC687" s="403"/>
      <c r="AD687" s="403"/>
      <c r="AE687" s="403"/>
      <c r="AF687" s="403"/>
      <c r="AG687" s="403"/>
      <c r="AH687" s="403"/>
      <c r="AI687" s="403"/>
    </row>
    <row r="688" spans="24:35">
      <c r="X688" s="403"/>
      <c r="Y688" s="403"/>
      <c r="Z688" s="403"/>
      <c r="AA688" s="403"/>
      <c r="AB688" s="403"/>
      <c r="AC688" s="403"/>
      <c r="AD688" s="403"/>
      <c r="AE688" s="403"/>
      <c r="AF688" s="403"/>
      <c r="AG688" s="403"/>
      <c r="AH688" s="403"/>
      <c r="AI688" s="403"/>
    </row>
    <row r="689" spans="24:35">
      <c r="X689" s="403"/>
      <c r="Y689" s="403"/>
      <c r="Z689" s="403"/>
      <c r="AA689" s="403"/>
      <c r="AB689" s="403"/>
      <c r="AC689" s="403"/>
      <c r="AD689" s="403"/>
      <c r="AE689" s="403"/>
      <c r="AF689" s="403"/>
      <c r="AG689" s="403"/>
      <c r="AH689" s="403"/>
      <c r="AI689" s="403"/>
    </row>
    <row r="690" spans="24:35">
      <c r="X690" s="403"/>
      <c r="Y690" s="403"/>
      <c r="Z690" s="403"/>
      <c r="AA690" s="403"/>
      <c r="AB690" s="403"/>
      <c r="AC690" s="403"/>
      <c r="AD690" s="403"/>
      <c r="AE690" s="403"/>
      <c r="AF690" s="403"/>
      <c r="AG690" s="403"/>
      <c r="AH690" s="403"/>
      <c r="AI690" s="403"/>
    </row>
    <row r="691" spans="24:35">
      <c r="X691" s="403"/>
      <c r="Y691" s="403"/>
      <c r="Z691" s="403"/>
      <c r="AA691" s="403"/>
      <c r="AB691" s="403"/>
      <c r="AC691" s="403"/>
      <c r="AD691" s="403"/>
      <c r="AE691" s="403"/>
      <c r="AF691" s="403"/>
      <c r="AG691" s="403"/>
      <c r="AH691" s="403"/>
      <c r="AI691" s="403"/>
    </row>
    <row r="692" spans="24:35">
      <c r="X692" s="403"/>
      <c r="Y692" s="403"/>
      <c r="Z692" s="403"/>
      <c r="AA692" s="403"/>
      <c r="AB692" s="403"/>
      <c r="AC692" s="403"/>
      <c r="AD692" s="403"/>
      <c r="AE692" s="403"/>
      <c r="AF692" s="403"/>
      <c r="AG692" s="403"/>
      <c r="AH692" s="403"/>
      <c r="AI692" s="403"/>
    </row>
    <row r="693" spans="24:35">
      <c r="X693" s="403"/>
      <c r="Y693" s="403"/>
      <c r="Z693" s="403"/>
      <c r="AA693" s="403"/>
      <c r="AB693" s="403"/>
      <c r="AC693" s="403"/>
      <c r="AD693" s="403"/>
      <c r="AE693" s="403"/>
      <c r="AF693" s="403"/>
      <c r="AG693" s="403"/>
      <c r="AH693" s="403"/>
      <c r="AI693" s="403"/>
    </row>
    <row r="694" spans="24:35">
      <c r="X694" s="403"/>
      <c r="Y694" s="403"/>
      <c r="Z694" s="403"/>
      <c r="AA694" s="403"/>
      <c r="AB694" s="403"/>
      <c r="AC694" s="403"/>
      <c r="AD694" s="403"/>
      <c r="AE694" s="403"/>
      <c r="AF694" s="403"/>
      <c r="AG694" s="403"/>
      <c r="AH694" s="403"/>
      <c r="AI694" s="403"/>
    </row>
    <row r="695" spans="24:35">
      <c r="X695" s="403"/>
      <c r="Y695" s="403"/>
      <c r="Z695" s="403"/>
      <c r="AA695" s="403"/>
      <c r="AB695" s="403"/>
      <c r="AC695" s="403"/>
      <c r="AD695" s="403"/>
      <c r="AE695" s="403"/>
      <c r="AF695" s="403"/>
      <c r="AG695" s="403"/>
      <c r="AH695" s="403"/>
      <c r="AI695" s="403"/>
    </row>
    <row r="696" spans="24:35">
      <c r="X696" s="403"/>
      <c r="Y696" s="403"/>
      <c r="Z696" s="403"/>
      <c r="AA696" s="403"/>
      <c r="AB696" s="403"/>
      <c r="AC696" s="403"/>
      <c r="AD696" s="403"/>
      <c r="AE696" s="403"/>
      <c r="AF696" s="403"/>
      <c r="AG696" s="403"/>
      <c r="AH696" s="403"/>
      <c r="AI696" s="403"/>
    </row>
    <row r="697" spans="24:35">
      <c r="X697" s="403"/>
      <c r="Y697" s="403"/>
      <c r="Z697" s="403"/>
      <c r="AA697" s="403"/>
      <c r="AB697" s="403"/>
      <c r="AC697" s="403"/>
      <c r="AD697" s="403"/>
      <c r="AE697" s="403"/>
      <c r="AF697" s="403"/>
      <c r="AG697" s="403"/>
      <c r="AH697" s="403"/>
      <c r="AI697" s="403"/>
    </row>
    <row r="698" spans="24:35">
      <c r="X698" s="403"/>
      <c r="Y698" s="403"/>
      <c r="Z698" s="403"/>
      <c r="AA698" s="403"/>
      <c r="AB698" s="403"/>
      <c r="AC698" s="403"/>
      <c r="AD698" s="403"/>
      <c r="AE698" s="403"/>
      <c r="AF698" s="403"/>
      <c r="AG698" s="403"/>
      <c r="AH698" s="403"/>
      <c r="AI698" s="403"/>
    </row>
    <row r="699" spans="24:35">
      <c r="X699" s="403"/>
      <c r="Y699" s="403"/>
      <c r="Z699" s="403"/>
      <c r="AA699" s="403"/>
      <c r="AB699" s="403"/>
      <c r="AC699" s="403"/>
      <c r="AD699" s="403"/>
      <c r="AE699" s="403"/>
      <c r="AF699" s="403"/>
      <c r="AG699" s="403"/>
      <c r="AH699" s="403"/>
      <c r="AI699" s="403"/>
    </row>
    <row r="700" spans="24:35">
      <c r="X700" s="403"/>
      <c r="Y700" s="403"/>
      <c r="Z700" s="403"/>
      <c r="AA700" s="403"/>
      <c r="AB700" s="403"/>
      <c r="AC700" s="403"/>
      <c r="AD700" s="403"/>
      <c r="AE700" s="403"/>
      <c r="AF700" s="403"/>
      <c r="AG700" s="403"/>
      <c r="AH700" s="403"/>
      <c r="AI700" s="403"/>
    </row>
    <row r="701" spans="24:35">
      <c r="X701" s="403"/>
      <c r="Y701" s="403"/>
      <c r="Z701" s="403"/>
      <c r="AA701" s="403"/>
      <c r="AB701" s="403"/>
      <c r="AC701" s="403"/>
      <c r="AD701" s="403"/>
      <c r="AE701" s="403"/>
      <c r="AF701" s="403"/>
      <c r="AG701" s="403"/>
      <c r="AH701" s="403"/>
      <c r="AI701" s="403"/>
    </row>
    <row r="702" spans="24:35">
      <c r="X702" s="403"/>
      <c r="Y702" s="403"/>
      <c r="Z702" s="403"/>
      <c r="AA702" s="403"/>
      <c r="AB702" s="403"/>
      <c r="AC702" s="403"/>
      <c r="AD702" s="403"/>
      <c r="AE702" s="403"/>
      <c r="AF702" s="403"/>
      <c r="AG702" s="403"/>
      <c r="AH702" s="403"/>
      <c r="AI702" s="403"/>
    </row>
    <row r="703" spans="24:35">
      <c r="X703" s="403"/>
      <c r="Y703" s="403"/>
      <c r="Z703" s="403"/>
      <c r="AA703" s="403"/>
      <c r="AB703" s="403"/>
      <c r="AC703" s="403"/>
      <c r="AD703" s="403"/>
      <c r="AE703" s="403"/>
      <c r="AF703" s="403"/>
      <c r="AG703" s="403"/>
      <c r="AH703" s="403"/>
      <c r="AI703" s="403"/>
    </row>
    <row r="704" spans="24:35">
      <c r="X704" s="403"/>
      <c r="Y704" s="403"/>
      <c r="Z704" s="403"/>
      <c r="AA704" s="403"/>
      <c r="AB704" s="403"/>
      <c r="AC704" s="403"/>
      <c r="AD704" s="403"/>
      <c r="AE704" s="403"/>
      <c r="AF704" s="403"/>
      <c r="AG704" s="403"/>
      <c r="AH704" s="403"/>
      <c r="AI704" s="403"/>
    </row>
    <row r="705" spans="24:35">
      <c r="X705" s="403"/>
      <c r="Y705" s="403"/>
      <c r="Z705" s="403"/>
      <c r="AA705" s="403"/>
      <c r="AB705" s="403"/>
      <c r="AC705" s="403"/>
      <c r="AD705" s="403"/>
      <c r="AE705" s="403"/>
      <c r="AF705" s="403"/>
      <c r="AG705" s="403"/>
      <c r="AH705" s="403"/>
      <c r="AI705" s="403"/>
    </row>
    <row r="706" spans="24:35">
      <c r="X706" s="403"/>
      <c r="Y706" s="403"/>
      <c r="Z706" s="403"/>
      <c r="AA706" s="403"/>
      <c r="AB706" s="403"/>
      <c r="AC706" s="403"/>
      <c r="AD706" s="403"/>
      <c r="AE706" s="403"/>
      <c r="AF706" s="403"/>
      <c r="AG706" s="403"/>
      <c r="AH706" s="403"/>
      <c r="AI706" s="403"/>
    </row>
    <row r="707" spans="24:35">
      <c r="X707" s="403"/>
      <c r="Y707" s="403"/>
      <c r="Z707" s="403"/>
      <c r="AA707" s="403"/>
      <c r="AB707" s="403"/>
      <c r="AC707" s="403"/>
      <c r="AD707" s="403"/>
      <c r="AE707" s="403"/>
      <c r="AF707" s="403"/>
      <c r="AG707" s="403"/>
      <c r="AH707" s="403"/>
      <c r="AI707" s="403"/>
    </row>
    <row r="708" spans="24:35">
      <c r="X708" s="403"/>
      <c r="Y708" s="403"/>
      <c r="Z708" s="403"/>
      <c r="AA708" s="403"/>
      <c r="AB708" s="403"/>
      <c r="AC708" s="403"/>
      <c r="AD708" s="403"/>
      <c r="AE708" s="403"/>
      <c r="AF708" s="403"/>
      <c r="AG708" s="403"/>
      <c r="AH708" s="403"/>
      <c r="AI708" s="403"/>
    </row>
    <row r="709" spans="24:35">
      <c r="X709" s="403"/>
      <c r="Y709" s="403"/>
      <c r="Z709" s="403"/>
      <c r="AA709" s="403"/>
      <c r="AB709" s="403"/>
      <c r="AC709" s="403"/>
      <c r="AD709" s="403"/>
      <c r="AE709" s="403"/>
      <c r="AF709" s="403"/>
      <c r="AG709" s="403"/>
      <c r="AH709" s="403"/>
      <c r="AI709" s="403"/>
    </row>
    <row r="710" spans="24:35">
      <c r="X710" s="403"/>
      <c r="Y710" s="403"/>
      <c r="Z710" s="403"/>
      <c r="AA710" s="403"/>
      <c r="AB710" s="403"/>
      <c r="AC710" s="403"/>
      <c r="AD710" s="403"/>
      <c r="AE710" s="403"/>
      <c r="AF710" s="403"/>
      <c r="AG710" s="403"/>
      <c r="AH710" s="403"/>
      <c r="AI710" s="403"/>
    </row>
    <row r="711" spans="24:35">
      <c r="X711" s="403"/>
      <c r="Y711" s="403"/>
      <c r="Z711" s="403"/>
      <c r="AA711" s="403"/>
      <c r="AB711" s="403"/>
      <c r="AC711" s="403"/>
      <c r="AD711" s="403"/>
      <c r="AE711" s="403"/>
      <c r="AF711" s="403"/>
      <c r="AG711" s="403"/>
      <c r="AH711" s="403"/>
      <c r="AI711" s="403"/>
    </row>
    <row r="712" spans="24:35">
      <c r="X712" s="403"/>
      <c r="Y712" s="403"/>
      <c r="Z712" s="403"/>
      <c r="AA712" s="403"/>
      <c r="AB712" s="403"/>
      <c r="AC712" s="403"/>
      <c r="AD712" s="403"/>
      <c r="AE712" s="403"/>
      <c r="AF712" s="403"/>
      <c r="AG712" s="403"/>
      <c r="AH712" s="403"/>
      <c r="AI712" s="403"/>
    </row>
    <row r="713" spans="24:35">
      <c r="X713" s="403"/>
      <c r="Y713" s="403"/>
      <c r="Z713" s="403"/>
      <c r="AA713" s="403"/>
      <c r="AB713" s="403"/>
      <c r="AC713" s="403"/>
      <c r="AD713" s="403"/>
      <c r="AE713" s="403"/>
      <c r="AF713" s="403"/>
      <c r="AG713" s="403"/>
      <c r="AH713" s="403"/>
      <c r="AI713" s="403"/>
    </row>
    <row r="714" spans="24:35">
      <c r="X714" s="403"/>
      <c r="Y714" s="403"/>
      <c r="Z714" s="403"/>
      <c r="AA714" s="403"/>
      <c r="AB714" s="403"/>
      <c r="AC714" s="403"/>
      <c r="AD714" s="403"/>
      <c r="AE714" s="403"/>
      <c r="AF714" s="403"/>
      <c r="AG714" s="403"/>
      <c r="AH714" s="403"/>
      <c r="AI714" s="403"/>
    </row>
    <row r="715" spans="24:35">
      <c r="X715" s="403"/>
      <c r="Y715" s="403"/>
      <c r="Z715" s="403"/>
      <c r="AA715" s="403"/>
      <c r="AB715" s="403"/>
      <c r="AC715" s="403"/>
      <c r="AD715" s="403"/>
      <c r="AE715" s="403"/>
      <c r="AF715" s="403"/>
      <c r="AG715" s="403"/>
      <c r="AH715" s="403"/>
      <c r="AI715" s="403"/>
    </row>
    <row r="716" spans="24:35">
      <c r="X716" s="403"/>
      <c r="Y716" s="403"/>
      <c r="Z716" s="403"/>
      <c r="AA716" s="403"/>
      <c r="AB716" s="403"/>
      <c r="AC716" s="403"/>
      <c r="AD716" s="403"/>
      <c r="AE716" s="403"/>
      <c r="AF716" s="403"/>
      <c r="AG716" s="403"/>
      <c r="AH716" s="403"/>
      <c r="AI716" s="403"/>
    </row>
    <row r="717" spans="24:35">
      <c r="X717" s="403"/>
      <c r="Y717" s="403"/>
      <c r="Z717" s="403"/>
      <c r="AA717" s="403"/>
      <c r="AB717" s="403"/>
      <c r="AC717" s="403"/>
      <c r="AD717" s="403"/>
      <c r="AE717" s="403"/>
      <c r="AF717" s="403"/>
      <c r="AG717" s="403"/>
      <c r="AH717" s="403"/>
      <c r="AI717" s="403"/>
    </row>
    <row r="718" spans="24:35">
      <c r="X718" s="403"/>
      <c r="Y718" s="403"/>
      <c r="Z718" s="403"/>
      <c r="AA718" s="403"/>
      <c r="AB718" s="403"/>
      <c r="AC718" s="403"/>
      <c r="AD718" s="403"/>
      <c r="AE718" s="403"/>
      <c r="AF718" s="403"/>
      <c r="AG718" s="403"/>
      <c r="AH718" s="403"/>
      <c r="AI718" s="403"/>
    </row>
    <row r="719" spans="24:35">
      <c r="X719" s="403"/>
      <c r="Y719" s="403"/>
      <c r="Z719" s="403"/>
      <c r="AA719" s="403"/>
      <c r="AB719" s="403"/>
      <c r="AC719" s="403"/>
      <c r="AD719" s="403"/>
      <c r="AE719" s="403"/>
      <c r="AF719" s="403"/>
      <c r="AG719" s="403"/>
      <c r="AH719" s="403"/>
      <c r="AI719" s="403"/>
    </row>
    <row r="720" spans="24:35">
      <c r="X720" s="403"/>
      <c r="Y720" s="403"/>
      <c r="Z720" s="403"/>
      <c r="AA720" s="403"/>
      <c r="AB720" s="403"/>
      <c r="AC720" s="403"/>
      <c r="AD720" s="403"/>
      <c r="AE720" s="403"/>
      <c r="AF720" s="403"/>
      <c r="AG720" s="403"/>
      <c r="AH720" s="403"/>
      <c r="AI720" s="403"/>
    </row>
    <row r="721" spans="24:35">
      <c r="X721" s="403"/>
      <c r="Y721" s="403"/>
      <c r="Z721" s="403"/>
      <c r="AA721" s="403"/>
      <c r="AB721" s="403"/>
      <c r="AC721" s="403"/>
      <c r="AD721" s="403"/>
      <c r="AE721" s="403"/>
      <c r="AF721" s="403"/>
      <c r="AG721" s="403"/>
      <c r="AH721" s="403"/>
      <c r="AI721" s="403"/>
    </row>
    <row r="722" spans="24:35">
      <c r="X722" s="403"/>
      <c r="Y722" s="403"/>
      <c r="Z722" s="403"/>
      <c r="AA722" s="403"/>
      <c r="AB722" s="403"/>
      <c r="AC722" s="403"/>
      <c r="AD722" s="403"/>
      <c r="AE722" s="403"/>
      <c r="AF722" s="403"/>
      <c r="AG722" s="403"/>
      <c r="AH722" s="403"/>
      <c r="AI722" s="403"/>
    </row>
    <row r="723" spans="24:35">
      <c r="X723" s="403"/>
      <c r="Y723" s="403"/>
      <c r="Z723" s="403"/>
      <c r="AA723" s="403"/>
      <c r="AB723" s="403"/>
      <c r="AC723" s="403"/>
      <c r="AD723" s="403"/>
      <c r="AE723" s="403"/>
      <c r="AF723" s="403"/>
      <c r="AG723" s="403"/>
      <c r="AH723" s="403"/>
      <c r="AI723" s="403"/>
    </row>
    <row r="724" spans="24:35">
      <c r="X724" s="403"/>
      <c r="Y724" s="403"/>
      <c r="Z724" s="403"/>
      <c r="AA724" s="403"/>
      <c r="AB724" s="403"/>
      <c r="AC724" s="403"/>
      <c r="AD724" s="403"/>
      <c r="AE724" s="403"/>
      <c r="AF724" s="403"/>
      <c r="AG724" s="403"/>
      <c r="AH724" s="403"/>
      <c r="AI724" s="403"/>
    </row>
    <row r="725" spans="24:35">
      <c r="X725" s="403"/>
      <c r="Y725" s="403"/>
      <c r="Z725" s="403"/>
      <c r="AA725" s="403"/>
      <c r="AB725" s="403"/>
      <c r="AC725" s="403"/>
      <c r="AD725" s="403"/>
      <c r="AE725" s="403"/>
      <c r="AF725" s="403"/>
      <c r="AG725" s="403"/>
      <c r="AH725" s="403"/>
      <c r="AI725" s="403"/>
    </row>
    <row r="726" spans="24:35">
      <c r="X726" s="403"/>
      <c r="Y726" s="403"/>
      <c r="Z726" s="403"/>
      <c r="AA726" s="403"/>
      <c r="AB726" s="403"/>
      <c r="AC726" s="403"/>
      <c r="AD726" s="403"/>
      <c r="AE726" s="403"/>
      <c r="AF726" s="403"/>
      <c r="AG726" s="403"/>
      <c r="AH726" s="403"/>
      <c r="AI726" s="403"/>
    </row>
    <row r="727" spans="24:35">
      <c r="X727" s="403"/>
      <c r="Y727" s="403"/>
      <c r="Z727" s="403"/>
      <c r="AA727" s="403"/>
      <c r="AB727" s="403"/>
      <c r="AC727" s="403"/>
      <c r="AD727" s="403"/>
      <c r="AE727" s="403"/>
      <c r="AF727" s="403"/>
      <c r="AG727" s="403"/>
      <c r="AH727" s="403"/>
      <c r="AI727" s="403"/>
    </row>
    <row r="728" spans="24:35">
      <c r="X728" s="403"/>
      <c r="Y728" s="403"/>
      <c r="Z728" s="403"/>
      <c r="AA728" s="403"/>
      <c r="AB728" s="403"/>
      <c r="AC728" s="403"/>
      <c r="AD728" s="403"/>
      <c r="AE728" s="403"/>
      <c r="AF728" s="403"/>
      <c r="AG728" s="403"/>
      <c r="AH728" s="403"/>
      <c r="AI728" s="403"/>
    </row>
    <row r="729" spans="24:35">
      <c r="X729" s="403"/>
      <c r="Y729" s="403"/>
      <c r="Z729" s="403"/>
      <c r="AA729" s="403"/>
      <c r="AB729" s="403"/>
      <c r="AC729" s="403"/>
      <c r="AD729" s="403"/>
      <c r="AE729" s="403"/>
      <c r="AF729" s="403"/>
      <c r="AG729" s="403"/>
      <c r="AH729" s="403"/>
      <c r="AI729" s="403"/>
    </row>
    <row r="730" spans="24:35">
      <c r="X730" s="403"/>
      <c r="Y730" s="403"/>
      <c r="Z730" s="403"/>
      <c r="AA730" s="403"/>
      <c r="AB730" s="403"/>
      <c r="AC730" s="403"/>
      <c r="AD730" s="403"/>
      <c r="AE730" s="403"/>
      <c r="AF730" s="403"/>
      <c r="AG730" s="403"/>
      <c r="AH730" s="403"/>
      <c r="AI730" s="403"/>
    </row>
    <row r="731" spans="24:35">
      <c r="X731" s="403"/>
      <c r="Y731" s="403"/>
      <c r="Z731" s="403"/>
      <c r="AA731" s="403"/>
      <c r="AB731" s="403"/>
      <c r="AC731" s="403"/>
      <c r="AD731" s="403"/>
      <c r="AE731" s="403"/>
      <c r="AF731" s="403"/>
      <c r="AG731" s="403"/>
      <c r="AH731" s="403"/>
      <c r="AI731" s="403"/>
    </row>
    <row r="732" spans="24:35">
      <c r="X732" s="403"/>
      <c r="Y732" s="403"/>
      <c r="Z732" s="403"/>
      <c r="AA732" s="403"/>
      <c r="AB732" s="403"/>
      <c r="AC732" s="403"/>
      <c r="AD732" s="403"/>
      <c r="AE732" s="403"/>
      <c r="AF732" s="403"/>
      <c r="AG732" s="403"/>
      <c r="AH732" s="403"/>
      <c r="AI732" s="403"/>
    </row>
    <row r="733" spans="24:35">
      <c r="X733" s="403"/>
      <c r="Y733" s="403"/>
      <c r="Z733" s="403"/>
      <c r="AA733" s="403"/>
      <c r="AB733" s="403"/>
      <c r="AC733" s="403"/>
      <c r="AD733" s="403"/>
      <c r="AE733" s="403"/>
      <c r="AF733" s="403"/>
      <c r="AG733" s="403"/>
      <c r="AH733" s="403"/>
      <c r="AI733" s="403"/>
    </row>
    <row r="734" spans="24:35">
      <c r="X734" s="403"/>
      <c r="Y734" s="403"/>
      <c r="Z734" s="403"/>
      <c r="AA734" s="403"/>
      <c r="AB734" s="403"/>
      <c r="AC734" s="403"/>
      <c r="AD734" s="403"/>
      <c r="AE734" s="403"/>
      <c r="AF734" s="403"/>
      <c r="AG734" s="403"/>
      <c r="AH734" s="403"/>
      <c r="AI734" s="403"/>
    </row>
    <row r="735" spans="24:35">
      <c r="X735" s="403"/>
      <c r="Y735" s="403"/>
      <c r="Z735" s="403"/>
      <c r="AA735" s="403"/>
      <c r="AB735" s="403"/>
      <c r="AC735" s="403"/>
      <c r="AD735" s="403"/>
      <c r="AE735" s="403"/>
      <c r="AF735" s="403"/>
      <c r="AG735" s="403"/>
      <c r="AH735" s="403"/>
      <c r="AI735" s="403"/>
    </row>
    <row r="736" spans="24:35">
      <c r="X736" s="403"/>
      <c r="Y736" s="403"/>
      <c r="Z736" s="403"/>
      <c r="AA736" s="403"/>
      <c r="AB736" s="403"/>
      <c r="AC736" s="403"/>
      <c r="AD736" s="403"/>
      <c r="AE736" s="403"/>
      <c r="AF736" s="403"/>
      <c r="AG736" s="403"/>
      <c r="AH736" s="403"/>
      <c r="AI736" s="403"/>
    </row>
    <row r="737" spans="24:35">
      <c r="X737" s="403"/>
      <c r="Y737" s="403"/>
      <c r="Z737" s="403"/>
      <c r="AA737" s="403"/>
      <c r="AB737" s="403"/>
      <c r="AC737" s="403"/>
      <c r="AD737" s="403"/>
      <c r="AE737" s="403"/>
      <c r="AF737" s="403"/>
      <c r="AG737" s="403"/>
      <c r="AH737" s="403"/>
      <c r="AI737" s="403"/>
    </row>
    <row r="738" spans="24:35">
      <c r="X738" s="403"/>
      <c r="Y738" s="403"/>
      <c r="Z738" s="403"/>
      <c r="AA738" s="403"/>
      <c r="AB738" s="403"/>
      <c r="AC738" s="403"/>
      <c r="AD738" s="403"/>
      <c r="AE738" s="403"/>
      <c r="AF738" s="403"/>
      <c r="AG738" s="403"/>
      <c r="AH738" s="403"/>
      <c r="AI738" s="403"/>
    </row>
    <row r="739" spans="24:35">
      <c r="X739" s="403"/>
      <c r="Y739" s="403"/>
      <c r="Z739" s="403"/>
      <c r="AA739" s="403"/>
      <c r="AB739" s="403"/>
      <c r="AC739" s="403"/>
      <c r="AD739" s="403"/>
      <c r="AE739" s="403"/>
      <c r="AF739" s="403"/>
      <c r="AG739" s="403"/>
      <c r="AH739" s="403"/>
      <c r="AI739" s="403"/>
    </row>
    <row r="740" spans="24:35">
      <c r="X740" s="403"/>
      <c r="Y740" s="403"/>
      <c r="Z740" s="403"/>
      <c r="AA740" s="403"/>
      <c r="AB740" s="403"/>
      <c r="AC740" s="403"/>
      <c r="AD740" s="403"/>
      <c r="AE740" s="403"/>
      <c r="AF740" s="403"/>
      <c r="AG740" s="403"/>
      <c r="AH740" s="403"/>
      <c r="AI740" s="403"/>
    </row>
    <row r="741" spans="24:35">
      <c r="X741" s="403"/>
      <c r="Y741" s="403"/>
      <c r="Z741" s="403"/>
      <c r="AA741" s="403"/>
      <c r="AB741" s="403"/>
      <c r="AC741" s="403"/>
      <c r="AD741" s="403"/>
      <c r="AE741" s="403"/>
      <c r="AF741" s="403"/>
      <c r="AG741" s="403"/>
      <c r="AH741" s="403"/>
      <c r="AI741" s="403"/>
    </row>
    <row r="742" spans="24:35">
      <c r="X742" s="403"/>
      <c r="Y742" s="403"/>
      <c r="Z742" s="403"/>
      <c r="AA742" s="403"/>
      <c r="AB742" s="403"/>
      <c r="AC742" s="403"/>
      <c r="AD742" s="403"/>
      <c r="AE742" s="403"/>
      <c r="AF742" s="403"/>
      <c r="AG742" s="403"/>
      <c r="AH742" s="403"/>
      <c r="AI742" s="403"/>
    </row>
    <row r="743" spans="24:35">
      <c r="X743" s="403"/>
      <c r="Y743" s="403"/>
      <c r="Z743" s="403"/>
      <c r="AA743" s="403"/>
      <c r="AB743" s="403"/>
      <c r="AC743" s="403"/>
      <c r="AD743" s="403"/>
      <c r="AE743" s="403"/>
      <c r="AF743" s="403"/>
      <c r="AG743" s="403"/>
      <c r="AH743" s="403"/>
      <c r="AI743" s="403"/>
    </row>
    <row r="744" spans="24:35">
      <c r="X744" s="403"/>
      <c r="Y744" s="403"/>
      <c r="Z744" s="403"/>
      <c r="AA744" s="403"/>
      <c r="AB744" s="403"/>
      <c r="AC744" s="403"/>
      <c r="AD744" s="403"/>
      <c r="AE744" s="403"/>
      <c r="AF744" s="403"/>
      <c r="AG744" s="403"/>
      <c r="AH744" s="403"/>
      <c r="AI744" s="403"/>
    </row>
    <row r="745" spans="24:35">
      <c r="X745" s="403"/>
      <c r="Y745" s="403"/>
      <c r="Z745" s="403"/>
      <c r="AA745" s="403"/>
      <c r="AB745" s="403"/>
      <c r="AC745" s="403"/>
      <c r="AD745" s="403"/>
      <c r="AE745" s="403"/>
      <c r="AF745" s="403"/>
      <c r="AG745" s="403"/>
      <c r="AH745" s="403"/>
      <c r="AI745" s="403"/>
    </row>
    <row r="746" spans="24:35">
      <c r="X746" s="403"/>
      <c r="Y746" s="403"/>
      <c r="Z746" s="403"/>
      <c r="AA746" s="403"/>
      <c r="AB746" s="403"/>
      <c r="AC746" s="403"/>
      <c r="AD746" s="403"/>
      <c r="AE746" s="403"/>
      <c r="AF746" s="403"/>
      <c r="AG746" s="403"/>
      <c r="AH746" s="403"/>
      <c r="AI746" s="403"/>
    </row>
    <row r="747" spans="24:35">
      <c r="X747" s="403"/>
      <c r="Y747" s="403"/>
      <c r="Z747" s="403"/>
      <c r="AA747" s="403"/>
      <c r="AB747" s="403"/>
      <c r="AC747" s="403"/>
      <c r="AD747" s="403"/>
      <c r="AE747" s="403"/>
      <c r="AF747" s="403"/>
      <c r="AG747" s="403"/>
      <c r="AH747" s="403"/>
      <c r="AI747" s="403"/>
    </row>
    <row r="748" spans="24:35">
      <c r="X748" s="403"/>
      <c r="Y748" s="403"/>
      <c r="Z748" s="403"/>
      <c r="AA748" s="403"/>
      <c r="AB748" s="403"/>
      <c r="AC748" s="403"/>
      <c r="AD748" s="403"/>
      <c r="AE748" s="403"/>
      <c r="AF748" s="403"/>
      <c r="AG748" s="403"/>
      <c r="AH748" s="403"/>
      <c r="AI748" s="403"/>
    </row>
    <row r="749" spans="24:35">
      <c r="X749" s="403"/>
      <c r="Y749" s="403"/>
      <c r="Z749" s="403"/>
      <c r="AA749" s="403"/>
      <c r="AB749" s="403"/>
      <c r="AC749" s="403"/>
      <c r="AD749" s="403"/>
      <c r="AE749" s="403"/>
      <c r="AF749" s="403"/>
      <c r="AG749" s="403"/>
      <c r="AH749" s="403"/>
      <c r="AI749" s="403"/>
    </row>
    <row r="750" spans="24:35">
      <c r="X750" s="403"/>
      <c r="Y750" s="403"/>
      <c r="Z750" s="403"/>
      <c r="AA750" s="403"/>
      <c r="AB750" s="403"/>
      <c r="AC750" s="403"/>
      <c r="AD750" s="403"/>
      <c r="AE750" s="403"/>
      <c r="AF750" s="403"/>
      <c r="AG750" s="403"/>
      <c r="AH750" s="403"/>
      <c r="AI750" s="403"/>
    </row>
    <row r="751" spans="24:35">
      <c r="X751" s="403"/>
      <c r="Y751" s="403"/>
      <c r="Z751" s="403"/>
      <c r="AA751" s="403"/>
      <c r="AB751" s="403"/>
      <c r="AC751" s="403"/>
      <c r="AD751" s="403"/>
      <c r="AE751" s="403"/>
      <c r="AF751" s="403"/>
      <c r="AG751" s="403"/>
      <c r="AH751" s="403"/>
      <c r="AI751" s="403"/>
    </row>
    <row r="752" spans="24:35">
      <c r="X752" s="403"/>
      <c r="Y752" s="403"/>
      <c r="Z752" s="403"/>
      <c r="AA752" s="403"/>
      <c r="AB752" s="403"/>
      <c r="AC752" s="403"/>
      <c r="AD752" s="403"/>
      <c r="AE752" s="403"/>
      <c r="AF752" s="403"/>
      <c r="AG752" s="403"/>
      <c r="AH752" s="403"/>
      <c r="AI752" s="403"/>
    </row>
    <row r="753" spans="24:35">
      <c r="X753" s="403"/>
      <c r="Y753" s="403"/>
      <c r="Z753" s="403"/>
      <c r="AA753" s="403"/>
      <c r="AB753" s="403"/>
      <c r="AC753" s="403"/>
      <c r="AD753" s="403"/>
      <c r="AE753" s="403"/>
      <c r="AF753" s="403"/>
      <c r="AG753" s="403"/>
      <c r="AH753" s="403"/>
      <c r="AI753" s="403"/>
    </row>
    <row r="754" spans="24:35">
      <c r="X754" s="403"/>
      <c r="Y754" s="403"/>
      <c r="Z754" s="403"/>
      <c r="AA754" s="403"/>
      <c r="AB754" s="403"/>
      <c r="AC754" s="403"/>
      <c r="AD754" s="403"/>
      <c r="AE754" s="403"/>
      <c r="AF754" s="403"/>
      <c r="AG754" s="403"/>
      <c r="AH754" s="403"/>
      <c r="AI754" s="403"/>
    </row>
    <row r="755" spans="24:35">
      <c r="X755" s="403"/>
      <c r="Y755" s="403"/>
      <c r="Z755" s="403"/>
      <c r="AA755" s="403"/>
      <c r="AB755" s="403"/>
      <c r="AC755" s="403"/>
      <c r="AD755" s="403"/>
      <c r="AE755" s="403"/>
      <c r="AF755" s="403"/>
      <c r="AG755" s="403"/>
      <c r="AH755" s="403"/>
      <c r="AI755" s="403"/>
    </row>
    <row r="756" spans="24:35">
      <c r="X756" s="403"/>
      <c r="Y756" s="403"/>
      <c r="Z756" s="403"/>
      <c r="AA756" s="403"/>
      <c r="AB756" s="403"/>
      <c r="AC756" s="403"/>
      <c r="AD756" s="403"/>
      <c r="AE756" s="403"/>
      <c r="AF756" s="403"/>
      <c r="AG756" s="403"/>
      <c r="AH756" s="403"/>
      <c r="AI756" s="403"/>
    </row>
    <row r="757" spans="24:35">
      <c r="X757" s="403"/>
      <c r="Y757" s="403"/>
      <c r="Z757" s="403"/>
      <c r="AA757" s="403"/>
      <c r="AB757" s="403"/>
      <c r="AC757" s="403"/>
      <c r="AD757" s="403"/>
      <c r="AE757" s="403"/>
      <c r="AF757" s="403"/>
      <c r="AG757" s="403"/>
      <c r="AH757" s="403"/>
      <c r="AI757" s="403"/>
    </row>
    <row r="758" spans="24:35">
      <c r="X758" s="403"/>
      <c r="Y758" s="403"/>
      <c r="Z758" s="403"/>
      <c r="AA758" s="403"/>
      <c r="AB758" s="403"/>
      <c r="AC758" s="403"/>
      <c r="AD758" s="403"/>
      <c r="AE758" s="403"/>
      <c r="AF758" s="403"/>
      <c r="AG758" s="403"/>
      <c r="AH758" s="403"/>
      <c r="AI758" s="403"/>
    </row>
    <row r="759" spans="24:35">
      <c r="X759" s="403"/>
      <c r="Y759" s="403"/>
      <c r="Z759" s="403"/>
      <c r="AA759" s="403"/>
      <c r="AB759" s="403"/>
      <c r="AC759" s="403"/>
      <c r="AD759" s="403"/>
      <c r="AE759" s="403"/>
      <c r="AF759" s="403"/>
      <c r="AG759" s="403"/>
      <c r="AH759" s="403"/>
      <c r="AI759" s="403"/>
    </row>
    <row r="760" spans="24:35">
      <c r="X760" s="403"/>
      <c r="Y760" s="403"/>
      <c r="Z760" s="403"/>
      <c r="AA760" s="403"/>
      <c r="AB760" s="403"/>
      <c r="AC760" s="403"/>
      <c r="AD760" s="403"/>
      <c r="AE760" s="403"/>
      <c r="AF760" s="403"/>
      <c r="AG760" s="403"/>
      <c r="AH760" s="403"/>
      <c r="AI760" s="403"/>
    </row>
    <row r="761" spans="24:35">
      <c r="X761" s="403"/>
      <c r="Y761" s="403"/>
      <c r="Z761" s="403"/>
      <c r="AA761" s="403"/>
      <c r="AB761" s="403"/>
      <c r="AC761" s="403"/>
      <c r="AD761" s="403"/>
      <c r="AE761" s="403"/>
      <c r="AF761" s="403"/>
      <c r="AG761" s="403"/>
      <c r="AH761" s="403"/>
      <c r="AI761" s="403"/>
    </row>
    <row r="762" spans="24:35">
      <c r="X762" s="403"/>
      <c r="Y762" s="403"/>
      <c r="Z762" s="403"/>
      <c r="AA762" s="403"/>
      <c r="AB762" s="403"/>
      <c r="AC762" s="403"/>
      <c r="AD762" s="403"/>
      <c r="AE762" s="403"/>
      <c r="AF762" s="403"/>
      <c r="AG762" s="403"/>
      <c r="AH762" s="403"/>
      <c r="AI762" s="403"/>
    </row>
    <row r="763" spans="24:35">
      <c r="X763" s="403"/>
      <c r="Y763" s="403"/>
      <c r="Z763" s="403"/>
      <c r="AA763" s="403"/>
      <c r="AB763" s="403"/>
      <c r="AC763" s="403"/>
      <c r="AD763" s="403"/>
      <c r="AE763" s="403"/>
      <c r="AF763" s="403"/>
      <c r="AG763" s="403"/>
      <c r="AH763" s="403"/>
      <c r="AI763" s="403"/>
    </row>
    <row r="764" spans="24:35">
      <c r="X764" s="403"/>
      <c r="Y764" s="403"/>
      <c r="Z764" s="403"/>
      <c r="AA764" s="403"/>
      <c r="AB764" s="403"/>
      <c r="AC764" s="403"/>
      <c r="AD764" s="403"/>
      <c r="AE764" s="403"/>
      <c r="AF764" s="403"/>
      <c r="AG764" s="403"/>
      <c r="AH764" s="403"/>
      <c r="AI764" s="403"/>
    </row>
    <row r="765" spans="24:35">
      <c r="X765" s="403"/>
      <c r="Y765" s="403"/>
      <c r="Z765" s="403"/>
      <c r="AA765" s="403"/>
      <c r="AB765" s="403"/>
      <c r="AC765" s="403"/>
      <c r="AD765" s="403"/>
      <c r="AE765" s="403"/>
      <c r="AF765" s="403"/>
      <c r="AG765" s="403"/>
      <c r="AH765" s="403"/>
      <c r="AI765" s="403"/>
    </row>
    <row r="766" spans="24:35">
      <c r="X766" s="403"/>
      <c r="Y766" s="403"/>
      <c r="Z766" s="403"/>
      <c r="AA766" s="403"/>
      <c r="AB766" s="403"/>
      <c r="AC766" s="403"/>
      <c r="AD766" s="403"/>
      <c r="AE766" s="403"/>
      <c r="AF766" s="403"/>
      <c r="AG766" s="403"/>
      <c r="AH766" s="403"/>
      <c r="AI766" s="403"/>
    </row>
    <row r="767" spans="24:35">
      <c r="X767" s="403"/>
      <c r="Y767" s="403"/>
      <c r="Z767" s="403"/>
      <c r="AA767" s="403"/>
      <c r="AB767" s="403"/>
      <c r="AC767" s="403"/>
      <c r="AD767" s="403"/>
      <c r="AE767" s="403"/>
      <c r="AF767" s="403"/>
      <c r="AG767" s="403"/>
      <c r="AH767" s="403"/>
      <c r="AI767" s="403"/>
    </row>
    <row r="768" spans="24:35">
      <c r="X768" s="403"/>
      <c r="Y768" s="403"/>
      <c r="Z768" s="403"/>
      <c r="AA768" s="403"/>
      <c r="AB768" s="403"/>
      <c r="AC768" s="403"/>
      <c r="AD768" s="403"/>
      <c r="AE768" s="403"/>
      <c r="AF768" s="403"/>
      <c r="AG768" s="403"/>
      <c r="AH768" s="403"/>
      <c r="AI768" s="403"/>
    </row>
    <row r="769" spans="24:35">
      <c r="X769" s="403"/>
      <c r="Y769" s="403"/>
      <c r="Z769" s="403"/>
      <c r="AA769" s="403"/>
      <c r="AB769" s="403"/>
      <c r="AC769" s="403"/>
      <c r="AD769" s="403"/>
      <c r="AE769" s="403"/>
      <c r="AF769" s="403"/>
      <c r="AG769" s="403"/>
      <c r="AH769" s="403"/>
      <c r="AI769" s="403"/>
    </row>
    <row r="770" spans="24:35">
      <c r="X770" s="403"/>
      <c r="Y770" s="403"/>
      <c r="Z770" s="403"/>
      <c r="AA770" s="403"/>
      <c r="AB770" s="403"/>
      <c r="AC770" s="403"/>
      <c r="AD770" s="403"/>
      <c r="AE770" s="403"/>
      <c r="AF770" s="403"/>
      <c r="AG770" s="403"/>
      <c r="AH770" s="403"/>
      <c r="AI770" s="403"/>
    </row>
    <row r="771" spans="24:35">
      <c r="X771" s="403"/>
      <c r="Y771" s="403"/>
      <c r="Z771" s="403"/>
      <c r="AA771" s="403"/>
      <c r="AB771" s="403"/>
      <c r="AC771" s="403"/>
      <c r="AD771" s="403"/>
      <c r="AE771" s="403"/>
      <c r="AF771" s="403"/>
      <c r="AG771" s="403"/>
      <c r="AH771" s="403"/>
      <c r="AI771" s="403"/>
    </row>
    <row r="772" spans="24:35">
      <c r="X772" s="403"/>
      <c r="Y772" s="403"/>
      <c r="Z772" s="403"/>
      <c r="AA772" s="403"/>
      <c r="AB772" s="403"/>
      <c r="AC772" s="403"/>
      <c r="AD772" s="403"/>
      <c r="AE772" s="403"/>
      <c r="AF772" s="403"/>
      <c r="AG772" s="403"/>
      <c r="AH772" s="403"/>
      <c r="AI772" s="403"/>
    </row>
    <row r="773" spans="24:35">
      <c r="X773" s="403"/>
      <c r="Y773" s="403"/>
      <c r="Z773" s="403"/>
      <c r="AA773" s="403"/>
      <c r="AB773" s="403"/>
      <c r="AC773" s="403"/>
      <c r="AD773" s="403"/>
      <c r="AE773" s="403"/>
      <c r="AF773" s="403"/>
      <c r="AG773" s="403"/>
      <c r="AH773" s="403"/>
      <c r="AI773" s="403"/>
    </row>
    <row r="774" spans="24:35">
      <c r="X774" s="403"/>
      <c r="Y774" s="403"/>
      <c r="Z774" s="403"/>
      <c r="AA774" s="403"/>
      <c r="AB774" s="403"/>
      <c r="AC774" s="403"/>
      <c r="AD774" s="403"/>
      <c r="AE774" s="403"/>
      <c r="AF774" s="403"/>
      <c r="AG774" s="403"/>
      <c r="AH774" s="403"/>
      <c r="AI774" s="403"/>
    </row>
    <row r="775" spans="24:35">
      <c r="X775" s="403"/>
      <c r="Y775" s="403"/>
      <c r="Z775" s="403"/>
      <c r="AA775" s="403"/>
      <c r="AB775" s="403"/>
      <c r="AC775" s="403"/>
      <c r="AD775" s="403"/>
      <c r="AE775" s="403"/>
      <c r="AF775" s="403"/>
      <c r="AG775" s="403"/>
      <c r="AH775" s="403"/>
      <c r="AI775" s="403"/>
    </row>
    <row r="776" spans="24:35">
      <c r="X776" s="403"/>
      <c r="Y776" s="403"/>
      <c r="Z776" s="403"/>
      <c r="AA776" s="403"/>
      <c r="AB776" s="403"/>
      <c r="AC776" s="403"/>
      <c r="AD776" s="403"/>
      <c r="AE776" s="403"/>
      <c r="AF776" s="403"/>
      <c r="AG776" s="403"/>
      <c r="AH776" s="403"/>
      <c r="AI776" s="403"/>
    </row>
    <row r="777" spans="24:35">
      <c r="X777" s="403"/>
      <c r="Y777" s="403"/>
      <c r="Z777" s="403"/>
      <c r="AA777" s="403"/>
      <c r="AB777" s="403"/>
      <c r="AC777" s="403"/>
      <c r="AD777" s="403"/>
      <c r="AE777" s="403"/>
      <c r="AF777" s="403"/>
      <c r="AG777" s="403"/>
      <c r="AH777" s="403"/>
      <c r="AI777" s="403"/>
    </row>
    <row r="778" spans="24:35">
      <c r="X778" s="403"/>
      <c r="Y778" s="403"/>
      <c r="Z778" s="403"/>
      <c r="AA778" s="403"/>
      <c r="AB778" s="403"/>
      <c r="AC778" s="403"/>
      <c r="AD778" s="403"/>
      <c r="AE778" s="403"/>
      <c r="AF778" s="403"/>
      <c r="AG778" s="403"/>
      <c r="AH778" s="403"/>
      <c r="AI778" s="403"/>
    </row>
    <row r="779" spans="24:35">
      <c r="X779" s="403"/>
      <c r="Y779" s="403"/>
      <c r="Z779" s="403"/>
      <c r="AA779" s="403"/>
      <c r="AB779" s="403"/>
      <c r="AC779" s="403"/>
      <c r="AD779" s="403"/>
      <c r="AE779" s="403"/>
      <c r="AF779" s="403"/>
      <c r="AG779" s="403"/>
      <c r="AH779" s="403"/>
      <c r="AI779" s="403"/>
    </row>
    <row r="780" spans="24:35">
      <c r="X780" s="403"/>
      <c r="Y780" s="403"/>
      <c r="Z780" s="403"/>
      <c r="AA780" s="403"/>
      <c r="AB780" s="403"/>
      <c r="AC780" s="403"/>
      <c r="AD780" s="403"/>
      <c r="AE780" s="403"/>
      <c r="AF780" s="403"/>
      <c r="AG780" s="403"/>
      <c r="AH780" s="403"/>
      <c r="AI780" s="403"/>
    </row>
    <row r="781" spans="24:35">
      <c r="X781" s="403"/>
      <c r="Y781" s="403"/>
      <c r="Z781" s="403"/>
      <c r="AA781" s="403"/>
      <c r="AB781" s="403"/>
      <c r="AC781" s="403"/>
      <c r="AD781" s="403"/>
      <c r="AE781" s="403"/>
      <c r="AF781" s="403"/>
      <c r="AG781" s="403"/>
      <c r="AH781" s="403"/>
      <c r="AI781" s="403"/>
    </row>
    <row r="782" spans="24:35">
      <c r="X782" s="403"/>
      <c r="Y782" s="403"/>
      <c r="Z782" s="403"/>
      <c r="AA782" s="403"/>
      <c r="AB782" s="403"/>
      <c r="AC782" s="403"/>
      <c r="AD782" s="403"/>
      <c r="AE782" s="403"/>
      <c r="AF782" s="403"/>
      <c r="AG782" s="403"/>
      <c r="AH782" s="403"/>
      <c r="AI782" s="403"/>
    </row>
    <row r="783" spans="24:35">
      <c r="X783" s="403"/>
      <c r="Y783" s="403"/>
      <c r="Z783" s="403"/>
      <c r="AA783" s="403"/>
      <c r="AB783" s="403"/>
      <c r="AC783" s="403"/>
      <c r="AD783" s="403"/>
      <c r="AE783" s="403"/>
      <c r="AF783" s="403"/>
      <c r="AG783" s="403"/>
      <c r="AH783" s="403"/>
      <c r="AI783" s="403"/>
    </row>
    <row r="784" spans="24:35">
      <c r="X784" s="403"/>
      <c r="Y784" s="403"/>
      <c r="Z784" s="403"/>
      <c r="AA784" s="403"/>
      <c r="AB784" s="403"/>
      <c r="AC784" s="403"/>
      <c r="AD784" s="403"/>
      <c r="AE784" s="403"/>
      <c r="AF784" s="403"/>
      <c r="AG784" s="403"/>
      <c r="AH784" s="403"/>
      <c r="AI784" s="403"/>
    </row>
    <row r="785" spans="24:35">
      <c r="X785" s="403"/>
      <c r="Y785" s="403"/>
      <c r="Z785" s="403"/>
      <c r="AA785" s="403"/>
      <c r="AB785" s="403"/>
      <c r="AC785" s="403"/>
      <c r="AD785" s="403"/>
      <c r="AE785" s="403"/>
      <c r="AF785" s="403"/>
      <c r="AG785" s="403"/>
      <c r="AH785" s="403"/>
      <c r="AI785" s="403"/>
    </row>
    <row r="786" spans="24:35">
      <c r="X786" s="403"/>
      <c r="Y786" s="403"/>
      <c r="Z786" s="403"/>
      <c r="AA786" s="403"/>
      <c r="AB786" s="403"/>
      <c r="AC786" s="403"/>
      <c r="AD786" s="403"/>
      <c r="AE786" s="403"/>
      <c r="AF786" s="403"/>
      <c r="AG786" s="403"/>
      <c r="AH786" s="403"/>
      <c r="AI786" s="403"/>
    </row>
    <row r="787" spans="24:35">
      <c r="X787" s="403"/>
      <c r="Y787" s="403"/>
      <c r="Z787" s="403"/>
      <c r="AA787" s="403"/>
      <c r="AB787" s="403"/>
      <c r="AC787" s="403"/>
      <c r="AD787" s="403"/>
      <c r="AE787" s="403"/>
      <c r="AF787" s="403"/>
      <c r="AG787" s="403"/>
      <c r="AH787" s="403"/>
      <c r="AI787" s="403"/>
    </row>
    <row r="788" spans="24:35">
      <c r="X788" s="403"/>
      <c r="Y788" s="403"/>
      <c r="Z788" s="403"/>
      <c r="AA788" s="403"/>
      <c r="AB788" s="403"/>
      <c r="AC788" s="403"/>
      <c r="AD788" s="403"/>
      <c r="AE788" s="403"/>
      <c r="AF788" s="403"/>
      <c r="AG788" s="403"/>
      <c r="AH788" s="403"/>
      <c r="AI788" s="403"/>
    </row>
    <row r="789" spans="24:35">
      <c r="X789" s="403"/>
      <c r="Y789" s="403"/>
      <c r="Z789" s="403"/>
      <c r="AA789" s="403"/>
      <c r="AB789" s="403"/>
      <c r="AC789" s="403"/>
      <c r="AD789" s="403"/>
      <c r="AE789" s="403"/>
      <c r="AF789" s="403"/>
      <c r="AG789" s="403"/>
      <c r="AH789" s="403"/>
      <c r="AI789" s="403"/>
    </row>
    <row r="790" spans="24:35">
      <c r="X790" s="403"/>
      <c r="Y790" s="403"/>
      <c r="Z790" s="403"/>
      <c r="AA790" s="403"/>
      <c r="AB790" s="403"/>
      <c r="AC790" s="403"/>
      <c r="AD790" s="403"/>
      <c r="AE790" s="403"/>
      <c r="AF790" s="403"/>
      <c r="AG790" s="403"/>
      <c r="AH790" s="403"/>
      <c r="AI790" s="403"/>
    </row>
    <row r="791" spans="24:35">
      <c r="X791" s="403"/>
      <c r="Y791" s="403"/>
      <c r="Z791" s="403"/>
      <c r="AA791" s="403"/>
      <c r="AB791" s="403"/>
      <c r="AC791" s="403"/>
      <c r="AD791" s="403"/>
      <c r="AE791" s="403"/>
      <c r="AF791" s="403"/>
      <c r="AG791" s="403"/>
      <c r="AH791" s="403"/>
      <c r="AI791" s="403"/>
    </row>
    <row r="792" spans="24:35">
      <c r="X792" s="403"/>
      <c r="Y792" s="403"/>
      <c r="Z792" s="403"/>
      <c r="AA792" s="403"/>
      <c r="AB792" s="403"/>
      <c r="AC792" s="403"/>
      <c r="AD792" s="403"/>
      <c r="AE792" s="403"/>
      <c r="AF792" s="403"/>
      <c r="AG792" s="403"/>
      <c r="AH792" s="403"/>
      <c r="AI792" s="403"/>
    </row>
    <row r="793" spans="24:35">
      <c r="X793" s="403"/>
      <c r="Y793" s="403"/>
      <c r="Z793" s="403"/>
      <c r="AA793" s="403"/>
      <c r="AB793" s="403"/>
      <c r="AC793" s="403"/>
      <c r="AD793" s="403"/>
      <c r="AE793" s="403"/>
      <c r="AF793" s="403"/>
      <c r="AG793" s="403"/>
      <c r="AH793" s="403"/>
      <c r="AI793" s="403"/>
    </row>
    <row r="794" spans="24:35">
      <c r="X794" s="403"/>
      <c r="Y794" s="403"/>
      <c r="Z794" s="403"/>
      <c r="AA794" s="403"/>
      <c r="AB794" s="403"/>
      <c r="AC794" s="403"/>
      <c r="AD794" s="403"/>
      <c r="AE794" s="403"/>
      <c r="AF794" s="403"/>
      <c r="AG794" s="403"/>
      <c r="AH794" s="403"/>
      <c r="AI794" s="403"/>
    </row>
    <row r="795" spans="24:35">
      <c r="X795" s="403"/>
      <c r="Y795" s="403"/>
      <c r="Z795" s="403"/>
      <c r="AA795" s="403"/>
      <c r="AB795" s="403"/>
      <c r="AC795" s="403"/>
      <c r="AD795" s="403"/>
      <c r="AE795" s="403"/>
      <c r="AF795" s="403"/>
      <c r="AG795" s="403"/>
      <c r="AH795" s="403"/>
      <c r="AI795" s="403"/>
    </row>
    <row r="796" spans="24:35">
      <c r="X796" s="403"/>
      <c r="Y796" s="403"/>
      <c r="Z796" s="403"/>
      <c r="AA796" s="403"/>
      <c r="AB796" s="403"/>
      <c r="AC796" s="403"/>
      <c r="AD796" s="403"/>
      <c r="AE796" s="403"/>
      <c r="AF796" s="403"/>
      <c r="AG796" s="403"/>
      <c r="AH796" s="403"/>
      <c r="AI796" s="403"/>
    </row>
    <row r="797" spans="24:35">
      <c r="X797" s="403"/>
      <c r="Y797" s="403"/>
      <c r="Z797" s="403"/>
      <c r="AA797" s="403"/>
      <c r="AB797" s="403"/>
      <c r="AC797" s="403"/>
      <c r="AD797" s="403"/>
      <c r="AE797" s="403"/>
      <c r="AF797" s="403"/>
      <c r="AG797" s="403"/>
      <c r="AH797" s="403"/>
      <c r="AI797" s="403"/>
    </row>
    <row r="798" spans="24:35">
      <c r="X798" s="403"/>
      <c r="Y798" s="403"/>
      <c r="Z798" s="403"/>
      <c r="AA798" s="403"/>
      <c r="AB798" s="403"/>
      <c r="AC798" s="403"/>
      <c r="AD798" s="403"/>
      <c r="AE798" s="403"/>
      <c r="AF798" s="403"/>
      <c r="AG798" s="403"/>
      <c r="AH798" s="403"/>
      <c r="AI798" s="403"/>
    </row>
    <row r="799" spans="24:35">
      <c r="X799" s="403"/>
      <c r="Y799" s="403"/>
      <c r="Z799" s="403"/>
      <c r="AA799" s="403"/>
      <c r="AB799" s="403"/>
      <c r="AC799" s="403"/>
      <c r="AD799" s="403"/>
      <c r="AE799" s="403"/>
      <c r="AF799" s="403"/>
      <c r="AG799" s="403"/>
      <c r="AH799" s="403"/>
      <c r="AI799" s="403"/>
    </row>
    <row r="800" spans="24:35">
      <c r="X800" s="403"/>
      <c r="Y800" s="403"/>
      <c r="Z800" s="403"/>
      <c r="AA800" s="403"/>
      <c r="AB800" s="403"/>
      <c r="AC800" s="403"/>
      <c r="AD800" s="403"/>
      <c r="AE800" s="403"/>
      <c r="AF800" s="403"/>
      <c r="AG800" s="403"/>
      <c r="AH800" s="403"/>
      <c r="AI800" s="403"/>
    </row>
    <row r="801" spans="24:35">
      <c r="X801" s="403"/>
      <c r="Y801" s="403"/>
      <c r="Z801" s="403"/>
      <c r="AA801" s="403"/>
      <c r="AB801" s="403"/>
      <c r="AC801" s="403"/>
      <c r="AD801" s="403"/>
      <c r="AE801" s="403"/>
      <c r="AF801" s="403"/>
      <c r="AG801" s="403"/>
      <c r="AH801" s="403"/>
      <c r="AI801" s="403"/>
    </row>
    <row r="802" spans="24:35">
      <c r="X802" s="403"/>
      <c r="Y802" s="403"/>
      <c r="Z802" s="403"/>
      <c r="AA802" s="403"/>
      <c r="AB802" s="403"/>
      <c r="AC802" s="403"/>
      <c r="AD802" s="403"/>
      <c r="AE802" s="403"/>
      <c r="AF802" s="403"/>
      <c r="AG802" s="403"/>
      <c r="AH802" s="403"/>
      <c r="AI802" s="403"/>
    </row>
    <row r="803" spans="24:35">
      <c r="X803" s="403"/>
      <c r="Y803" s="403"/>
      <c r="Z803" s="403"/>
      <c r="AA803" s="403"/>
      <c r="AB803" s="403"/>
      <c r="AC803" s="403"/>
      <c r="AD803" s="403"/>
      <c r="AE803" s="403"/>
      <c r="AF803" s="403"/>
      <c r="AG803" s="403"/>
      <c r="AH803" s="403"/>
      <c r="AI803" s="403"/>
    </row>
    <row r="804" spans="24:35">
      <c r="X804" s="403"/>
      <c r="Y804" s="403"/>
      <c r="Z804" s="403"/>
      <c r="AA804" s="403"/>
      <c r="AB804" s="403"/>
      <c r="AC804" s="403"/>
      <c r="AD804" s="403"/>
      <c r="AE804" s="403"/>
      <c r="AF804" s="403"/>
      <c r="AG804" s="403"/>
      <c r="AH804" s="403"/>
      <c r="AI804" s="403"/>
    </row>
    <row r="805" spans="24:35">
      <c r="X805" s="403"/>
      <c r="Y805" s="403"/>
      <c r="Z805" s="403"/>
      <c r="AA805" s="403"/>
      <c r="AB805" s="403"/>
      <c r="AC805" s="403"/>
      <c r="AD805" s="403"/>
      <c r="AE805" s="403"/>
      <c r="AF805" s="403"/>
      <c r="AG805" s="403"/>
      <c r="AH805" s="403"/>
      <c r="AI805" s="403"/>
    </row>
    <row r="806" spans="24:35">
      <c r="X806" s="403"/>
      <c r="Y806" s="403"/>
      <c r="Z806" s="403"/>
      <c r="AA806" s="403"/>
      <c r="AB806" s="403"/>
      <c r="AC806" s="403"/>
      <c r="AD806" s="403"/>
      <c r="AE806" s="403"/>
      <c r="AF806" s="403"/>
      <c r="AG806" s="403"/>
      <c r="AH806" s="403"/>
      <c r="AI806" s="403"/>
    </row>
    <row r="807" spans="24:35">
      <c r="X807" s="403"/>
      <c r="Y807" s="403"/>
      <c r="Z807" s="403"/>
      <c r="AA807" s="403"/>
      <c r="AB807" s="403"/>
      <c r="AC807" s="403"/>
      <c r="AD807" s="403"/>
      <c r="AE807" s="403"/>
      <c r="AF807" s="403"/>
      <c r="AG807" s="403"/>
      <c r="AH807" s="403"/>
      <c r="AI807" s="403"/>
    </row>
    <row r="808" spans="24:35">
      <c r="X808" s="403"/>
      <c r="Y808" s="403"/>
      <c r="Z808" s="403"/>
      <c r="AA808" s="403"/>
      <c r="AB808" s="403"/>
      <c r="AC808" s="403"/>
      <c r="AD808" s="403"/>
      <c r="AE808" s="403"/>
      <c r="AF808" s="403"/>
      <c r="AG808" s="403"/>
      <c r="AH808" s="403"/>
      <c r="AI808" s="403"/>
    </row>
    <row r="809" spans="24:35">
      <c r="X809" s="403"/>
      <c r="Y809" s="403"/>
      <c r="Z809" s="403"/>
      <c r="AA809" s="403"/>
      <c r="AB809" s="403"/>
      <c r="AC809" s="403"/>
      <c r="AD809" s="403"/>
      <c r="AE809" s="403"/>
      <c r="AF809" s="403"/>
      <c r="AG809" s="403"/>
      <c r="AH809" s="403"/>
      <c r="AI809" s="403"/>
    </row>
    <row r="810" spans="24:35">
      <c r="X810" s="403"/>
      <c r="Y810" s="403"/>
      <c r="Z810" s="403"/>
      <c r="AA810" s="403"/>
      <c r="AB810" s="403"/>
      <c r="AC810" s="403"/>
      <c r="AD810" s="403"/>
      <c r="AE810" s="403"/>
      <c r="AF810" s="403"/>
      <c r="AG810" s="403"/>
      <c r="AH810" s="403"/>
      <c r="AI810" s="403"/>
    </row>
    <row r="811" spans="24:35">
      <c r="X811" s="403"/>
      <c r="Y811" s="403"/>
      <c r="Z811" s="403"/>
      <c r="AA811" s="403"/>
      <c r="AB811" s="403"/>
      <c r="AC811" s="403"/>
      <c r="AD811" s="403"/>
      <c r="AE811" s="403"/>
      <c r="AF811" s="403"/>
      <c r="AG811" s="403"/>
      <c r="AH811" s="403"/>
      <c r="AI811" s="403"/>
    </row>
    <row r="812" spans="24:35">
      <c r="X812" s="403"/>
      <c r="Y812" s="403"/>
      <c r="Z812" s="403"/>
      <c r="AA812" s="403"/>
      <c r="AB812" s="403"/>
      <c r="AC812" s="403"/>
      <c r="AD812" s="403"/>
      <c r="AE812" s="403"/>
      <c r="AF812" s="403"/>
      <c r="AG812" s="403"/>
      <c r="AH812" s="403"/>
      <c r="AI812" s="403"/>
    </row>
    <row r="813" spans="24:35">
      <c r="X813" s="403"/>
      <c r="Y813" s="403"/>
      <c r="Z813" s="403"/>
      <c r="AA813" s="403"/>
      <c r="AB813" s="403"/>
      <c r="AC813" s="403"/>
      <c r="AD813" s="403"/>
      <c r="AE813" s="403"/>
      <c r="AF813" s="403"/>
      <c r="AG813" s="403"/>
      <c r="AH813" s="403"/>
      <c r="AI813" s="403"/>
    </row>
    <row r="814" spans="24:35">
      <c r="X814" s="403"/>
      <c r="Y814" s="403"/>
      <c r="Z814" s="403"/>
      <c r="AA814" s="403"/>
      <c r="AB814" s="403"/>
      <c r="AC814" s="403"/>
      <c r="AD814" s="403"/>
      <c r="AE814" s="403"/>
      <c r="AF814" s="403"/>
      <c r="AG814" s="403"/>
      <c r="AH814" s="403"/>
      <c r="AI814" s="403"/>
    </row>
    <row r="815" spans="24:35">
      <c r="X815" s="403"/>
      <c r="Y815" s="403"/>
      <c r="Z815" s="403"/>
      <c r="AA815" s="403"/>
      <c r="AB815" s="403"/>
      <c r="AC815" s="403"/>
      <c r="AD815" s="403"/>
      <c r="AE815" s="403"/>
      <c r="AF815" s="403"/>
      <c r="AG815" s="403"/>
      <c r="AH815" s="403"/>
      <c r="AI815" s="403"/>
    </row>
    <row r="816" spans="24:35">
      <c r="X816" s="403"/>
      <c r="Y816" s="403"/>
      <c r="Z816" s="403"/>
      <c r="AA816" s="403"/>
      <c r="AB816" s="403"/>
      <c r="AC816" s="403"/>
      <c r="AD816" s="403"/>
      <c r="AE816" s="403"/>
      <c r="AF816" s="403"/>
      <c r="AG816" s="403"/>
      <c r="AH816" s="403"/>
      <c r="AI816" s="403"/>
    </row>
    <row r="817" spans="24:35">
      <c r="X817" s="403"/>
      <c r="Y817" s="403"/>
      <c r="Z817" s="403"/>
      <c r="AA817" s="403"/>
      <c r="AB817" s="403"/>
      <c r="AC817" s="403"/>
      <c r="AD817" s="403"/>
      <c r="AE817" s="403"/>
      <c r="AF817" s="403"/>
      <c r="AG817" s="403"/>
      <c r="AH817" s="403"/>
      <c r="AI817" s="403"/>
    </row>
    <row r="818" spans="24:35">
      <c r="X818" s="403"/>
      <c r="Y818" s="403"/>
      <c r="Z818" s="403"/>
      <c r="AA818" s="403"/>
      <c r="AB818" s="403"/>
      <c r="AC818" s="403"/>
      <c r="AD818" s="403"/>
      <c r="AE818" s="403"/>
      <c r="AF818" s="403"/>
      <c r="AG818" s="403"/>
      <c r="AH818" s="403"/>
      <c r="AI818" s="403"/>
    </row>
    <row r="819" spans="24:35">
      <c r="X819" s="403"/>
      <c r="Y819" s="403"/>
      <c r="Z819" s="403"/>
      <c r="AA819" s="403"/>
      <c r="AB819" s="403"/>
      <c r="AC819" s="403"/>
      <c r="AD819" s="403"/>
      <c r="AE819" s="403"/>
      <c r="AF819" s="403"/>
      <c r="AG819" s="403"/>
      <c r="AH819" s="403"/>
      <c r="AI819" s="403"/>
    </row>
    <row r="820" spans="24:35">
      <c r="X820" s="403"/>
      <c r="Y820" s="403"/>
      <c r="Z820" s="403"/>
      <c r="AA820" s="403"/>
      <c r="AB820" s="403"/>
      <c r="AC820" s="403"/>
      <c r="AD820" s="403"/>
      <c r="AE820" s="403"/>
      <c r="AF820" s="403"/>
      <c r="AG820" s="403"/>
      <c r="AH820" s="403"/>
      <c r="AI820" s="403"/>
    </row>
    <row r="821" spans="24:35">
      <c r="X821" s="403"/>
      <c r="Y821" s="403"/>
      <c r="Z821" s="403"/>
      <c r="AA821" s="403"/>
      <c r="AB821" s="403"/>
      <c r="AC821" s="403"/>
      <c r="AD821" s="403"/>
      <c r="AE821" s="403"/>
      <c r="AF821" s="403"/>
      <c r="AG821" s="403"/>
      <c r="AH821" s="403"/>
      <c r="AI821" s="403"/>
    </row>
    <row r="822" spans="24:35">
      <c r="X822" s="403"/>
      <c r="Y822" s="403"/>
      <c r="Z822" s="403"/>
      <c r="AA822" s="403"/>
      <c r="AB822" s="403"/>
      <c r="AC822" s="403"/>
      <c r="AD822" s="403"/>
      <c r="AE822" s="403"/>
      <c r="AF822" s="403"/>
      <c r="AG822" s="403"/>
      <c r="AH822" s="403"/>
      <c r="AI822" s="403"/>
    </row>
    <row r="823" spans="24:35">
      <c r="X823" s="403"/>
      <c r="Y823" s="403"/>
      <c r="Z823" s="403"/>
      <c r="AA823" s="403"/>
      <c r="AB823" s="403"/>
      <c r="AC823" s="403"/>
      <c r="AD823" s="403"/>
      <c r="AE823" s="403"/>
      <c r="AF823" s="403"/>
      <c r="AG823" s="403"/>
      <c r="AH823" s="403"/>
      <c r="AI823" s="403"/>
    </row>
    <row r="824" spans="24:35">
      <c r="X824" s="403"/>
      <c r="Y824" s="403"/>
      <c r="Z824" s="403"/>
      <c r="AA824" s="403"/>
      <c r="AB824" s="403"/>
      <c r="AC824" s="403"/>
      <c r="AD824" s="403"/>
      <c r="AE824" s="403"/>
      <c r="AF824" s="403"/>
      <c r="AG824" s="403"/>
      <c r="AH824" s="403"/>
      <c r="AI824" s="403"/>
    </row>
    <row r="825" spans="24:35">
      <c r="X825" s="403"/>
      <c r="Y825" s="403"/>
      <c r="Z825" s="403"/>
      <c r="AA825" s="403"/>
      <c r="AB825" s="403"/>
      <c r="AC825" s="403"/>
      <c r="AD825" s="403"/>
      <c r="AE825" s="403"/>
      <c r="AF825" s="403"/>
      <c r="AG825" s="403"/>
      <c r="AH825" s="403"/>
      <c r="AI825" s="403"/>
    </row>
    <row r="826" spans="24:35">
      <c r="X826" s="403"/>
      <c r="Y826" s="403"/>
      <c r="Z826" s="403"/>
      <c r="AA826" s="403"/>
      <c r="AB826" s="403"/>
      <c r="AC826" s="403"/>
      <c r="AD826" s="403"/>
      <c r="AE826" s="403"/>
      <c r="AF826" s="403"/>
      <c r="AG826" s="403"/>
      <c r="AH826" s="403"/>
      <c r="AI826" s="403"/>
    </row>
    <row r="827" spans="24:35">
      <c r="X827" s="403"/>
      <c r="Y827" s="403"/>
      <c r="Z827" s="403"/>
      <c r="AA827" s="403"/>
      <c r="AB827" s="403"/>
      <c r="AC827" s="403"/>
      <c r="AD827" s="403"/>
      <c r="AE827" s="403"/>
      <c r="AF827" s="403"/>
      <c r="AG827" s="403"/>
      <c r="AH827" s="403"/>
      <c r="AI827" s="403"/>
    </row>
    <row r="828" spans="24:35">
      <c r="X828" s="403"/>
      <c r="Y828" s="403"/>
      <c r="Z828" s="403"/>
      <c r="AA828" s="403"/>
      <c r="AB828" s="403"/>
      <c r="AC828" s="403"/>
      <c r="AD828" s="403"/>
      <c r="AE828" s="403"/>
      <c r="AF828" s="403"/>
      <c r="AG828" s="403"/>
      <c r="AH828" s="403"/>
      <c r="AI828" s="403"/>
    </row>
    <row r="829" spans="24:35">
      <c r="X829" s="403"/>
      <c r="Y829" s="403"/>
      <c r="Z829" s="403"/>
      <c r="AA829" s="403"/>
      <c r="AB829" s="403"/>
      <c r="AC829" s="403"/>
      <c r="AD829" s="403"/>
      <c r="AE829" s="403"/>
      <c r="AF829" s="403"/>
      <c r="AG829" s="403"/>
      <c r="AH829" s="403"/>
      <c r="AI829" s="403"/>
    </row>
    <row r="830" spans="24:35">
      <c r="X830" s="403"/>
      <c r="Y830" s="403"/>
      <c r="Z830" s="403"/>
      <c r="AA830" s="403"/>
      <c r="AB830" s="403"/>
      <c r="AC830" s="403"/>
      <c r="AD830" s="403"/>
      <c r="AE830" s="403"/>
      <c r="AF830" s="403"/>
      <c r="AG830" s="403"/>
      <c r="AH830" s="403"/>
      <c r="AI830" s="403"/>
    </row>
    <row r="831" spans="24:35">
      <c r="X831" s="403"/>
      <c r="Y831" s="403"/>
      <c r="Z831" s="403"/>
      <c r="AA831" s="403"/>
      <c r="AB831" s="403"/>
      <c r="AC831" s="403"/>
      <c r="AD831" s="403"/>
      <c r="AE831" s="403"/>
      <c r="AF831" s="403"/>
      <c r="AG831" s="403"/>
      <c r="AH831" s="403"/>
      <c r="AI831" s="403"/>
    </row>
    <row r="832" spans="24:35">
      <c r="X832" s="403"/>
      <c r="Y832" s="403"/>
      <c r="Z832" s="403"/>
      <c r="AA832" s="403"/>
      <c r="AB832" s="403"/>
      <c r="AC832" s="403"/>
      <c r="AD832" s="403"/>
      <c r="AE832" s="403"/>
      <c r="AF832" s="403"/>
      <c r="AG832" s="403"/>
      <c r="AH832" s="403"/>
      <c r="AI832" s="403"/>
    </row>
    <row r="833" spans="24:35">
      <c r="X833" s="403"/>
      <c r="Y833" s="403"/>
      <c r="Z833" s="403"/>
      <c r="AA833" s="403"/>
      <c r="AB833" s="403"/>
      <c r="AC833" s="403"/>
      <c r="AD833" s="403"/>
      <c r="AE833" s="403"/>
      <c r="AF833" s="403"/>
      <c r="AG833" s="403"/>
      <c r="AH833" s="403"/>
      <c r="AI833" s="403"/>
    </row>
    <row r="834" spans="24:35">
      <c r="X834" s="403"/>
      <c r="Y834" s="403"/>
      <c r="Z834" s="403"/>
      <c r="AA834" s="403"/>
      <c r="AB834" s="403"/>
      <c r="AC834" s="403"/>
      <c r="AD834" s="403"/>
      <c r="AE834" s="403"/>
      <c r="AF834" s="403"/>
      <c r="AG834" s="403"/>
      <c r="AH834" s="403"/>
      <c r="AI834" s="403"/>
    </row>
    <row r="835" spans="24:35">
      <c r="X835" s="403"/>
      <c r="Y835" s="403"/>
      <c r="Z835" s="403"/>
      <c r="AA835" s="403"/>
      <c r="AB835" s="403"/>
      <c r="AC835" s="403"/>
      <c r="AD835" s="403"/>
      <c r="AE835" s="403"/>
      <c r="AF835" s="403"/>
      <c r="AG835" s="403"/>
      <c r="AH835" s="403"/>
      <c r="AI835" s="403"/>
    </row>
    <row r="836" spans="24:35">
      <c r="X836" s="403"/>
      <c r="Y836" s="403"/>
      <c r="Z836" s="403"/>
      <c r="AA836" s="403"/>
      <c r="AB836" s="403"/>
      <c r="AC836" s="403"/>
      <c r="AD836" s="403"/>
      <c r="AE836" s="403"/>
      <c r="AF836" s="403"/>
      <c r="AG836" s="403"/>
      <c r="AH836" s="403"/>
      <c r="AI836" s="403"/>
    </row>
    <row r="837" spans="24:35">
      <c r="X837" s="403"/>
      <c r="Y837" s="403"/>
      <c r="Z837" s="403"/>
      <c r="AA837" s="403"/>
      <c r="AB837" s="403"/>
      <c r="AC837" s="403"/>
      <c r="AD837" s="403"/>
      <c r="AE837" s="403"/>
      <c r="AF837" s="403"/>
      <c r="AG837" s="403"/>
      <c r="AH837" s="403"/>
      <c r="AI837" s="403"/>
    </row>
    <row r="838" spans="24:35">
      <c r="X838" s="403"/>
      <c r="Y838" s="403"/>
      <c r="Z838" s="403"/>
      <c r="AA838" s="403"/>
      <c r="AB838" s="403"/>
      <c r="AC838" s="403"/>
      <c r="AD838" s="403"/>
      <c r="AE838" s="403"/>
      <c r="AF838" s="403"/>
      <c r="AG838" s="403"/>
      <c r="AH838" s="403"/>
      <c r="AI838" s="403"/>
    </row>
    <row r="839" spans="24:35">
      <c r="X839" s="403"/>
      <c r="Y839" s="403"/>
      <c r="Z839" s="403"/>
      <c r="AA839" s="403"/>
      <c r="AB839" s="403"/>
      <c r="AC839" s="403"/>
      <c r="AD839" s="403"/>
      <c r="AE839" s="403"/>
      <c r="AF839" s="403"/>
      <c r="AG839" s="403"/>
      <c r="AH839" s="403"/>
      <c r="AI839" s="403"/>
    </row>
    <row r="840" spans="24:35">
      <c r="X840" s="403"/>
      <c r="Y840" s="403"/>
      <c r="Z840" s="403"/>
      <c r="AA840" s="403"/>
      <c r="AB840" s="403"/>
      <c r="AC840" s="403"/>
      <c r="AD840" s="403"/>
      <c r="AE840" s="403"/>
      <c r="AF840" s="403"/>
      <c r="AG840" s="403"/>
      <c r="AH840" s="403"/>
      <c r="AI840" s="403"/>
    </row>
    <row r="841" spans="24:35">
      <c r="X841" s="403"/>
      <c r="Y841" s="403"/>
      <c r="Z841" s="403"/>
      <c r="AA841" s="403"/>
      <c r="AB841" s="403"/>
      <c r="AC841" s="403"/>
      <c r="AD841" s="403"/>
      <c r="AE841" s="403"/>
      <c r="AF841" s="403"/>
      <c r="AG841" s="403"/>
      <c r="AH841" s="403"/>
      <c r="AI841" s="403"/>
    </row>
    <row r="842" spans="24:35">
      <c r="X842" s="403"/>
      <c r="Y842" s="403"/>
      <c r="Z842" s="403"/>
      <c r="AA842" s="403"/>
      <c r="AB842" s="403"/>
      <c r="AC842" s="403"/>
      <c r="AD842" s="403"/>
      <c r="AE842" s="403"/>
      <c r="AF842" s="403"/>
      <c r="AG842" s="403"/>
      <c r="AH842" s="403"/>
      <c r="AI842" s="403"/>
    </row>
    <row r="843" spans="24:35">
      <c r="X843" s="403"/>
      <c r="Y843" s="403"/>
      <c r="Z843" s="403"/>
      <c r="AA843" s="403"/>
      <c r="AB843" s="403"/>
      <c r="AC843" s="403"/>
      <c r="AD843" s="403"/>
      <c r="AE843" s="403"/>
      <c r="AF843" s="403"/>
      <c r="AG843" s="403"/>
      <c r="AH843" s="403"/>
      <c r="AI843" s="403"/>
    </row>
    <row r="844" spans="24:35">
      <c r="X844" s="403"/>
      <c r="Y844" s="403"/>
      <c r="Z844" s="403"/>
      <c r="AA844" s="403"/>
      <c r="AB844" s="403"/>
      <c r="AC844" s="403"/>
      <c r="AD844" s="403"/>
      <c r="AE844" s="403"/>
      <c r="AF844" s="403"/>
      <c r="AG844" s="403"/>
      <c r="AH844" s="403"/>
      <c r="AI844" s="403"/>
    </row>
    <row r="845" spans="24:35">
      <c r="X845" s="403"/>
      <c r="Y845" s="403"/>
      <c r="Z845" s="403"/>
      <c r="AA845" s="403"/>
      <c r="AB845" s="403"/>
      <c r="AC845" s="403"/>
      <c r="AD845" s="403"/>
      <c r="AE845" s="403"/>
      <c r="AF845" s="403"/>
      <c r="AG845" s="403"/>
      <c r="AH845" s="403"/>
      <c r="AI845" s="403"/>
    </row>
    <row r="846" spans="24:35">
      <c r="X846" s="403"/>
      <c r="Y846" s="403"/>
      <c r="Z846" s="403"/>
      <c r="AA846" s="403"/>
      <c r="AB846" s="403"/>
      <c r="AC846" s="403"/>
      <c r="AD846" s="403"/>
      <c r="AE846" s="403"/>
      <c r="AF846" s="403"/>
      <c r="AG846" s="403"/>
      <c r="AH846" s="403"/>
      <c r="AI846" s="403"/>
    </row>
    <row r="847" spans="24:35">
      <c r="X847" s="403"/>
      <c r="Y847" s="403"/>
      <c r="Z847" s="403"/>
      <c r="AA847" s="403"/>
      <c r="AB847" s="403"/>
      <c r="AC847" s="403"/>
      <c r="AD847" s="403"/>
      <c r="AE847" s="403"/>
      <c r="AF847" s="403"/>
      <c r="AG847" s="403"/>
      <c r="AH847" s="403"/>
      <c r="AI847" s="403"/>
    </row>
    <row r="848" spans="24:35">
      <c r="X848" s="403"/>
      <c r="Y848" s="403"/>
      <c r="Z848" s="403"/>
      <c r="AA848" s="403"/>
      <c r="AB848" s="403"/>
      <c r="AC848" s="403"/>
      <c r="AD848" s="403"/>
      <c r="AE848" s="403"/>
      <c r="AF848" s="403"/>
      <c r="AG848" s="403"/>
      <c r="AH848" s="403"/>
      <c r="AI848" s="403"/>
    </row>
    <row r="849" spans="24:35">
      <c r="X849" s="403"/>
      <c r="Y849" s="403"/>
      <c r="Z849" s="403"/>
      <c r="AA849" s="403"/>
      <c r="AB849" s="403"/>
      <c r="AC849" s="403"/>
      <c r="AD849" s="403"/>
      <c r="AE849" s="403"/>
      <c r="AF849" s="403"/>
      <c r="AG849" s="403"/>
      <c r="AH849" s="403"/>
      <c r="AI849" s="403"/>
    </row>
    <row r="850" spans="24:35">
      <c r="X850" s="403"/>
      <c r="Y850" s="403"/>
      <c r="Z850" s="403"/>
      <c r="AA850" s="403"/>
      <c r="AB850" s="403"/>
      <c r="AC850" s="403"/>
      <c r="AD850" s="403"/>
      <c r="AE850" s="403"/>
      <c r="AF850" s="403"/>
      <c r="AG850" s="403"/>
      <c r="AH850" s="403"/>
      <c r="AI850" s="403"/>
    </row>
    <row r="851" spans="24:35">
      <c r="X851" s="403"/>
      <c r="Y851" s="403"/>
      <c r="Z851" s="403"/>
      <c r="AA851" s="403"/>
      <c r="AB851" s="403"/>
      <c r="AC851" s="403"/>
      <c r="AD851" s="403"/>
      <c r="AE851" s="403"/>
      <c r="AF851" s="403"/>
      <c r="AG851" s="403"/>
      <c r="AH851" s="403"/>
      <c r="AI851" s="403"/>
    </row>
    <row r="852" spans="24:35">
      <c r="X852" s="403"/>
      <c r="Y852" s="403"/>
      <c r="Z852" s="403"/>
      <c r="AA852" s="403"/>
      <c r="AB852" s="403"/>
      <c r="AC852" s="403"/>
      <c r="AD852" s="403"/>
      <c r="AE852" s="403"/>
      <c r="AF852" s="403"/>
      <c r="AG852" s="403"/>
      <c r="AH852" s="403"/>
      <c r="AI852" s="403"/>
    </row>
    <row r="853" spans="24:35">
      <c r="X853" s="403"/>
      <c r="Y853" s="403"/>
      <c r="Z853" s="403"/>
      <c r="AA853" s="403"/>
      <c r="AB853" s="403"/>
      <c r="AC853" s="403"/>
      <c r="AD853" s="403"/>
      <c r="AE853" s="403"/>
      <c r="AF853" s="403"/>
      <c r="AG853" s="403"/>
      <c r="AH853" s="403"/>
      <c r="AI853" s="403"/>
    </row>
    <row r="854" spans="24:35">
      <c r="X854" s="403"/>
      <c r="Y854" s="403"/>
      <c r="Z854" s="403"/>
      <c r="AA854" s="403"/>
      <c r="AB854" s="403"/>
      <c r="AC854" s="403"/>
      <c r="AD854" s="403"/>
      <c r="AE854" s="403"/>
      <c r="AF854" s="403"/>
      <c r="AG854" s="403"/>
      <c r="AH854" s="403"/>
      <c r="AI854" s="403"/>
    </row>
    <row r="855" spans="24:35">
      <c r="X855" s="403"/>
      <c r="Y855" s="403"/>
      <c r="Z855" s="403"/>
      <c r="AA855" s="403"/>
      <c r="AB855" s="403"/>
      <c r="AC855" s="403"/>
      <c r="AD855" s="403"/>
      <c r="AE855" s="403"/>
      <c r="AF855" s="403"/>
      <c r="AG855" s="403"/>
      <c r="AH855" s="403"/>
      <c r="AI855" s="403"/>
    </row>
    <row r="856" spans="24:35">
      <c r="X856" s="403"/>
      <c r="Y856" s="403"/>
      <c r="Z856" s="403"/>
      <c r="AA856" s="403"/>
      <c r="AB856" s="403"/>
      <c r="AC856" s="403"/>
      <c r="AD856" s="403"/>
      <c r="AE856" s="403"/>
      <c r="AF856" s="403"/>
      <c r="AG856" s="403"/>
      <c r="AH856" s="403"/>
      <c r="AI856" s="403"/>
    </row>
    <row r="857" spans="24:35">
      <c r="X857" s="403"/>
      <c r="Y857" s="403"/>
      <c r="Z857" s="403"/>
      <c r="AA857" s="403"/>
      <c r="AB857" s="403"/>
      <c r="AC857" s="403"/>
      <c r="AD857" s="403"/>
      <c r="AE857" s="403"/>
      <c r="AF857" s="403"/>
      <c r="AG857" s="403"/>
      <c r="AH857" s="403"/>
      <c r="AI857" s="403"/>
    </row>
    <row r="858" spans="24:35">
      <c r="X858" s="403"/>
      <c r="Y858" s="403"/>
      <c r="Z858" s="403"/>
      <c r="AA858" s="403"/>
      <c r="AB858" s="403"/>
      <c r="AC858" s="403"/>
      <c r="AD858" s="403"/>
      <c r="AE858" s="403"/>
      <c r="AF858" s="403"/>
      <c r="AG858" s="403"/>
      <c r="AH858" s="403"/>
      <c r="AI858" s="403"/>
    </row>
    <row r="859" spans="24:35">
      <c r="X859" s="403"/>
      <c r="Y859" s="403"/>
      <c r="Z859" s="403"/>
      <c r="AA859" s="403"/>
      <c r="AB859" s="403"/>
      <c r="AC859" s="403"/>
      <c r="AD859" s="403"/>
      <c r="AE859" s="403"/>
      <c r="AF859" s="403"/>
      <c r="AG859" s="403"/>
      <c r="AH859" s="403"/>
      <c r="AI859" s="403"/>
    </row>
    <row r="860" spans="24:35">
      <c r="X860" s="403"/>
      <c r="Y860" s="403"/>
      <c r="Z860" s="403"/>
      <c r="AA860" s="403"/>
      <c r="AB860" s="403"/>
      <c r="AC860" s="403"/>
      <c r="AD860" s="403"/>
      <c r="AE860" s="403"/>
      <c r="AF860" s="403"/>
      <c r="AG860" s="403"/>
      <c r="AH860" s="403"/>
      <c r="AI860" s="403"/>
    </row>
    <row r="861" spans="24:35">
      <c r="X861" s="403"/>
      <c r="Y861" s="403"/>
      <c r="Z861" s="403"/>
      <c r="AA861" s="403"/>
      <c r="AB861" s="403"/>
      <c r="AC861" s="403"/>
      <c r="AD861" s="403"/>
      <c r="AE861" s="403"/>
      <c r="AF861" s="403"/>
      <c r="AG861" s="403"/>
      <c r="AH861" s="403"/>
      <c r="AI861" s="403"/>
    </row>
    <row r="862" spans="24:35">
      <c r="X862" s="403"/>
      <c r="Y862" s="403"/>
      <c r="Z862" s="403"/>
      <c r="AA862" s="403"/>
      <c r="AB862" s="403"/>
      <c r="AC862" s="403"/>
      <c r="AD862" s="403"/>
      <c r="AE862" s="403"/>
      <c r="AF862" s="403"/>
      <c r="AG862" s="403"/>
      <c r="AH862" s="403"/>
      <c r="AI862" s="403"/>
    </row>
    <row r="863" spans="24:35">
      <c r="X863" s="403"/>
      <c r="Y863" s="403"/>
      <c r="Z863" s="403"/>
      <c r="AA863" s="403"/>
      <c r="AB863" s="403"/>
      <c r="AC863" s="403"/>
      <c r="AD863" s="403"/>
      <c r="AE863" s="403"/>
      <c r="AF863" s="403"/>
      <c r="AG863" s="403"/>
      <c r="AH863" s="403"/>
      <c r="AI863" s="403"/>
    </row>
    <row r="864" spans="24:35">
      <c r="X864" s="403"/>
      <c r="Y864" s="403"/>
      <c r="Z864" s="403"/>
      <c r="AA864" s="403"/>
      <c r="AB864" s="403"/>
      <c r="AC864" s="403"/>
      <c r="AD864" s="403"/>
      <c r="AE864" s="403"/>
      <c r="AF864" s="403"/>
      <c r="AG864" s="403"/>
      <c r="AH864" s="403"/>
      <c r="AI864" s="403"/>
    </row>
    <row r="865" spans="24:35">
      <c r="X865" s="403"/>
      <c r="Y865" s="403"/>
      <c r="Z865" s="403"/>
      <c r="AA865" s="403"/>
      <c r="AB865" s="403"/>
      <c r="AC865" s="403"/>
      <c r="AD865" s="403"/>
      <c r="AE865" s="403"/>
      <c r="AF865" s="403"/>
      <c r="AG865" s="403"/>
      <c r="AH865" s="403"/>
      <c r="AI865" s="403"/>
    </row>
    <row r="866" spans="24:35">
      <c r="X866" s="403"/>
      <c r="Y866" s="403"/>
      <c r="Z866" s="403"/>
      <c r="AA866" s="403"/>
      <c r="AB866" s="403"/>
      <c r="AC866" s="403"/>
      <c r="AD866" s="403"/>
      <c r="AE866" s="403"/>
      <c r="AF866" s="403"/>
      <c r="AG866" s="403"/>
      <c r="AH866" s="403"/>
      <c r="AI866" s="403"/>
    </row>
    <row r="867" spans="24:35">
      <c r="X867" s="403"/>
      <c r="Y867" s="403"/>
      <c r="Z867" s="403"/>
      <c r="AA867" s="403"/>
      <c r="AB867" s="403"/>
      <c r="AC867" s="403"/>
      <c r="AD867" s="403"/>
      <c r="AE867" s="403"/>
      <c r="AF867" s="403"/>
      <c r="AG867" s="403"/>
      <c r="AH867" s="403"/>
      <c r="AI867" s="403"/>
    </row>
    <row r="868" spans="24:35">
      <c r="X868" s="403"/>
      <c r="Y868" s="403"/>
      <c r="Z868" s="403"/>
      <c r="AA868" s="403"/>
      <c r="AB868" s="403"/>
      <c r="AC868" s="403"/>
      <c r="AD868" s="403"/>
      <c r="AE868" s="403"/>
      <c r="AF868" s="403"/>
      <c r="AG868" s="403"/>
      <c r="AH868" s="403"/>
      <c r="AI868" s="403"/>
    </row>
  </sheetData>
  <mergeCells count="5">
    <mergeCell ref="B1:Z1"/>
    <mergeCell ref="B3:Z3"/>
    <mergeCell ref="B5:Z5"/>
    <mergeCell ref="B210:C210"/>
    <mergeCell ref="A17:A34"/>
  </mergeCells>
  <phoneticPr fontId="170" type="noConversion"/>
  <pageMargins left="0.2" right="0.2" top="0.51" bottom="0.5" header="0.28999999999999998" footer="0.5"/>
  <pageSetup scale="28" fitToHeight="7" orientation="landscape" horizontalDpi="300" verticalDpi="300" r:id="rId1"/>
  <headerFooter alignWithMargins="0"/>
  <rowBreaks count="1" manualBreakCount="1">
    <brk id="106" max="31"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codeName="Sheet23">
    <pageSetUpPr fitToPage="1"/>
  </sheetPr>
  <dimension ref="A1:AH99"/>
  <sheetViews>
    <sheetView zoomScale="70" zoomScaleNormal="70" workbookViewId="0">
      <pane ySplit="10" topLeftCell="A41" activePane="bottomLeft" state="frozen"/>
      <selection pane="bottomLeft" activeCell="AG69" sqref="AG69"/>
    </sheetView>
  </sheetViews>
  <sheetFormatPr defaultColWidth="9.88671875" defaultRowHeight="15.75"/>
  <cols>
    <col min="1" max="1" width="37.6640625" style="1" customWidth="1"/>
    <col min="2" max="2" width="2.44140625" style="1" customWidth="1"/>
    <col min="3" max="3" width="20.6640625" style="1" customWidth="1"/>
    <col min="4" max="4" width="2.21875" style="1" customWidth="1"/>
    <col min="5" max="11" width="10.21875" style="278" customWidth="1"/>
    <col min="12" max="12" width="2.21875" style="278" customWidth="1"/>
    <col min="13" max="13" width="6" style="1" hidden="1" customWidth="1"/>
    <col min="14" max="14" width="10.21875" style="1" hidden="1" customWidth="1"/>
    <col min="15" max="15" width="2.21875" style="278" hidden="1" customWidth="1"/>
    <col min="16" max="16" width="6.21875" style="1" hidden="1" customWidth="1"/>
    <col min="17" max="17" width="10.21875" style="1" hidden="1" customWidth="1"/>
    <col min="18" max="18" width="1.88671875" style="1" hidden="1" customWidth="1"/>
    <col min="19" max="19" width="5.88671875" style="1" hidden="1" customWidth="1"/>
    <col min="20" max="20" width="10.21875" style="1" hidden="1" customWidth="1"/>
    <col min="21" max="21" width="1.88671875" style="1" hidden="1" customWidth="1"/>
    <col min="22" max="22" width="6.109375" style="1" hidden="1" customWidth="1"/>
    <col min="23" max="23" width="10.21875" style="1" hidden="1" customWidth="1"/>
    <col min="24" max="24" width="1.88671875" style="1" hidden="1" customWidth="1"/>
    <col min="25" max="25" width="10.6640625" style="1" customWidth="1"/>
    <col min="26" max="26" width="15.6640625" style="1" customWidth="1"/>
    <col min="27" max="27" width="1.88671875" style="1" customWidth="1"/>
    <col min="28" max="29" width="12.6640625" style="1" customWidth="1"/>
    <col min="30" max="30" width="9.6640625" style="1" bestFit="1" customWidth="1"/>
    <col min="31" max="31" width="21.21875" style="1" bestFit="1" customWidth="1"/>
    <col min="32" max="16384" width="9.88671875" style="1"/>
  </cols>
  <sheetData>
    <row r="1" spans="1:31" ht="16.5">
      <c r="A1" s="856" t="s">
        <v>664</v>
      </c>
      <c r="B1" s="856"/>
      <c r="C1" s="856"/>
      <c r="D1" s="856"/>
      <c r="E1" s="856"/>
      <c r="F1" s="856"/>
      <c r="G1" s="856"/>
      <c r="H1" s="856"/>
      <c r="I1" s="856"/>
      <c r="J1" s="856"/>
      <c r="K1" s="856"/>
      <c r="L1" s="856"/>
      <c r="M1" s="856"/>
      <c r="N1" s="856"/>
      <c r="O1" s="856"/>
      <c r="P1" s="856"/>
      <c r="Q1" s="856"/>
      <c r="R1" s="856"/>
      <c r="S1" s="856"/>
      <c r="T1" s="856"/>
      <c r="U1" s="856"/>
      <c r="V1" s="856"/>
      <c r="W1" s="856"/>
      <c r="X1" s="856"/>
      <c r="Y1" s="856"/>
      <c r="Z1" s="856"/>
      <c r="AA1" s="856"/>
      <c r="AB1" s="856"/>
      <c r="AC1" s="856"/>
    </row>
    <row r="2" spans="1:31" ht="13.5" customHeight="1">
      <c r="A2" s="279"/>
      <c r="B2" s="280"/>
      <c r="C2" s="280"/>
      <c r="D2" s="280"/>
      <c r="E2" s="281"/>
      <c r="F2" s="281"/>
      <c r="G2" s="281"/>
      <c r="H2" s="281"/>
      <c r="I2" s="281"/>
      <c r="J2" s="281"/>
      <c r="K2" s="281"/>
      <c r="L2" s="281"/>
      <c r="M2" s="280"/>
      <c r="N2" s="280"/>
      <c r="O2" s="281"/>
      <c r="P2" s="280"/>
      <c r="Q2" s="280"/>
      <c r="R2" s="280"/>
      <c r="S2" s="280"/>
      <c r="T2" s="280"/>
      <c r="U2" s="280"/>
      <c r="V2" s="280"/>
      <c r="W2" s="280"/>
      <c r="X2" s="280"/>
    </row>
    <row r="3" spans="1:31" ht="16.5">
      <c r="A3" s="856" t="s">
        <v>211</v>
      </c>
      <c r="B3" s="856"/>
      <c r="C3" s="856"/>
      <c r="D3" s="856"/>
      <c r="E3" s="856"/>
      <c r="F3" s="856"/>
      <c r="G3" s="856"/>
      <c r="H3" s="856"/>
      <c r="I3" s="856"/>
      <c r="J3" s="856"/>
      <c r="K3" s="856"/>
      <c r="L3" s="856"/>
      <c r="M3" s="856"/>
      <c r="N3" s="856"/>
      <c r="O3" s="856"/>
      <c r="P3" s="856"/>
      <c r="Q3" s="856"/>
      <c r="R3" s="856"/>
      <c r="S3" s="856"/>
      <c r="T3" s="856"/>
      <c r="U3" s="856"/>
      <c r="V3" s="856"/>
      <c r="W3" s="856"/>
      <c r="X3" s="856"/>
      <c r="Y3" s="856"/>
      <c r="Z3" s="856"/>
      <c r="AA3" s="856"/>
      <c r="AB3" s="856"/>
      <c r="AC3" s="856"/>
    </row>
    <row r="4" spans="1:31">
      <c r="A4" s="857" t="str">
        <f>+'WP-1 - Summary Depr'!A5</f>
        <v>In Support of Tariff 7 effective April 1, 2023</v>
      </c>
      <c r="B4" s="857"/>
      <c r="C4" s="857"/>
      <c r="D4" s="857"/>
      <c r="E4" s="857"/>
      <c r="F4" s="857"/>
      <c r="G4" s="857"/>
      <c r="H4" s="857"/>
      <c r="I4" s="857"/>
      <c r="J4" s="857"/>
      <c r="K4" s="857"/>
      <c r="L4" s="857"/>
      <c r="M4" s="857"/>
      <c r="N4" s="857"/>
      <c r="O4" s="857"/>
      <c r="P4" s="857"/>
      <c r="Q4" s="857"/>
      <c r="R4" s="857"/>
      <c r="S4" s="857"/>
      <c r="T4" s="857"/>
      <c r="U4" s="857"/>
      <c r="V4" s="857"/>
      <c r="W4" s="857"/>
      <c r="X4" s="857"/>
      <c r="Y4" s="857"/>
      <c r="Z4" s="857"/>
      <c r="AA4" s="857"/>
      <c r="AB4" s="857"/>
      <c r="AC4" s="857"/>
    </row>
    <row r="5" spans="1:31">
      <c r="A5" s="297"/>
      <c r="B5" s="297"/>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row>
    <row r="6" spans="1:31">
      <c r="A6" s="289"/>
      <c r="B6" s="280"/>
    </row>
    <row r="7" spans="1:31">
      <c r="A7" s="289"/>
      <c r="B7" s="280"/>
      <c r="C7" s="859" t="s">
        <v>665</v>
      </c>
      <c r="D7" s="2"/>
      <c r="E7" s="282"/>
      <c r="F7" s="282"/>
      <c r="G7" s="282"/>
      <c r="H7" s="282"/>
      <c r="I7" s="282"/>
      <c r="J7" s="282"/>
      <c r="K7" s="282"/>
      <c r="L7" s="282"/>
      <c r="M7" s="829"/>
      <c r="N7" s="829"/>
      <c r="O7" s="829"/>
      <c r="P7" s="829"/>
      <c r="Q7" s="829"/>
      <c r="R7" s="829"/>
      <c r="S7" s="829"/>
      <c r="T7" s="829"/>
      <c r="U7" s="829"/>
      <c r="V7" s="829"/>
      <c r="W7" s="829"/>
      <c r="X7" s="2"/>
      <c r="AB7" s="2"/>
      <c r="AC7" s="298"/>
    </row>
    <row r="8" spans="1:31" ht="22.5">
      <c r="A8" s="619"/>
      <c r="B8" s="280"/>
      <c r="C8" s="859"/>
      <c r="D8" s="4"/>
      <c r="E8" s="283"/>
      <c r="F8" s="283"/>
      <c r="G8" s="283"/>
      <c r="H8" s="283"/>
      <c r="I8" s="283"/>
      <c r="J8" s="283"/>
      <c r="K8" s="284" t="s">
        <v>146</v>
      </c>
      <c r="L8" s="284"/>
      <c r="M8" s="860" t="s">
        <v>160</v>
      </c>
      <c r="N8" s="860"/>
      <c r="O8" s="284"/>
      <c r="P8" s="860" t="s">
        <v>159</v>
      </c>
      <c r="Q8" s="860"/>
      <c r="R8" s="4"/>
      <c r="S8" s="860" t="s">
        <v>160</v>
      </c>
      <c r="T8" s="860"/>
      <c r="U8" s="4"/>
      <c r="V8" s="860" t="s">
        <v>159</v>
      </c>
      <c r="W8" s="860"/>
      <c r="X8" s="4"/>
      <c r="Y8" s="3"/>
      <c r="Z8" s="3"/>
      <c r="AB8" s="2" t="s">
        <v>33</v>
      </c>
      <c r="AC8" s="2" t="s">
        <v>34</v>
      </c>
      <c r="AD8" s="1" t="s">
        <v>1045</v>
      </c>
      <c r="AE8" s="1" t="s">
        <v>1130</v>
      </c>
    </row>
    <row r="9" spans="1:31">
      <c r="B9" s="280"/>
      <c r="C9" s="284" t="s">
        <v>121</v>
      </c>
      <c r="D9" s="284"/>
      <c r="E9" s="284" t="s">
        <v>116</v>
      </c>
      <c r="F9" s="284" t="s">
        <v>122</v>
      </c>
      <c r="G9" s="284" t="s">
        <v>663</v>
      </c>
      <c r="H9" s="284" t="s">
        <v>218</v>
      </c>
      <c r="I9" s="284" t="s">
        <v>124</v>
      </c>
      <c r="J9" s="284" t="s">
        <v>123</v>
      </c>
      <c r="K9" s="284" t="s">
        <v>0</v>
      </c>
      <c r="L9" s="284"/>
      <c r="M9" s="858" t="s">
        <v>223</v>
      </c>
      <c r="N9" s="858"/>
      <c r="O9" s="284"/>
      <c r="P9" s="858" t="s">
        <v>223</v>
      </c>
      <c r="Q9" s="858"/>
      <c r="R9" s="284"/>
      <c r="S9" s="858" t="s">
        <v>224</v>
      </c>
      <c r="T9" s="858"/>
      <c r="U9" s="284"/>
      <c r="V9" s="858" t="s">
        <v>224</v>
      </c>
      <c r="W9" s="858"/>
      <c r="X9" s="284"/>
      <c r="Y9" s="829" t="s">
        <v>0</v>
      </c>
      <c r="Z9" s="829"/>
    </row>
    <row r="10" spans="1:31">
      <c r="A10" s="285" t="s">
        <v>1</v>
      </c>
      <c r="B10" s="299"/>
      <c r="C10" s="285" t="s">
        <v>132</v>
      </c>
      <c r="D10" s="285"/>
      <c r="E10" s="286" t="s">
        <v>2</v>
      </c>
      <c r="F10" s="286" t="s">
        <v>2</v>
      </c>
      <c r="G10" s="286" t="s">
        <v>2</v>
      </c>
      <c r="H10" s="286" t="s">
        <v>2</v>
      </c>
      <c r="I10" s="286" t="s">
        <v>2</v>
      </c>
      <c r="J10" s="286" t="s">
        <v>2</v>
      </c>
      <c r="K10" s="286" t="s">
        <v>2</v>
      </c>
      <c r="L10" s="284"/>
      <c r="M10" s="285" t="s">
        <v>2</v>
      </c>
      <c r="N10" s="285" t="s">
        <v>3</v>
      </c>
      <c r="O10" s="284"/>
      <c r="P10" s="285" t="s">
        <v>2</v>
      </c>
      <c r="Q10" s="285" t="s">
        <v>3</v>
      </c>
      <c r="R10" s="4"/>
      <c r="S10" s="285" t="s">
        <v>2</v>
      </c>
      <c r="T10" s="285" t="s">
        <v>3</v>
      </c>
      <c r="U10" s="4"/>
      <c r="V10" s="285" t="s">
        <v>2</v>
      </c>
      <c r="W10" s="285" t="s">
        <v>3</v>
      </c>
      <c r="X10" s="4"/>
      <c r="Y10" s="285" t="s">
        <v>2</v>
      </c>
      <c r="Z10" s="285" t="s">
        <v>3</v>
      </c>
    </row>
    <row r="11" spans="1:31">
      <c r="A11" s="276" t="s">
        <v>625</v>
      </c>
      <c r="C11" s="277">
        <v>145800.20000000001</v>
      </c>
      <c r="D11" s="277"/>
      <c r="E11" s="278">
        <f>1760+232</f>
        <v>1992</v>
      </c>
      <c r="F11" s="278">
        <v>0</v>
      </c>
      <c r="G11" s="278">
        <v>0</v>
      </c>
      <c r="H11" s="278">
        <v>80</v>
      </c>
      <c r="I11" s="278">
        <v>8</v>
      </c>
      <c r="J11" s="278">
        <v>0</v>
      </c>
      <c r="K11" s="278">
        <f>SUM(E11:J11)</f>
        <v>2080</v>
      </c>
      <c r="M11" s="277"/>
      <c r="N11" s="277"/>
      <c r="P11" s="277"/>
      <c r="Q11" s="277"/>
      <c r="R11" s="277"/>
      <c r="S11" s="277"/>
      <c r="T11" s="277"/>
      <c r="U11" s="277"/>
      <c r="V11" s="277"/>
      <c r="W11" s="277"/>
      <c r="X11" s="277"/>
      <c r="Y11" s="277">
        <f>K11+M11+P11+S11+V11</f>
        <v>2080</v>
      </c>
      <c r="Z11" s="277">
        <f>+C11+N11+Q11+T11+W11</f>
        <v>145800.20000000001</v>
      </c>
      <c r="AA11" s="277"/>
      <c r="AB11" s="277">
        <v>145800.20000000001</v>
      </c>
      <c r="AC11" s="277"/>
      <c r="AD11" s="277"/>
      <c r="AE11" s="277"/>
    </row>
    <row r="12" spans="1:31">
      <c r="A12" s="287" t="s">
        <v>359</v>
      </c>
      <c r="C12" s="291">
        <f>SUM(C11:C11)</f>
        <v>145800.20000000001</v>
      </c>
      <c r="D12" s="277"/>
      <c r="E12" s="292">
        <f t="shared" ref="E12:K12" si="0">SUM(E11:E11)</f>
        <v>1992</v>
      </c>
      <c r="F12" s="292">
        <f t="shared" si="0"/>
        <v>0</v>
      </c>
      <c r="G12" s="292">
        <f t="shared" si="0"/>
        <v>0</v>
      </c>
      <c r="H12" s="292">
        <f t="shared" si="0"/>
        <v>80</v>
      </c>
      <c r="I12" s="292">
        <f t="shared" si="0"/>
        <v>8</v>
      </c>
      <c r="J12" s="292">
        <f t="shared" si="0"/>
        <v>0</v>
      </c>
      <c r="K12" s="292">
        <f t="shared" si="0"/>
        <v>2080</v>
      </c>
      <c r="M12" s="291">
        <f>SUM(M11:M11)</f>
        <v>0</v>
      </c>
      <c r="N12" s="291">
        <f>SUM(N11:N11)</f>
        <v>0</v>
      </c>
      <c r="P12" s="291">
        <f>SUM(P11:P11)</f>
        <v>0</v>
      </c>
      <c r="Q12" s="291">
        <f>SUM(Q11:Q11)</f>
        <v>0</v>
      </c>
      <c r="R12" s="277"/>
      <c r="S12" s="291">
        <f>SUM(S11:S11)</f>
        <v>0</v>
      </c>
      <c r="T12" s="291">
        <f>SUM(T11:T11)</f>
        <v>0</v>
      </c>
      <c r="U12" s="277"/>
      <c r="V12" s="291">
        <f>SUM(V11:V11)</f>
        <v>0</v>
      </c>
      <c r="W12" s="291">
        <f>SUM(W11:W11)</f>
        <v>0</v>
      </c>
      <c r="X12" s="277"/>
      <c r="Y12" s="291">
        <f>SUM(Y11:Y11)</f>
        <v>2080</v>
      </c>
      <c r="Z12" s="291">
        <f>SUM(Z11:Z11)</f>
        <v>145800.20000000001</v>
      </c>
      <c r="AA12" s="277"/>
      <c r="AB12" s="277"/>
      <c r="AC12" s="277">
        <f>+Z12</f>
        <v>145800.20000000001</v>
      </c>
      <c r="AD12" s="1">
        <f>+AC12*'WP -11 Non-Regulated'!$K$29</f>
        <v>68547.634318368029</v>
      </c>
      <c r="AE12" s="1" t="s">
        <v>1131</v>
      </c>
    </row>
    <row r="13" spans="1:31">
      <c r="C13" s="277"/>
      <c r="D13" s="277"/>
      <c r="M13" s="277"/>
      <c r="N13" s="277"/>
      <c r="P13" s="277"/>
      <c r="Q13" s="277"/>
      <c r="R13" s="277"/>
      <c r="S13" s="277"/>
      <c r="T13" s="277"/>
      <c r="U13" s="277"/>
      <c r="V13" s="277"/>
      <c r="W13" s="277"/>
      <c r="X13" s="277"/>
      <c r="Y13" s="277"/>
      <c r="Z13" s="288"/>
      <c r="AA13" s="300"/>
      <c r="AB13" s="300"/>
      <c r="AC13" s="300"/>
    </row>
    <row r="14" spans="1:31">
      <c r="A14" s="276" t="s">
        <v>623</v>
      </c>
      <c r="C14" s="277">
        <v>89469.77</v>
      </c>
      <c r="D14" s="277"/>
      <c r="E14" s="278">
        <v>1936.41</v>
      </c>
      <c r="F14" s="278">
        <v>97.52</v>
      </c>
      <c r="G14" s="278">
        <v>0</v>
      </c>
      <c r="H14" s="278">
        <v>110.83</v>
      </c>
      <c r="I14" s="278">
        <v>48</v>
      </c>
      <c r="J14" s="278">
        <v>0</v>
      </c>
      <c r="K14" s="278">
        <f>SUM(E14:J14)</f>
        <v>2192.7600000000002</v>
      </c>
      <c r="M14" s="277"/>
      <c r="N14" s="277"/>
      <c r="P14" s="277"/>
      <c r="Q14" s="277"/>
      <c r="R14" s="277"/>
      <c r="S14" s="277"/>
      <c r="T14" s="277"/>
      <c r="U14" s="277"/>
      <c r="V14" s="277"/>
      <c r="W14" s="277"/>
      <c r="X14" s="277"/>
      <c r="Y14" s="277">
        <f t="shared" ref="Y14:Y26" si="1">K14+M14+P14+S14+V14</f>
        <v>2192.7600000000002</v>
      </c>
      <c r="Z14" s="277">
        <f t="shared" ref="Z14:Z20" si="2">+C14+N14+Q14+T14+W14</f>
        <v>89469.77</v>
      </c>
      <c r="AA14" s="277"/>
      <c r="AB14" s="277">
        <v>89469.77</v>
      </c>
      <c r="AC14" s="277"/>
      <c r="AD14" s="277"/>
      <c r="AE14" s="277"/>
    </row>
    <row r="15" spans="1:31">
      <c r="A15" s="276" t="s">
        <v>624</v>
      </c>
      <c r="C15" s="277">
        <v>42915.37</v>
      </c>
      <c r="D15" s="277"/>
      <c r="E15" s="278">
        <f>1408+448</f>
        <v>1856</v>
      </c>
      <c r="F15" s="278">
        <v>0</v>
      </c>
      <c r="G15" s="278">
        <v>0</v>
      </c>
      <c r="H15" s="278">
        <v>64</v>
      </c>
      <c r="I15" s="278">
        <v>16</v>
      </c>
      <c r="J15" s="278">
        <v>0</v>
      </c>
      <c r="K15" s="278">
        <f t="shared" ref="K15:K20" si="3">SUM(E15:J15)</f>
        <v>1936</v>
      </c>
      <c r="M15" s="277"/>
      <c r="N15" s="277"/>
      <c r="P15" s="277"/>
      <c r="Q15" s="277"/>
      <c r="R15" s="277"/>
      <c r="S15" s="277"/>
      <c r="T15" s="277"/>
      <c r="U15" s="277"/>
      <c r="V15" s="277"/>
      <c r="W15" s="277"/>
      <c r="X15" s="277"/>
      <c r="Y15" s="277">
        <f t="shared" si="1"/>
        <v>1936</v>
      </c>
      <c r="Z15" s="277">
        <f t="shared" si="2"/>
        <v>42915.37</v>
      </c>
      <c r="AA15" s="277"/>
      <c r="AB15" s="277">
        <v>42915.37</v>
      </c>
      <c r="AC15" s="277"/>
      <c r="AD15" s="277"/>
      <c r="AE15" s="277"/>
    </row>
    <row r="16" spans="1:31">
      <c r="A16" s="276" t="s">
        <v>627</v>
      </c>
      <c r="C16" s="277">
        <v>59782.58</v>
      </c>
      <c r="D16" s="277"/>
      <c r="E16" s="278">
        <v>1942.75</v>
      </c>
      <c r="F16" s="278">
        <v>81.739999999999995</v>
      </c>
      <c r="G16" s="278">
        <v>0</v>
      </c>
      <c r="H16" s="278">
        <v>96.8</v>
      </c>
      <c r="I16" s="278">
        <v>48</v>
      </c>
      <c r="J16" s="278">
        <v>0</v>
      </c>
      <c r="K16" s="278">
        <f t="shared" si="3"/>
        <v>2169.29</v>
      </c>
      <c r="M16" s="277"/>
      <c r="N16" s="277"/>
      <c r="P16" s="277"/>
      <c r="Q16" s="277"/>
      <c r="R16" s="277"/>
      <c r="S16" s="277"/>
      <c r="T16" s="277"/>
      <c r="U16" s="277"/>
      <c r="V16" s="277"/>
      <c r="W16" s="277"/>
      <c r="X16" s="277"/>
      <c r="Y16" s="277">
        <f t="shared" si="1"/>
        <v>2169.29</v>
      </c>
      <c r="Z16" s="277">
        <f t="shared" si="2"/>
        <v>59782.58</v>
      </c>
      <c r="AA16" s="277"/>
      <c r="AB16" s="277">
        <v>59782.58</v>
      </c>
      <c r="AC16" s="277"/>
      <c r="AD16" s="277"/>
      <c r="AE16" s="277"/>
    </row>
    <row r="17" spans="1:34">
      <c r="A17" s="276" t="s">
        <v>654</v>
      </c>
      <c r="C17" s="277">
        <v>36285.61</v>
      </c>
      <c r="D17" s="277"/>
      <c r="E17" s="278">
        <f>80+1785.63</f>
        <v>1865.63</v>
      </c>
      <c r="F17" s="278">
        <v>57.93</v>
      </c>
      <c r="G17" s="278">
        <v>0</v>
      </c>
      <c r="H17" s="278">
        <v>116.71</v>
      </c>
      <c r="I17" s="278">
        <v>48</v>
      </c>
      <c r="J17" s="278">
        <v>16</v>
      </c>
      <c r="K17" s="278">
        <f t="shared" si="3"/>
        <v>2104.2700000000004</v>
      </c>
      <c r="M17" s="277"/>
      <c r="N17" s="277"/>
      <c r="P17" s="277"/>
      <c r="Q17" s="277"/>
      <c r="R17" s="277"/>
      <c r="S17" s="277"/>
      <c r="T17" s="277"/>
      <c r="U17" s="277"/>
      <c r="V17" s="277"/>
      <c r="W17" s="277"/>
      <c r="X17" s="277"/>
      <c r="Y17" s="277">
        <f t="shared" si="1"/>
        <v>2104.2700000000004</v>
      </c>
      <c r="Z17" s="277">
        <f t="shared" si="2"/>
        <v>36285.61</v>
      </c>
      <c r="AA17" s="277"/>
      <c r="AB17" s="277">
        <v>36285.61</v>
      </c>
      <c r="AC17" s="277"/>
      <c r="AD17" s="277"/>
      <c r="AE17" s="277"/>
    </row>
    <row r="18" spans="1:34">
      <c r="A18" s="276" t="s">
        <v>656</v>
      </c>
      <c r="C18" s="277">
        <v>76249.399999999994</v>
      </c>
      <c r="D18" s="277"/>
      <c r="E18" s="278">
        <v>1843.52</v>
      </c>
      <c r="F18" s="278">
        <v>3.51</v>
      </c>
      <c r="G18" s="278">
        <v>0</v>
      </c>
      <c r="H18" s="278">
        <v>188.6</v>
      </c>
      <c r="I18" s="278">
        <v>48</v>
      </c>
      <c r="J18" s="278">
        <v>0</v>
      </c>
      <c r="K18" s="278">
        <f t="shared" si="3"/>
        <v>2083.63</v>
      </c>
      <c r="M18" s="277"/>
      <c r="N18" s="277"/>
      <c r="P18" s="277"/>
      <c r="Q18" s="277"/>
      <c r="R18" s="277"/>
      <c r="S18" s="277"/>
      <c r="T18" s="277"/>
      <c r="U18" s="277"/>
      <c r="V18" s="277"/>
      <c r="W18" s="277"/>
      <c r="X18" s="277"/>
      <c r="Y18" s="277">
        <f>K18+M18+P18+S18+V18</f>
        <v>2083.63</v>
      </c>
      <c r="Z18" s="277">
        <f t="shared" si="2"/>
        <v>76249.399999999994</v>
      </c>
      <c r="AA18" s="277"/>
      <c r="AB18" s="277">
        <v>76249.399999999994</v>
      </c>
      <c r="AC18" s="277"/>
      <c r="AD18" s="277"/>
      <c r="AE18" s="277"/>
    </row>
    <row r="19" spans="1:34">
      <c r="A19" s="276" t="s">
        <v>657</v>
      </c>
      <c r="C19" s="277">
        <v>138701.68</v>
      </c>
      <c r="D19" s="277"/>
      <c r="E19" s="278">
        <v>1910.51</v>
      </c>
      <c r="F19" s="278">
        <v>47.14</v>
      </c>
      <c r="G19" s="278">
        <v>2</v>
      </c>
      <c r="H19" s="278">
        <v>128.86000000000001</v>
      </c>
      <c r="I19" s="278">
        <v>46</v>
      </c>
      <c r="J19" s="278">
        <v>0</v>
      </c>
      <c r="K19" s="278">
        <f t="shared" si="3"/>
        <v>2134.5100000000002</v>
      </c>
      <c r="M19" s="277"/>
      <c r="N19" s="277"/>
      <c r="P19" s="277"/>
      <c r="Q19" s="277"/>
      <c r="R19" s="277"/>
      <c r="S19" s="277"/>
      <c r="T19" s="277"/>
      <c r="U19" s="277"/>
      <c r="V19" s="277"/>
      <c r="W19" s="277"/>
      <c r="X19" s="277"/>
      <c r="Y19" s="277">
        <f>K19+M19+P19+S19+V19</f>
        <v>2134.5100000000002</v>
      </c>
      <c r="Z19" s="277">
        <f t="shared" si="2"/>
        <v>138701.68</v>
      </c>
      <c r="AA19" s="277"/>
      <c r="AB19" s="277">
        <v>138701.68</v>
      </c>
      <c r="AC19" s="277"/>
      <c r="AD19" s="277"/>
      <c r="AE19" s="277"/>
    </row>
    <row r="20" spans="1:34">
      <c r="A20" s="276" t="s">
        <v>661</v>
      </c>
      <c r="C20" s="294">
        <v>55726.44</v>
      </c>
      <c r="D20" s="277"/>
      <c r="E20" s="295">
        <v>1938.15</v>
      </c>
      <c r="F20" s="295">
        <v>29.7</v>
      </c>
      <c r="G20" s="295">
        <v>0</v>
      </c>
      <c r="H20" s="295">
        <v>96.29</v>
      </c>
      <c r="I20" s="295">
        <v>48</v>
      </c>
      <c r="J20" s="295">
        <v>0</v>
      </c>
      <c r="K20" s="295">
        <f t="shared" si="3"/>
        <v>2112.1400000000003</v>
      </c>
      <c r="M20" s="277"/>
      <c r="N20" s="277"/>
      <c r="P20" s="277"/>
      <c r="Q20" s="277"/>
      <c r="R20" s="277"/>
      <c r="S20" s="277"/>
      <c r="T20" s="277"/>
      <c r="U20" s="277"/>
      <c r="V20" s="277"/>
      <c r="W20" s="277"/>
      <c r="X20" s="277"/>
      <c r="Y20" s="294">
        <f t="shared" si="1"/>
        <v>2112.1400000000003</v>
      </c>
      <c r="Z20" s="294">
        <f t="shared" si="2"/>
        <v>55726.44</v>
      </c>
      <c r="AA20" s="277"/>
      <c r="AB20" s="277">
        <v>55726.44</v>
      </c>
      <c r="AC20" s="277"/>
      <c r="AD20" s="277"/>
      <c r="AE20" s="277"/>
    </row>
    <row r="21" spans="1:34">
      <c r="A21" s="287" t="s">
        <v>358</v>
      </c>
      <c r="C21" s="293">
        <f>SUM(C14:C20)</f>
        <v>499130.85</v>
      </c>
      <c r="D21" s="277"/>
      <c r="E21" s="293">
        <f>SUM(E14:E20)</f>
        <v>13292.97</v>
      </c>
      <c r="F21" s="293">
        <f t="shared" ref="F21:J21" si="4">SUM(F14:F20)</f>
        <v>317.53999999999996</v>
      </c>
      <c r="G21" s="293">
        <f t="shared" si="4"/>
        <v>2</v>
      </c>
      <c r="H21" s="293">
        <f t="shared" si="4"/>
        <v>802.08999999999992</v>
      </c>
      <c r="I21" s="293">
        <f t="shared" si="4"/>
        <v>302</v>
      </c>
      <c r="J21" s="293">
        <f t="shared" si="4"/>
        <v>16</v>
      </c>
      <c r="K21" s="293">
        <f>SUM(K14:K20)</f>
        <v>14732.600000000002</v>
      </c>
      <c r="M21" s="293" t="e">
        <f>SUM(#REF!)</f>
        <v>#REF!</v>
      </c>
      <c r="N21" s="293" t="e">
        <f>SUM(#REF!)</f>
        <v>#REF!</v>
      </c>
      <c r="P21" s="293" t="e">
        <f>SUM(#REF!)</f>
        <v>#REF!</v>
      </c>
      <c r="Q21" s="293" t="e">
        <f>SUM(#REF!)</f>
        <v>#REF!</v>
      </c>
      <c r="R21" s="277"/>
      <c r="S21" s="293" t="e">
        <f>SUM(#REF!)</f>
        <v>#REF!</v>
      </c>
      <c r="T21" s="293" t="e">
        <f>SUM(#REF!)</f>
        <v>#REF!</v>
      </c>
      <c r="U21" s="277"/>
      <c r="V21" s="293" t="e">
        <f>SUM(#REF!)</f>
        <v>#REF!</v>
      </c>
      <c r="W21" s="293" t="e">
        <f>SUM(#REF!)</f>
        <v>#REF!</v>
      </c>
      <c r="X21" s="277"/>
      <c r="Y21" s="293">
        <f>SUM(Y14:Y20)</f>
        <v>14732.600000000002</v>
      </c>
      <c r="Z21" s="293">
        <f>SUM(Z14:Z20)</f>
        <v>499130.85</v>
      </c>
      <c r="AA21" s="277"/>
      <c r="AB21" s="277"/>
      <c r="AC21" s="277">
        <f>+Z21</f>
        <v>499130.85</v>
      </c>
      <c r="AD21" s="1">
        <f>+AC21*0.8</f>
        <v>399304.68</v>
      </c>
      <c r="AE21" s="1" t="s">
        <v>1133</v>
      </c>
    </row>
    <row r="22" spans="1:34">
      <c r="A22" s="276"/>
      <c r="C22" s="277"/>
      <c r="D22" s="277"/>
      <c r="M22" s="277"/>
      <c r="N22" s="277"/>
      <c r="P22" s="277"/>
      <c r="Q22" s="277"/>
      <c r="R22" s="277"/>
      <c r="S22" s="277"/>
      <c r="T22" s="277"/>
      <c r="U22" s="277"/>
      <c r="V22" s="277"/>
      <c r="W22" s="277"/>
      <c r="X22" s="277"/>
      <c r="Y22" s="277"/>
      <c r="Z22" s="277"/>
      <c r="AA22" s="277"/>
      <c r="AB22" s="277"/>
      <c r="AC22" s="277"/>
      <c r="AD22" s="277"/>
      <c r="AE22" s="277"/>
    </row>
    <row r="23" spans="1:34">
      <c r="A23" s="603"/>
      <c r="C23" s="277"/>
      <c r="D23" s="277"/>
      <c r="M23" s="277"/>
      <c r="N23" s="277"/>
      <c r="P23" s="277"/>
      <c r="Q23" s="277"/>
      <c r="R23" s="277"/>
      <c r="S23" s="277"/>
      <c r="T23" s="277"/>
      <c r="U23" s="277"/>
      <c r="V23" s="277"/>
      <c r="W23" s="277"/>
      <c r="X23" s="277"/>
      <c r="Y23" s="277"/>
      <c r="Z23" s="277"/>
      <c r="AA23" s="277"/>
      <c r="AB23" s="277"/>
      <c r="AC23" s="277"/>
      <c r="AD23" s="277"/>
      <c r="AE23" s="277"/>
    </row>
    <row r="24" spans="1:34">
      <c r="A24" s="276" t="s">
        <v>645</v>
      </c>
      <c r="C24" s="277">
        <v>39382.67</v>
      </c>
      <c r="D24" s="277"/>
      <c r="E24" s="278">
        <v>1819.32</v>
      </c>
      <c r="F24" s="278">
        <f>32.61+1.72</f>
        <v>34.33</v>
      </c>
      <c r="G24" s="278">
        <v>0</v>
      </c>
      <c r="H24" s="278">
        <v>144.66</v>
      </c>
      <c r="I24" s="278">
        <v>46.28</v>
      </c>
      <c r="J24" s="278">
        <v>58.3</v>
      </c>
      <c r="K24" s="278">
        <f>SUM(E24:J24)</f>
        <v>2102.89</v>
      </c>
      <c r="M24" s="277"/>
      <c r="N24" s="277"/>
      <c r="P24" s="277"/>
      <c r="Q24" s="277"/>
      <c r="R24" s="277"/>
      <c r="S24" s="277"/>
      <c r="T24" s="277"/>
      <c r="U24" s="277"/>
      <c r="V24" s="277"/>
      <c r="W24" s="277"/>
      <c r="X24" s="277"/>
      <c r="Y24" s="277">
        <f t="shared" si="1"/>
        <v>2102.89</v>
      </c>
      <c r="Z24" s="277">
        <f>+C24+N24+Q24+T24+W24</f>
        <v>39382.67</v>
      </c>
      <c r="AA24" s="277"/>
      <c r="AB24" s="277">
        <v>39382.67</v>
      </c>
      <c r="AC24" s="277"/>
      <c r="AD24" s="277"/>
      <c r="AE24" s="277"/>
      <c r="AF24" s="301"/>
      <c r="AG24" s="301"/>
      <c r="AH24" s="302"/>
    </row>
    <row r="25" spans="1:34">
      <c r="A25" s="276" t="s">
        <v>647</v>
      </c>
      <c r="C25" s="277">
        <v>54765</v>
      </c>
      <c r="D25" s="277"/>
      <c r="E25" s="278">
        <v>1825.76</v>
      </c>
      <c r="F25" s="278">
        <v>77.040000000000006</v>
      </c>
      <c r="G25" s="278">
        <v>6.6</v>
      </c>
      <c r="H25" s="278">
        <v>153.41</v>
      </c>
      <c r="I25" s="278">
        <v>41.4</v>
      </c>
      <c r="J25" s="278">
        <v>56</v>
      </c>
      <c r="K25" s="278">
        <f>SUM(E25:J25)</f>
        <v>2160.21</v>
      </c>
      <c r="M25" s="277"/>
      <c r="N25" s="277"/>
      <c r="P25" s="277"/>
      <c r="Q25" s="277"/>
      <c r="R25" s="277"/>
      <c r="S25" s="277"/>
      <c r="T25" s="277"/>
      <c r="U25" s="277"/>
      <c r="V25" s="277"/>
      <c r="W25" s="277"/>
      <c r="X25" s="277"/>
      <c r="Y25" s="277">
        <f t="shared" si="1"/>
        <v>2160.21</v>
      </c>
      <c r="Z25" s="277">
        <f>+C25+N25+Q25+T25+W25</f>
        <v>54765</v>
      </c>
      <c r="AA25" s="277"/>
      <c r="AB25" s="277">
        <v>54765</v>
      </c>
      <c r="AC25" s="277"/>
      <c r="AD25" s="277"/>
      <c r="AE25" s="277"/>
      <c r="AF25" s="303"/>
    </row>
    <row r="26" spans="1:34">
      <c r="A26" s="276" t="s">
        <v>651</v>
      </c>
      <c r="C26" s="294">
        <v>53921.24</v>
      </c>
      <c r="D26" s="277"/>
      <c r="E26" s="295">
        <v>1880.51</v>
      </c>
      <c r="F26" s="295">
        <v>101.46</v>
      </c>
      <c r="G26" s="295">
        <v>0</v>
      </c>
      <c r="H26" s="295">
        <v>161.6</v>
      </c>
      <c r="I26" s="295">
        <v>48</v>
      </c>
      <c r="J26" s="295">
        <v>0</v>
      </c>
      <c r="K26" s="295">
        <f>SUM(E26:J26)</f>
        <v>2191.5700000000002</v>
      </c>
      <c r="M26" s="277"/>
      <c r="N26" s="277"/>
      <c r="P26" s="277"/>
      <c r="Q26" s="277"/>
      <c r="R26" s="277"/>
      <c r="S26" s="277"/>
      <c r="T26" s="277"/>
      <c r="U26" s="277"/>
      <c r="V26" s="277"/>
      <c r="W26" s="277"/>
      <c r="X26" s="277"/>
      <c r="Y26" s="294">
        <f t="shared" si="1"/>
        <v>2191.5700000000002</v>
      </c>
      <c r="Z26" s="294">
        <f>+C26+N26+Q26+T26+W26</f>
        <v>53921.24</v>
      </c>
      <c r="AA26" s="277"/>
      <c r="AB26" s="277">
        <v>53921.24</v>
      </c>
      <c r="AC26" s="277"/>
      <c r="AD26" s="277"/>
      <c r="AE26" s="277"/>
    </row>
    <row r="27" spans="1:34">
      <c r="A27" s="287" t="s">
        <v>1134</v>
      </c>
      <c r="C27" s="766">
        <f>SUM(C24:C26)</f>
        <v>148068.91</v>
      </c>
      <c r="E27" s="766">
        <f>SUM(E24:E26)</f>
        <v>5525.59</v>
      </c>
      <c r="F27" s="766">
        <f t="shared" ref="F27:K27" si="5">SUM(F24:F26)</f>
        <v>212.82999999999998</v>
      </c>
      <c r="G27" s="766">
        <f t="shared" si="5"/>
        <v>6.6</v>
      </c>
      <c r="H27" s="766">
        <f t="shared" si="5"/>
        <v>459.66999999999996</v>
      </c>
      <c r="I27" s="766">
        <f t="shared" si="5"/>
        <v>135.68</v>
      </c>
      <c r="J27" s="766">
        <f t="shared" si="5"/>
        <v>114.3</v>
      </c>
      <c r="K27" s="766">
        <f t="shared" si="5"/>
        <v>6454.67</v>
      </c>
      <c r="Y27" s="766">
        <f t="shared" ref="Y27:Z27" si="6">SUM(Y24:Y26)</f>
        <v>6454.67</v>
      </c>
      <c r="Z27" s="766">
        <f t="shared" si="6"/>
        <v>148068.91</v>
      </c>
      <c r="AC27" s="1">
        <f>+Z27</f>
        <v>148068.91</v>
      </c>
      <c r="AD27" s="1">
        <f>+AC27*'WP -11 Non-Regulated'!K29</f>
        <v>69614.263194421859</v>
      </c>
      <c r="AE27" s="1" t="s">
        <v>1131</v>
      </c>
    </row>
    <row r="29" spans="1:34">
      <c r="A29" s="276" t="s">
        <v>616</v>
      </c>
      <c r="C29" s="277">
        <v>60656.47</v>
      </c>
      <c r="D29" s="277"/>
      <c r="E29" s="278">
        <f>2047.39</f>
        <v>2047.39</v>
      </c>
      <c r="F29" s="278">
        <f>168.26+6.22</f>
        <v>174.48</v>
      </c>
      <c r="G29" s="278">
        <f>15.68+8.03</f>
        <v>23.71</v>
      </c>
      <c r="H29" s="278">
        <v>0</v>
      </c>
      <c r="I29" s="278">
        <v>17.78</v>
      </c>
      <c r="J29" s="278">
        <v>0</v>
      </c>
      <c r="K29" s="278">
        <f>SUM(E29:J29)</f>
        <v>2263.36</v>
      </c>
      <c r="M29" s="277"/>
      <c r="N29" s="277"/>
      <c r="P29" s="277"/>
      <c r="Q29" s="277"/>
      <c r="R29" s="277"/>
      <c r="S29" s="277"/>
      <c r="T29" s="277"/>
      <c r="U29" s="277"/>
      <c r="V29" s="277"/>
      <c r="W29" s="277"/>
      <c r="X29" s="277"/>
      <c r="Y29" s="277">
        <f>K29+M29+P29+S29+V29</f>
        <v>2263.36</v>
      </c>
      <c r="Z29" s="277">
        <f>+C29+N29+Q29+T29+W29</f>
        <v>60656.47</v>
      </c>
      <c r="AA29" s="277"/>
      <c r="AB29" s="277">
        <v>60656.47</v>
      </c>
      <c r="AC29" s="277"/>
      <c r="AD29" s="277"/>
      <c r="AE29" s="277"/>
    </row>
    <row r="30" spans="1:34">
      <c r="A30" s="276" t="s">
        <v>621</v>
      </c>
      <c r="C30" s="277">
        <v>56200.19</v>
      </c>
      <c r="D30" s="277"/>
      <c r="E30" s="278">
        <f>1883.67</f>
        <v>1883.67</v>
      </c>
      <c r="F30" s="278">
        <f>129.84+7.3</f>
        <v>137.14000000000001</v>
      </c>
      <c r="G30" s="278">
        <f>8.37+8.03</f>
        <v>16.399999999999999</v>
      </c>
      <c r="H30" s="278">
        <v>169.57</v>
      </c>
      <c r="I30" s="278">
        <v>24.7</v>
      </c>
      <c r="J30" s="278">
        <v>0</v>
      </c>
      <c r="K30" s="278">
        <f t="shared" ref="K30:K52" si="7">SUM(E30:J30)</f>
        <v>2231.48</v>
      </c>
      <c r="M30" s="277"/>
      <c r="N30" s="277"/>
      <c r="P30" s="277"/>
      <c r="Q30" s="277"/>
      <c r="R30" s="277"/>
      <c r="S30" s="277"/>
      <c r="T30" s="277"/>
      <c r="U30" s="277"/>
      <c r="V30" s="277"/>
      <c r="W30" s="277"/>
      <c r="X30" s="277"/>
      <c r="Y30" s="277">
        <f t="shared" ref="Y30:Y52" si="8">K30+M30+P30+S30+V30</f>
        <v>2231.48</v>
      </c>
      <c r="Z30" s="277">
        <f t="shared" ref="Z30:Z52" si="9">+C30+N30+Q30+T30+W30</f>
        <v>56200.19</v>
      </c>
      <c r="AA30" s="277"/>
      <c r="AB30" s="277">
        <v>56200.19</v>
      </c>
      <c r="AC30" s="277"/>
      <c r="AD30" s="277"/>
      <c r="AE30" s="277"/>
    </row>
    <row r="31" spans="1:34">
      <c r="A31" s="276" t="s">
        <v>622</v>
      </c>
      <c r="C31" s="277">
        <v>68278.77</v>
      </c>
      <c r="D31" s="277"/>
      <c r="E31" s="278">
        <v>1877.79</v>
      </c>
      <c r="F31" s="278">
        <v>13.94</v>
      </c>
      <c r="G31" s="278">
        <v>0</v>
      </c>
      <c r="H31" s="278">
        <v>169.42</v>
      </c>
      <c r="I31" s="278">
        <v>48</v>
      </c>
      <c r="J31" s="278">
        <v>26.11</v>
      </c>
      <c r="K31" s="278">
        <f t="shared" si="7"/>
        <v>2135.2600000000002</v>
      </c>
      <c r="M31" s="277"/>
      <c r="N31" s="277"/>
      <c r="P31" s="277"/>
      <c r="Q31" s="277"/>
      <c r="R31" s="277"/>
      <c r="S31" s="277"/>
      <c r="T31" s="277"/>
      <c r="U31" s="277"/>
      <c r="V31" s="277"/>
      <c r="W31" s="277"/>
      <c r="X31" s="277"/>
      <c r="Y31" s="277">
        <f t="shared" si="8"/>
        <v>2135.2600000000002</v>
      </c>
      <c r="Z31" s="277">
        <f>+C31+N31+Q31+T31+W31</f>
        <v>68278.77</v>
      </c>
      <c r="AA31" s="277"/>
      <c r="AB31" s="277">
        <v>68278.77</v>
      </c>
      <c r="AC31" s="277"/>
      <c r="AD31" s="277"/>
      <c r="AE31" s="277"/>
    </row>
    <row r="32" spans="1:34">
      <c r="A32" s="276" t="s">
        <v>626</v>
      </c>
      <c r="C32" s="277">
        <v>83498.850000000006</v>
      </c>
      <c r="D32" s="277"/>
      <c r="E32" s="278">
        <f>1900.35</f>
        <v>1900.35</v>
      </c>
      <c r="F32" s="278">
        <f>229.09+5.5</f>
        <v>234.59</v>
      </c>
      <c r="G32" s="278">
        <f>7.28+8.83</f>
        <v>16.11</v>
      </c>
      <c r="H32" s="278">
        <v>166.12</v>
      </c>
      <c r="I32" s="278">
        <v>22.5</v>
      </c>
      <c r="J32" s="278">
        <v>0</v>
      </c>
      <c r="K32" s="278">
        <f t="shared" si="7"/>
        <v>2339.67</v>
      </c>
      <c r="M32" s="277"/>
      <c r="N32" s="277"/>
      <c r="P32" s="277"/>
      <c r="Q32" s="277"/>
      <c r="R32" s="277"/>
      <c r="S32" s="277"/>
      <c r="T32" s="277"/>
      <c r="U32" s="277"/>
      <c r="V32" s="277"/>
      <c r="W32" s="277"/>
      <c r="X32" s="277"/>
      <c r="Y32" s="277">
        <f t="shared" si="8"/>
        <v>2339.67</v>
      </c>
      <c r="Z32" s="277">
        <f t="shared" si="9"/>
        <v>83498.850000000006</v>
      </c>
      <c r="AA32" s="277"/>
      <c r="AB32" s="277">
        <v>83498.850000000006</v>
      </c>
      <c r="AC32" s="277"/>
      <c r="AD32" s="277"/>
      <c r="AE32" s="277"/>
    </row>
    <row r="33" spans="1:31">
      <c r="A33" s="276" t="s">
        <v>628</v>
      </c>
      <c r="C33" s="277">
        <v>74942.740000000005</v>
      </c>
      <c r="D33" s="277"/>
      <c r="E33" s="278">
        <v>1761.69</v>
      </c>
      <c r="F33" s="278">
        <f>64.87+7.37</f>
        <v>72.240000000000009</v>
      </c>
      <c r="G33" s="278">
        <v>8.57</v>
      </c>
      <c r="H33" s="278">
        <v>400.22</v>
      </c>
      <c r="I33" s="278">
        <v>32.630000000000003</v>
      </c>
      <c r="J33" s="278">
        <v>0</v>
      </c>
      <c r="K33" s="278">
        <f t="shared" si="7"/>
        <v>2275.3500000000004</v>
      </c>
      <c r="M33" s="277"/>
      <c r="N33" s="277"/>
      <c r="P33" s="277"/>
      <c r="Q33" s="277"/>
      <c r="R33" s="277"/>
      <c r="S33" s="277"/>
      <c r="T33" s="277"/>
      <c r="U33" s="277"/>
      <c r="V33" s="277"/>
      <c r="W33" s="277"/>
      <c r="X33" s="277"/>
      <c r="Y33" s="277">
        <f t="shared" si="8"/>
        <v>2275.3500000000004</v>
      </c>
      <c r="Z33" s="277">
        <f t="shared" si="9"/>
        <v>74942.740000000005</v>
      </c>
      <c r="AA33" s="277"/>
      <c r="AB33" s="277">
        <v>74942.740000000005</v>
      </c>
      <c r="AC33" s="277"/>
      <c r="AD33" s="277"/>
      <c r="AE33" s="277"/>
    </row>
    <row r="34" spans="1:31">
      <c r="A34" s="276" t="s">
        <v>629</v>
      </c>
      <c r="C34" s="277">
        <v>1838.8</v>
      </c>
      <c r="D34" s="277"/>
      <c r="E34" s="278">
        <v>78.97</v>
      </c>
      <c r="F34" s="278">
        <v>4.97</v>
      </c>
      <c r="G34" s="278">
        <v>0</v>
      </c>
      <c r="H34" s="278">
        <v>0</v>
      </c>
      <c r="I34" s="278">
        <v>3.03</v>
      </c>
      <c r="J34" s="278">
        <v>0</v>
      </c>
      <c r="K34" s="278">
        <f>SUM(E34:J34)</f>
        <v>86.97</v>
      </c>
      <c r="M34" s="277"/>
      <c r="N34" s="277"/>
      <c r="P34" s="277"/>
      <c r="Q34" s="277"/>
      <c r="R34" s="277"/>
      <c r="S34" s="277"/>
      <c r="T34" s="277"/>
      <c r="U34" s="277"/>
      <c r="V34" s="277"/>
      <c r="W34" s="277"/>
      <c r="X34" s="277"/>
      <c r="Y34" s="277">
        <f>K34+M34+P34+S34+V34</f>
        <v>86.97</v>
      </c>
      <c r="Z34" s="277">
        <f>+C34+N34+Q34+T34+W34</f>
        <v>1838.8</v>
      </c>
      <c r="AA34" s="277"/>
      <c r="AB34" s="277">
        <v>1838.8</v>
      </c>
      <c r="AC34" s="300"/>
      <c r="AD34" s="277"/>
      <c r="AE34" s="277"/>
    </row>
    <row r="35" spans="1:31">
      <c r="A35" s="276" t="s">
        <v>630</v>
      </c>
      <c r="C35" s="277">
        <v>68811.58</v>
      </c>
      <c r="D35" s="277"/>
      <c r="E35" s="278">
        <v>1864.84</v>
      </c>
      <c r="F35" s="278">
        <f>68.95+7.73</f>
        <v>76.680000000000007</v>
      </c>
      <c r="G35" s="278">
        <f>7.67+9.2</f>
        <v>16.869999999999997</v>
      </c>
      <c r="H35" s="278">
        <v>177.53</v>
      </c>
      <c r="I35" s="278">
        <v>24.6</v>
      </c>
      <c r="J35" s="278">
        <v>0</v>
      </c>
      <c r="K35" s="278">
        <f t="shared" si="7"/>
        <v>2160.52</v>
      </c>
      <c r="M35" s="277"/>
      <c r="N35" s="277"/>
      <c r="P35" s="277"/>
      <c r="Q35" s="277"/>
      <c r="R35" s="277"/>
      <c r="S35" s="277"/>
      <c r="T35" s="277"/>
      <c r="U35" s="277"/>
      <c r="V35" s="277"/>
      <c r="W35" s="277"/>
      <c r="X35" s="277"/>
      <c r="Y35" s="277">
        <f t="shared" si="8"/>
        <v>2160.52</v>
      </c>
      <c r="Z35" s="277">
        <f t="shared" si="9"/>
        <v>68811.58</v>
      </c>
      <c r="AA35" s="277"/>
      <c r="AB35" s="277">
        <v>68811.58</v>
      </c>
      <c r="AC35" s="277"/>
      <c r="AD35" s="277"/>
      <c r="AE35" s="277"/>
    </row>
    <row r="36" spans="1:31">
      <c r="A36" s="276" t="s">
        <v>632</v>
      </c>
      <c r="C36" s="277">
        <v>58245.48</v>
      </c>
      <c r="D36" s="277"/>
      <c r="E36" s="278">
        <v>1985.47</v>
      </c>
      <c r="F36" s="278">
        <f>359.8+8.3</f>
        <v>368.1</v>
      </c>
      <c r="G36" s="278">
        <f>16.83+9.48</f>
        <v>26.31</v>
      </c>
      <c r="H36" s="278">
        <v>56.75</v>
      </c>
      <c r="I36" s="278">
        <v>16</v>
      </c>
      <c r="J36" s="278">
        <v>0</v>
      </c>
      <c r="K36" s="278">
        <f t="shared" si="7"/>
        <v>2452.63</v>
      </c>
      <c r="M36" s="277"/>
      <c r="N36" s="277"/>
      <c r="P36" s="277"/>
      <c r="Q36" s="277"/>
      <c r="R36" s="277"/>
      <c r="S36" s="277"/>
      <c r="T36" s="277"/>
      <c r="U36" s="277"/>
      <c r="V36" s="277"/>
      <c r="W36" s="277"/>
      <c r="X36" s="277"/>
      <c r="Y36" s="277">
        <f t="shared" si="8"/>
        <v>2452.63</v>
      </c>
      <c r="Z36" s="277">
        <f t="shared" si="9"/>
        <v>58245.48</v>
      </c>
      <c r="AA36" s="277"/>
      <c r="AB36" s="277">
        <v>58245.48</v>
      </c>
      <c r="AC36" s="277"/>
      <c r="AD36" s="277"/>
      <c r="AE36" s="277"/>
    </row>
    <row r="37" spans="1:31">
      <c r="A37" s="276" t="s">
        <v>633</v>
      </c>
      <c r="C37" s="277">
        <v>49912.04</v>
      </c>
      <c r="D37" s="277"/>
      <c r="E37" s="278">
        <v>1919.02</v>
      </c>
      <c r="F37" s="278">
        <f>90.12+7.47</f>
        <v>97.59</v>
      </c>
      <c r="G37" s="278">
        <f>14.53+7.75</f>
        <v>22.28</v>
      </c>
      <c r="H37" s="278">
        <v>128.58000000000001</v>
      </c>
      <c r="I37" s="278">
        <v>17.78</v>
      </c>
      <c r="J37" s="278">
        <v>0</v>
      </c>
      <c r="K37" s="278">
        <f t="shared" si="7"/>
        <v>2185.25</v>
      </c>
      <c r="M37" s="277"/>
      <c r="N37" s="277"/>
      <c r="P37" s="277"/>
      <c r="Q37" s="277"/>
      <c r="R37" s="277"/>
      <c r="S37" s="277"/>
      <c r="T37" s="277"/>
      <c r="U37" s="277"/>
      <c r="V37" s="277"/>
      <c r="W37" s="277"/>
      <c r="X37" s="277"/>
      <c r="Y37" s="277">
        <f t="shared" si="8"/>
        <v>2185.25</v>
      </c>
      <c r="Z37" s="277">
        <f t="shared" si="9"/>
        <v>49912.04</v>
      </c>
      <c r="AA37" s="277"/>
      <c r="AB37" s="277">
        <v>49912.04</v>
      </c>
      <c r="AC37" s="277"/>
      <c r="AD37" s="277"/>
      <c r="AE37" s="277"/>
    </row>
    <row r="38" spans="1:31">
      <c r="A38" s="276" t="s">
        <v>634</v>
      </c>
      <c r="C38" s="277">
        <v>59538.5</v>
      </c>
      <c r="D38" s="277"/>
      <c r="E38" s="278">
        <v>1869.27</v>
      </c>
      <c r="F38" s="278">
        <v>85.8</v>
      </c>
      <c r="G38" s="278">
        <v>0</v>
      </c>
      <c r="H38" s="278">
        <v>166.77</v>
      </c>
      <c r="I38" s="278">
        <v>48</v>
      </c>
      <c r="J38" s="278">
        <v>0</v>
      </c>
      <c r="K38" s="278">
        <f t="shared" si="7"/>
        <v>2169.84</v>
      </c>
      <c r="M38" s="277"/>
      <c r="N38" s="277"/>
      <c r="P38" s="277"/>
      <c r="Q38" s="277"/>
      <c r="R38" s="277"/>
      <c r="S38" s="277"/>
      <c r="T38" s="277"/>
      <c r="U38" s="277"/>
      <c r="V38" s="277"/>
      <c r="W38" s="277"/>
      <c r="X38" s="277"/>
      <c r="Y38" s="277">
        <f t="shared" si="8"/>
        <v>2169.84</v>
      </c>
      <c r="Z38" s="277">
        <f t="shared" si="9"/>
        <v>59538.5</v>
      </c>
      <c r="AA38" s="277"/>
      <c r="AB38" s="277">
        <v>59538.5</v>
      </c>
      <c r="AC38" s="277"/>
      <c r="AD38" s="277"/>
      <c r="AE38" s="277"/>
    </row>
    <row r="39" spans="1:31">
      <c r="A39" s="276" t="s">
        <v>635</v>
      </c>
      <c r="C39" s="277">
        <v>44090.65</v>
      </c>
      <c r="D39" s="277"/>
      <c r="E39" s="278">
        <v>1974.44</v>
      </c>
      <c r="F39" s="278">
        <f>134.08+8.48</f>
        <v>142.56</v>
      </c>
      <c r="G39" s="278">
        <f>15.52+7.93</f>
        <v>23.45</v>
      </c>
      <c r="H39" s="278">
        <v>72.34</v>
      </c>
      <c r="I39" s="278">
        <v>16.8</v>
      </c>
      <c r="J39" s="278">
        <v>0</v>
      </c>
      <c r="K39" s="278">
        <f t="shared" si="7"/>
        <v>2229.59</v>
      </c>
      <c r="M39" s="277"/>
      <c r="N39" s="277"/>
      <c r="P39" s="277"/>
      <c r="Q39" s="277"/>
      <c r="R39" s="277"/>
      <c r="S39" s="277"/>
      <c r="T39" s="277"/>
      <c r="U39" s="277"/>
      <c r="V39" s="277"/>
      <c r="W39" s="277"/>
      <c r="X39" s="277"/>
      <c r="Y39" s="277">
        <f t="shared" si="8"/>
        <v>2229.59</v>
      </c>
      <c r="Z39" s="277">
        <f t="shared" si="9"/>
        <v>44090.65</v>
      </c>
      <c r="AA39" s="277"/>
      <c r="AB39" s="277">
        <v>44090.65</v>
      </c>
      <c r="AC39" s="277"/>
      <c r="AD39" s="277"/>
      <c r="AE39" s="277"/>
    </row>
    <row r="40" spans="1:31">
      <c r="A40" s="276" t="s">
        <v>636</v>
      </c>
      <c r="C40" s="277">
        <v>59473.4</v>
      </c>
      <c r="D40" s="277"/>
      <c r="E40" s="278">
        <v>2008.46</v>
      </c>
      <c r="F40" s="278">
        <f>88.77+9.03</f>
        <v>97.8</v>
      </c>
      <c r="G40" s="278">
        <f>15.36+7.85</f>
        <v>23.21</v>
      </c>
      <c r="H40" s="278">
        <v>41.45</v>
      </c>
      <c r="I40" s="278">
        <v>16.149999999999999</v>
      </c>
      <c r="J40" s="278">
        <v>0</v>
      </c>
      <c r="K40" s="278">
        <f t="shared" si="7"/>
        <v>2187.0700000000002</v>
      </c>
      <c r="M40" s="277"/>
      <c r="N40" s="277"/>
      <c r="P40" s="277"/>
      <c r="Q40" s="277"/>
      <c r="R40" s="277"/>
      <c r="S40" s="277"/>
      <c r="T40" s="277"/>
      <c r="U40" s="277"/>
      <c r="V40" s="277"/>
      <c r="W40" s="277"/>
      <c r="X40" s="277"/>
      <c r="Y40" s="277">
        <f t="shared" si="8"/>
        <v>2187.0700000000002</v>
      </c>
      <c r="Z40" s="277">
        <f t="shared" si="9"/>
        <v>59473.4</v>
      </c>
      <c r="AA40" s="277"/>
      <c r="AB40" s="277">
        <v>59473.4</v>
      </c>
      <c r="AC40" s="277"/>
      <c r="AD40" s="277"/>
      <c r="AE40" s="277"/>
    </row>
    <row r="41" spans="1:31">
      <c r="A41" s="276" t="s">
        <v>640</v>
      </c>
      <c r="C41" s="277">
        <v>49659.17</v>
      </c>
      <c r="D41" s="277"/>
      <c r="E41" s="278">
        <v>1922.43</v>
      </c>
      <c r="F41" s="278">
        <f>164.09+5.95</f>
        <v>170.04</v>
      </c>
      <c r="G41" s="278">
        <f>15.9+7.83</f>
        <v>23.73</v>
      </c>
      <c r="H41" s="278">
        <f>98.4+24</f>
        <v>122.4</v>
      </c>
      <c r="I41" s="278">
        <v>18.75</v>
      </c>
      <c r="J41" s="278">
        <v>0</v>
      </c>
      <c r="K41" s="278">
        <f t="shared" si="7"/>
        <v>2257.3500000000004</v>
      </c>
      <c r="M41" s="277"/>
      <c r="N41" s="277"/>
      <c r="P41" s="277"/>
      <c r="Q41" s="277"/>
      <c r="R41" s="277"/>
      <c r="S41" s="277"/>
      <c r="T41" s="277"/>
      <c r="U41" s="277"/>
      <c r="V41" s="277"/>
      <c r="W41" s="277"/>
      <c r="X41" s="277"/>
      <c r="Y41" s="277">
        <f t="shared" si="8"/>
        <v>2257.3500000000004</v>
      </c>
      <c r="Z41" s="277">
        <f t="shared" si="9"/>
        <v>49659.17</v>
      </c>
      <c r="AA41" s="277"/>
      <c r="AB41" s="277">
        <v>49659.17</v>
      </c>
      <c r="AC41" s="277"/>
      <c r="AD41" s="277"/>
      <c r="AE41" s="277"/>
    </row>
    <row r="42" spans="1:31">
      <c r="A42" s="276" t="s">
        <v>641</v>
      </c>
      <c r="C42" s="277">
        <v>47103.51</v>
      </c>
      <c r="D42" s="277"/>
      <c r="E42" s="278">
        <v>1923.23</v>
      </c>
      <c r="F42" s="278">
        <v>76.8</v>
      </c>
      <c r="G42" s="278">
        <v>0</v>
      </c>
      <c r="H42" s="278">
        <v>128.63</v>
      </c>
      <c r="I42" s="278">
        <v>48</v>
      </c>
      <c r="J42" s="278">
        <v>0</v>
      </c>
      <c r="K42" s="278">
        <f>SUM(E42:J42)</f>
        <v>2176.66</v>
      </c>
      <c r="M42" s="277"/>
      <c r="N42" s="277"/>
      <c r="P42" s="277"/>
      <c r="Q42" s="277"/>
      <c r="R42" s="277"/>
      <c r="S42" s="277"/>
      <c r="T42" s="277"/>
      <c r="U42" s="277"/>
      <c r="V42" s="277"/>
      <c r="W42" s="277"/>
      <c r="X42" s="277"/>
      <c r="Y42" s="277">
        <f t="shared" ref="Y42:Y43" si="10">K42+M42+P42+S42+V42</f>
        <v>2176.66</v>
      </c>
      <c r="Z42" s="277">
        <f t="shared" ref="Z42:Z43" si="11">+C42+N42+Q42+T42+W42</f>
        <v>47103.51</v>
      </c>
      <c r="AA42" s="277"/>
      <c r="AB42" s="277">
        <v>47103.51</v>
      </c>
      <c r="AC42" s="277"/>
      <c r="AD42" s="277"/>
      <c r="AE42" s="277"/>
    </row>
    <row r="43" spans="1:31">
      <c r="A43" s="276" t="s">
        <v>642</v>
      </c>
      <c r="C43" s="277">
        <v>66973.59</v>
      </c>
      <c r="D43" s="277"/>
      <c r="E43" s="278">
        <v>1959.87</v>
      </c>
      <c r="F43" s="278">
        <v>38.450000000000003</v>
      </c>
      <c r="G43" s="278">
        <v>6.25</v>
      </c>
      <c r="H43" s="278">
        <v>140.72999999999999</v>
      </c>
      <c r="I43" s="278">
        <v>41.75</v>
      </c>
      <c r="J43" s="278">
        <v>0</v>
      </c>
      <c r="K43" s="278">
        <f>SUM(E43:J43)</f>
        <v>2187.0499999999997</v>
      </c>
      <c r="M43" s="277"/>
      <c r="N43" s="277"/>
      <c r="P43" s="277"/>
      <c r="Q43" s="277"/>
      <c r="R43" s="277"/>
      <c r="S43" s="277"/>
      <c r="T43" s="277"/>
      <c r="U43" s="277"/>
      <c r="V43" s="277"/>
      <c r="W43" s="277"/>
      <c r="X43" s="277"/>
      <c r="Y43" s="277">
        <f t="shared" si="10"/>
        <v>2187.0499999999997</v>
      </c>
      <c r="Z43" s="277">
        <f t="shared" si="11"/>
        <v>66973.59</v>
      </c>
      <c r="AA43" s="277"/>
      <c r="AB43" s="277">
        <v>66973.59</v>
      </c>
      <c r="AC43" s="277"/>
      <c r="AD43" s="277"/>
      <c r="AE43" s="277"/>
    </row>
    <row r="44" spans="1:31">
      <c r="A44" s="276" t="s">
        <v>643</v>
      </c>
      <c r="C44" s="277">
        <v>52152.85</v>
      </c>
      <c r="D44" s="277"/>
      <c r="E44" s="278">
        <v>1910.7</v>
      </c>
      <c r="F44" s="278">
        <f>99.17+7.52</f>
        <v>106.69</v>
      </c>
      <c r="G44" s="278">
        <f>7.55+7.73</f>
        <v>15.280000000000001</v>
      </c>
      <c r="H44" s="278">
        <v>137.94</v>
      </c>
      <c r="I44" s="278">
        <v>24.8</v>
      </c>
      <c r="J44" s="278">
        <v>0</v>
      </c>
      <c r="K44" s="278">
        <f t="shared" si="7"/>
        <v>2195.4100000000003</v>
      </c>
      <c r="M44" s="277"/>
      <c r="N44" s="277"/>
      <c r="P44" s="277"/>
      <c r="Q44" s="277"/>
      <c r="R44" s="277"/>
      <c r="S44" s="277"/>
      <c r="T44" s="277"/>
      <c r="U44" s="277"/>
      <c r="V44" s="277"/>
      <c r="W44" s="277"/>
      <c r="X44" s="277"/>
      <c r="Y44" s="277">
        <f t="shared" si="8"/>
        <v>2195.4100000000003</v>
      </c>
      <c r="Z44" s="277">
        <f t="shared" si="9"/>
        <v>52152.85</v>
      </c>
      <c r="AA44" s="277"/>
      <c r="AB44" s="277">
        <v>52152.85</v>
      </c>
      <c r="AC44" s="277"/>
      <c r="AD44" s="277"/>
      <c r="AE44" s="277"/>
    </row>
    <row r="45" spans="1:31">
      <c r="A45" s="276" t="s">
        <v>644</v>
      </c>
      <c r="C45" s="277">
        <v>66649.98</v>
      </c>
      <c r="D45" s="277"/>
      <c r="E45" s="278">
        <v>1864.93</v>
      </c>
      <c r="F45" s="278">
        <v>18.68</v>
      </c>
      <c r="G45" s="278">
        <v>0</v>
      </c>
      <c r="H45" s="278">
        <v>167.65</v>
      </c>
      <c r="I45" s="278">
        <v>48</v>
      </c>
      <c r="J45" s="278">
        <v>0</v>
      </c>
      <c r="K45" s="278">
        <f t="shared" ref="K45:K50" si="12">SUM(E45:J45)</f>
        <v>2099.2600000000002</v>
      </c>
      <c r="M45" s="277"/>
      <c r="N45" s="277"/>
      <c r="P45" s="277"/>
      <c r="Q45" s="277"/>
      <c r="R45" s="277"/>
      <c r="S45" s="277"/>
      <c r="T45" s="277"/>
      <c r="U45" s="277"/>
      <c r="V45" s="277"/>
      <c r="W45" s="277"/>
      <c r="X45" s="277"/>
      <c r="Y45" s="277">
        <f t="shared" ref="Y45:Y50" si="13">K45+M45+P45+S45+V45</f>
        <v>2099.2600000000002</v>
      </c>
      <c r="Z45" s="277">
        <f t="shared" ref="Z45:Z50" si="14">+C45+N45+Q45+T45+W45</f>
        <v>66649.98</v>
      </c>
      <c r="AA45" s="277"/>
      <c r="AB45" s="277">
        <v>66649.98</v>
      </c>
      <c r="AC45" s="277"/>
      <c r="AD45" s="277"/>
      <c r="AE45" s="277"/>
    </row>
    <row r="46" spans="1:31">
      <c r="A46" s="276" t="s">
        <v>649</v>
      </c>
      <c r="C46" s="277">
        <v>54487.65</v>
      </c>
      <c r="D46" s="277"/>
      <c r="E46" s="278">
        <v>1879.83</v>
      </c>
      <c r="F46" s="278">
        <f>4.99+4.12</f>
        <v>9.11</v>
      </c>
      <c r="G46" s="278">
        <f>14.97+6.48</f>
        <v>21.450000000000003</v>
      </c>
      <c r="H46" s="278">
        <v>149.27000000000001</v>
      </c>
      <c r="I46" s="278">
        <v>22.98</v>
      </c>
      <c r="J46" s="278">
        <v>0</v>
      </c>
      <c r="K46" s="278">
        <f t="shared" si="12"/>
        <v>2082.64</v>
      </c>
      <c r="M46" s="277"/>
      <c r="N46" s="277"/>
      <c r="P46" s="277"/>
      <c r="Q46" s="277"/>
      <c r="R46" s="277"/>
      <c r="S46" s="277"/>
      <c r="T46" s="277"/>
      <c r="U46" s="277"/>
      <c r="V46" s="277"/>
      <c r="W46" s="277"/>
      <c r="X46" s="277"/>
      <c r="Y46" s="277">
        <f t="shared" si="13"/>
        <v>2082.64</v>
      </c>
      <c r="Z46" s="277">
        <f t="shared" si="14"/>
        <v>54487.65</v>
      </c>
      <c r="AA46" s="277"/>
      <c r="AB46" s="277">
        <v>54487.65</v>
      </c>
      <c r="AC46" s="277"/>
      <c r="AD46" s="277"/>
      <c r="AE46" s="277"/>
    </row>
    <row r="47" spans="1:31">
      <c r="A47" s="276" t="s">
        <v>652</v>
      </c>
      <c r="C47" s="277">
        <v>56807.7</v>
      </c>
      <c r="D47" s="277"/>
      <c r="E47" s="278">
        <v>1917.5</v>
      </c>
      <c r="F47" s="278">
        <v>56.25</v>
      </c>
      <c r="G47" s="278">
        <v>0</v>
      </c>
      <c r="H47" s="278">
        <v>117.12</v>
      </c>
      <c r="I47" s="278">
        <v>48</v>
      </c>
      <c r="J47" s="278">
        <v>0</v>
      </c>
      <c r="K47" s="278">
        <f t="shared" si="12"/>
        <v>2138.87</v>
      </c>
      <c r="M47" s="277"/>
      <c r="N47" s="277"/>
      <c r="P47" s="277"/>
      <c r="Q47" s="277"/>
      <c r="R47" s="277"/>
      <c r="S47" s="277"/>
      <c r="T47" s="277"/>
      <c r="U47" s="277"/>
      <c r="V47" s="277"/>
      <c r="W47" s="277"/>
      <c r="X47" s="277"/>
      <c r="Y47" s="277">
        <f t="shared" si="13"/>
        <v>2138.87</v>
      </c>
      <c r="Z47" s="277">
        <f t="shared" si="14"/>
        <v>56807.7</v>
      </c>
      <c r="AA47" s="277"/>
      <c r="AB47" s="277">
        <v>56807.7</v>
      </c>
      <c r="AC47" s="277"/>
      <c r="AD47" s="277"/>
      <c r="AE47" s="277"/>
    </row>
    <row r="48" spans="1:31">
      <c r="A48" s="276" t="s">
        <v>653</v>
      </c>
      <c r="C48" s="277">
        <v>42989.83</v>
      </c>
      <c r="D48" s="277"/>
      <c r="E48" s="278">
        <v>1720.38</v>
      </c>
      <c r="F48" s="278">
        <v>27.93</v>
      </c>
      <c r="G48" s="278">
        <v>16.899999999999999</v>
      </c>
      <c r="H48" s="278">
        <v>153.66</v>
      </c>
      <c r="I48" s="278">
        <v>32</v>
      </c>
      <c r="J48" s="278">
        <v>56</v>
      </c>
      <c r="K48" s="278">
        <f t="shared" si="12"/>
        <v>2006.8700000000003</v>
      </c>
      <c r="M48" s="277"/>
      <c r="N48" s="277"/>
      <c r="P48" s="277"/>
      <c r="Q48" s="277"/>
      <c r="R48" s="277"/>
      <c r="S48" s="277"/>
      <c r="T48" s="277"/>
      <c r="U48" s="277"/>
      <c r="V48" s="277"/>
      <c r="W48" s="277"/>
      <c r="X48" s="277"/>
      <c r="Y48" s="277">
        <f t="shared" si="13"/>
        <v>2006.8700000000003</v>
      </c>
      <c r="Z48" s="277">
        <f t="shared" si="14"/>
        <v>42989.83</v>
      </c>
      <c r="AA48" s="277"/>
      <c r="AB48" s="277">
        <v>42989.83</v>
      </c>
      <c r="AC48" s="277"/>
      <c r="AD48" s="277"/>
      <c r="AE48" s="277"/>
    </row>
    <row r="49" spans="1:31">
      <c r="A49" s="276" t="s">
        <v>655</v>
      </c>
      <c r="C49" s="277">
        <v>52746.02</v>
      </c>
      <c r="D49" s="277"/>
      <c r="E49" s="278">
        <v>1988.52</v>
      </c>
      <c r="F49" s="278">
        <f>110.38+6.82</f>
        <v>117.19999999999999</v>
      </c>
      <c r="G49" s="278">
        <f>14.9+6.97</f>
        <v>21.87</v>
      </c>
      <c r="H49" s="278">
        <v>61.4</v>
      </c>
      <c r="I49" s="278">
        <v>19.86</v>
      </c>
      <c r="J49" s="278">
        <v>0</v>
      </c>
      <c r="K49" s="278">
        <f t="shared" si="12"/>
        <v>2208.85</v>
      </c>
      <c r="M49" s="277"/>
      <c r="N49" s="277"/>
      <c r="P49" s="277"/>
      <c r="Q49" s="277"/>
      <c r="R49" s="277"/>
      <c r="S49" s="277"/>
      <c r="T49" s="277"/>
      <c r="U49" s="277"/>
      <c r="V49" s="277"/>
      <c r="W49" s="277"/>
      <c r="X49" s="277"/>
      <c r="Y49" s="277">
        <f t="shared" si="13"/>
        <v>2208.85</v>
      </c>
      <c r="Z49" s="277">
        <f t="shared" si="14"/>
        <v>52746.02</v>
      </c>
      <c r="AA49" s="277"/>
      <c r="AB49" s="277">
        <v>52746.02</v>
      </c>
      <c r="AC49" s="277"/>
      <c r="AD49" s="277"/>
      <c r="AE49" s="277"/>
    </row>
    <row r="50" spans="1:31">
      <c r="A50" s="276" t="s">
        <v>658</v>
      </c>
      <c r="C50" s="277">
        <v>69993.88</v>
      </c>
      <c r="D50" s="277"/>
      <c r="E50" s="278">
        <v>1814.03</v>
      </c>
      <c r="F50" s="278">
        <f>26.29+7.12</f>
        <v>33.409999999999997</v>
      </c>
      <c r="G50" s="278">
        <f>13.73+7.27</f>
        <v>21</v>
      </c>
      <c r="H50" s="278">
        <v>226.3</v>
      </c>
      <c r="I50" s="278">
        <v>19.88</v>
      </c>
      <c r="J50" s="278">
        <v>0</v>
      </c>
      <c r="K50" s="278">
        <f t="shared" si="12"/>
        <v>2114.6200000000003</v>
      </c>
      <c r="M50" s="277"/>
      <c r="N50" s="277"/>
      <c r="P50" s="277"/>
      <c r="Q50" s="277"/>
      <c r="R50" s="277"/>
      <c r="S50" s="277"/>
      <c r="T50" s="277"/>
      <c r="U50" s="277"/>
      <c r="V50" s="277"/>
      <c r="W50" s="277"/>
      <c r="X50" s="277"/>
      <c r="Y50" s="277">
        <f t="shared" si="13"/>
        <v>2114.6200000000003</v>
      </c>
      <c r="Z50" s="277">
        <f t="shared" si="14"/>
        <v>69993.88</v>
      </c>
      <c r="AA50" s="277"/>
      <c r="AB50" s="277">
        <v>69993.88</v>
      </c>
      <c r="AC50" s="277"/>
      <c r="AD50" s="277"/>
      <c r="AE50" s="277"/>
    </row>
    <row r="51" spans="1:31">
      <c r="A51" s="276" t="s">
        <v>659</v>
      </c>
      <c r="C51" s="277">
        <v>69634.31</v>
      </c>
      <c r="D51" s="277"/>
      <c r="E51" s="278">
        <v>1898.16</v>
      </c>
      <c r="F51" s="278">
        <f>73.07+5.23</f>
        <v>78.3</v>
      </c>
      <c r="G51" s="278">
        <f>19.2+8</f>
        <v>27.2</v>
      </c>
      <c r="H51" s="278">
        <v>134.81</v>
      </c>
      <c r="I51" s="278">
        <v>18.77</v>
      </c>
      <c r="J51" s="278">
        <v>0</v>
      </c>
      <c r="K51" s="278">
        <f t="shared" si="7"/>
        <v>2157.2400000000002</v>
      </c>
      <c r="M51" s="277"/>
      <c r="N51" s="277"/>
      <c r="P51" s="277"/>
      <c r="Q51" s="277"/>
      <c r="R51" s="277"/>
      <c r="S51" s="277"/>
      <c r="T51" s="277"/>
      <c r="U51" s="277"/>
      <c r="V51" s="277"/>
      <c r="W51" s="277"/>
      <c r="X51" s="277"/>
      <c r="Y51" s="277">
        <f t="shared" si="8"/>
        <v>2157.2400000000002</v>
      </c>
      <c r="Z51" s="277">
        <f t="shared" si="9"/>
        <v>69634.31</v>
      </c>
      <c r="AA51" s="277"/>
      <c r="AB51" s="277">
        <v>69634.31</v>
      </c>
      <c r="AC51" s="277"/>
      <c r="AD51" s="277"/>
      <c r="AE51" s="277"/>
    </row>
    <row r="52" spans="1:31">
      <c r="A52" s="276" t="s">
        <v>660</v>
      </c>
      <c r="C52" s="294">
        <v>49267.5</v>
      </c>
      <c r="D52" s="277"/>
      <c r="E52" s="295">
        <v>1885.5</v>
      </c>
      <c r="F52" s="295">
        <v>62.88</v>
      </c>
      <c r="G52" s="295">
        <v>0</v>
      </c>
      <c r="H52" s="295">
        <v>151.59</v>
      </c>
      <c r="I52" s="295">
        <v>48</v>
      </c>
      <c r="J52" s="295">
        <v>0</v>
      </c>
      <c r="K52" s="295">
        <f t="shared" si="7"/>
        <v>2147.9700000000003</v>
      </c>
      <c r="M52" s="277"/>
      <c r="N52" s="277"/>
      <c r="P52" s="277"/>
      <c r="Q52" s="277"/>
      <c r="R52" s="277"/>
      <c r="S52" s="277"/>
      <c r="T52" s="277"/>
      <c r="U52" s="277"/>
      <c r="V52" s="277"/>
      <c r="W52" s="277"/>
      <c r="X52" s="277"/>
      <c r="Y52" s="294">
        <f t="shared" si="8"/>
        <v>2147.9700000000003</v>
      </c>
      <c r="Z52" s="294">
        <f t="shared" si="9"/>
        <v>49267.5</v>
      </c>
      <c r="AA52" s="277"/>
      <c r="AB52" s="277">
        <v>49267.5</v>
      </c>
      <c r="AC52" s="277"/>
      <c r="AD52" s="277"/>
      <c r="AE52" s="277"/>
    </row>
    <row r="53" spans="1:31">
      <c r="A53" s="287" t="s">
        <v>204</v>
      </c>
      <c r="C53" s="293">
        <f>SUM(C29:C52)</f>
        <v>1363953.46</v>
      </c>
      <c r="D53" s="277"/>
      <c r="E53" s="293">
        <f>SUM(E29:E52)</f>
        <v>43856.439999999995</v>
      </c>
      <c r="F53" s="293">
        <f t="shared" ref="F53:K53" si="15">SUM(F29:F52)</f>
        <v>2301.6299999999997</v>
      </c>
      <c r="G53" s="293">
        <f t="shared" si="15"/>
        <v>330.59</v>
      </c>
      <c r="H53" s="293">
        <f t="shared" si="15"/>
        <v>3240.2500000000005</v>
      </c>
      <c r="I53" s="293">
        <f t="shared" si="15"/>
        <v>678.76</v>
      </c>
      <c r="J53" s="293">
        <f t="shared" si="15"/>
        <v>82.11</v>
      </c>
      <c r="K53" s="293">
        <f t="shared" si="15"/>
        <v>50489.780000000013</v>
      </c>
      <c r="M53" s="293" t="e">
        <f>SUM(M12:M52)</f>
        <v>#REF!</v>
      </c>
      <c r="N53" s="293" t="e">
        <f>SUM(N12:N52)</f>
        <v>#REF!</v>
      </c>
      <c r="P53" s="293" t="e">
        <f>SUM(P12:P52)</f>
        <v>#REF!</v>
      </c>
      <c r="Q53" s="293" t="e">
        <f>SUM(Q12:Q52)</f>
        <v>#REF!</v>
      </c>
      <c r="R53" s="277"/>
      <c r="S53" s="293" t="e">
        <f>SUM(S12:S52)</f>
        <v>#REF!</v>
      </c>
      <c r="T53" s="293" t="e">
        <f>SUM(T12:T52)</f>
        <v>#REF!</v>
      </c>
      <c r="U53" s="277"/>
      <c r="V53" s="293" t="e">
        <f>SUM(V12:V52)</f>
        <v>#REF!</v>
      </c>
      <c r="W53" s="293" t="e">
        <f>SUM(W12:W52)</f>
        <v>#REF!</v>
      </c>
      <c r="X53" s="277"/>
      <c r="Y53" s="293">
        <f t="shared" ref="Y53:Z53" si="16">SUM(Y29:Y52)</f>
        <v>50489.780000000013</v>
      </c>
      <c r="Z53" s="293">
        <f t="shared" si="16"/>
        <v>1363953.46</v>
      </c>
      <c r="AA53" s="277"/>
      <c r="AB53" s="277"/>
      <c r="AC53" s="277">
        <f>+Z53</f>
        <v>1363953.46</v>
      </c>
      <c r="AD53" s="1">
        <f>+AC53*'WP -11 Non-Regulated'!$K$29</f>
        <v>641259.63478344202</v>
      </c>
      <c r="AE53" s="1" t="s">
        <v>1131</v>
      </c>
    </row>
    <row r="54" spans="1:31">
      <c r="C54" s="277"/>
      <c r="D54" s="277"/>
      <c r="M54" s="277"/>
      <c r="N54" s="277"/>
      <c r="P54" s="277"/>
      <c r="Q54" s="277"/>
      <c r="R54" s="277"/>
      <c r="S54" s="277"/>
      <c r="T54" s="277"/>
      <c r="U54" s="277"/>
      <c r="V54" s="277"/>
      <c r="W54" s="277"/>
      <c r="X54" s="277"/>
      <c r="Y54" s="277"/>
      <c r="Z54" s="288"/>
      <c r="AA54" s="300"/>
      <c r="AB54" s="300"/>
      <c r="AC54" s="300"/>
    </row>
    <row r="55" spans="1:31">
      <c r="A55" s="276" t="s">
        <v>617</v>
      </c>
      <c r="C55" s="277">
        <v>7489.17</v>
      </c>
      <c r="D55" s="277"/>
      <c r="E55" s="278">
        <v>438.4</v>
      </c>
      <c r="F55" s="278">
        <v>2.4300000000000002</v>
      </c>
      <c r="G55" s="278">
        <v>0</v>
      </c>
      <c r="H55" s="278">
        <v>41.1</v>
      </c>
      <c r="I55" s="278">
        <v>16.8</v>
      </c>
      <c r="J55" s="278">
        <v>0</v>
      </c>
      <c r="K55" s="278">
        <f t="shared" ref="K55:K62" si="17">SUM(E55:J55)</f>
        <v>498.73</v>
      </c>
      <c r="M55" s="277"/>
      <c r="N55" s="277"/>
      <c r="P55" s="277"/>
      <c r="Q55" s="277"/>
      <c r="R55" s="277"/>
      <c r="S55" s="277"/>
      <c r="T55" s="277"/>
      <c r="U55" s="277"/>
      <c r="V55" s="277"/>
      <c r="W55" s="277"/>
      <c r="X55" s="277"/>
      <c r="Y55" s="277">
        <f t="shared" ref="Y55:Y62" si="18">K55+M55+P55+S55+V55</f>
        <v>498.73</v>
      </c>
      <c r="Z55" s="277">
        <f t="shared" ref="Z55:Z62" si="19">+C55+N55+Q55+T55+W55</f>
        <v>7489.17</v>
      </c>
      <c r="AA55" s="277"/>
      <c r="AB55" s="277">
        <v>7489.17</v>
      </c>
      <c r="AC55" s="277"/>
      <c r="AD55" s="277"/>
      <c r="AE55" s="277"/>
    </row>
    <row r="56" spans="1:31">
      <c r="A56" s="276" t="s">
        <v>618</v>
      </c>
      <c r="C56" s="277">
        <v>56661.89</v>
      </c>
      <c r="D56" s="277"/>
      <c r="E56" s="278">
        <v>1950.45</v>
      </c>
      <c r="F56" s="278">
        <v>52.48</v>
      </c>
      <c r="G56" s="278">
        <v>0</v>
      </c>
      <c r="H56" s="278">
        <v>85.26</v>
      </c>
      <c r="I56" s="278">
        <v>48</v>
      </c>
      <c r="J56" s="278">
        <v>0</v>
      </c>
      <c r="K56" s="278">
        <f t="shared" si="17"/>
        <v>2136.19</v>
      </c>
      <c r="M56" s="277"/>
      <c r="N56" s="277"/>
      <c r="P56" s="277"/>
      <c r="Q56" s="277"/>
      <c r="R56" s="277"/>
      <c r="S56" s="277"/>
      <c r="T56" s="277"/>
      <c r="U56" s="277"/>
      <c r="V56" s="277"/>
      <c r="W56" s="277"/>
      <c r="X56" s="277"/>
      <c r="Y56" s="277">
        <f t="shared" si="18"/>
        <v>2136.19</v>
      </c>
      <c r="Z56" s="277">
        <f t="shared" si="19"/>
        <v>56661.89</v>
      </c>
      <c r="AA56" s="277"/>
      <c r="AB56" s="277">
        <v>56661.89</v>
      </c>
      <c r="AC56" s="277"/>
      <c r="AD56" s="277"/>
      <c r="AE56" s="277"/>
    </row>
    <row r="57" spans="1:31">
      <c r="A57" s="276" t="s">
        <v>619</v>
      </c>
      <c r="C57" s="277">
        <v>22050.19</v>
      </c>
      <c r="D57" s="277"/>
      <c r="E57" s="278">
        <v>1332.69</v>
      </c>
      <c r="F57" s="278">
        <v>26.44</v>
      </c>
      <c r="G57" s="278">
        <v>0</v>
      </c>
      <c r="H57" s="278">
        <v>36.520000000000003</v>
      </c>
      <c r="I57" s="278">
        <v>8</v>
      </c>
      <c r="J57" s="278">
        <v>0</v>
      </c>
      <c r="K57" s="278">
        <f>SUM(E57:J57)</f>
        <v>1403.65</v>
      </c>
      <c r="M57" s="277"/>
      <c r="N57" s="277"/>
      <c r="P57" s="277"/>
      <c r="Q57" s="277"/>
      <c r="R57" s="277"/>
      <c r="S57" s="277"/>
      <c r="T57" s="277"/>
      <c r="U57" s="277"/>
      <c r="V57" s="277"/>
      <c r="W57" s="277"/>
      <c r="X57" s="277"/>
      <c r="Y57" s="277">
        <f>K57+M57+P57+S57+V57</f>
        <v>1403.65</v>
      </c>
      <c r="Z57" s="277">
        <f>+C57+N57+Q57+T57+W57</f>
        <v>22050.19</v>
      </c>
      <c r="AA57" s="277"/>
      <c r="AB57" s="277">
        <v>22050.19</v>
      </c>
      <c r="AC57" s="300"/>
      <c r="AD57" s="277"/>
      <c r="AE57" s="277"/>
    </row>
    <row r="58" spans="1:31">
      <c r="A58" s="276" t="s">
        <v>620</v>
      </c>
      <c r="C58" s="277">
        <v>22585.13</v>
      </c>
      <c r="D58" s="277"/>
      <c r="E58" s="278">
        <v>1369.37</v>
      </c>
      <c r="F58" s="278">
        <v>29.69</v>
      </c>
      <c r="G58" s="278">
        <v>0</v>
      </c>
      <c r="H58" s="278">
        <v>30.51</v>
      </c>
      <c r="I58" s="278">
        <v>8</v>
      </c>
      <c r="J58" s="278">
        <v>0</v>
      </c>
      <c r="K58" s="278">
        <f>SUM(E58:J58)</f>
        <v>1437.57</v>
      </c>
      <c r="M58" s="277"/>
      <c r="N58" s="277"/>
      <c r="P58" s="277"/>
      <c r="Q58" s="277"/>
      <c r="R58" s="277"/>
      <c r="S58" s="277"/>
      <c r="T58" s="277"/>
      <c r="U58" s="277"/>
      <c r="V58" s="277"/>
      <c r="W58" s="277"/>
      <c r="X58" s="277"/>
      <c r="Y58" s="277">
        <f>K58+M58+P58+S58+V58</f>
        <v>1437.57</v>
      </c>
      <c r="Z58" s="277">
        <f>+C58+N58+Q58+T58+W58</f>
        <v>22585.13</v>
      </c>
      <c r="AA58" s="277"/>
      <c r="AB58" s="277">
        <v>22585.13</v>
      </c>
      <c r="AC58" s="300"/>
      <c r="AD58" s="277"/>
      <c r="AE58" s="277"/>
    </row>
    <row r="59" spans="1:31">
      <c r="A59" s="276" t="s">
        <v>631</v>
      </c>
      <c r="C59" s="277">
        <v>30065.360000000001</v>
      </c>
      <c r="D59" s="277"/>
      <c r="E59" s="278">
        <v>1831.2</v>
      </c>
      <c r="F59" s="278">
        <v>0.62</v>
      </c>
      <c r="G59" s="278">
        <v>0</v>
      </c>
      <c r="H59" s="278">
        <v>110.76</v>
      </c>
      <c r="I59" s="278">
        <v>24.8</v>
      </c>
      <c r="J59" s="278">
        <v>0</v>
      </c>
      <c r="K59" s="278">
        <f t="shared" si="17"/>
        <v>1967.3799999999999</v>
      </c>
      <c r="M59" s="277"/>
      <c r="N59" s="277"/>
      <c r="P59" s="277"/>
      <c r="Q59" s="277"/>
      <c r="R59" s="277"/>
      <c r="S59" s="277"/>
      <c r="T59" s="277"/>
      <c r="U59" s="277"/>
      <c r="V59" s="277"/>
      <c r="W59" s="277"/>
      <c r="X59" s="277"/>
      <c r="Y59" s="277">
        <f t="shared" si="18"/>
        <v>1967.3799999999999</v>
      </c>
      <c r="Z59" s="277">
        <f t="shared" si="19"/>
        <v>30065.360000000001</v>
      </c>
      <c r="AA59" s="277"/>
      <c r="AB59" s="277">
        <v>30065.360000000001</v>
      </c>
      <c r="AC59" s="277"/>
      <c r="AD59" s="277"/>
      <c r="AE59" s="277"/>
    </row>
    <row r="60" spans="1:31">
      <c r="A60" s="276" t="s">
        <v>638</v>
      </c>
      <c r="C60" s="277">
        <v>44296.18</v>
      </c>
      <c r="D60" s="277"/>
      <c r="E60" s="278">
        <v>1933.31</v>
      </c>
      <c r="F60" s="278">
        <f>207.66+4.95</f>
        <v>212.60999999999999</v>
      </c>
      <c r="G60" s="278">
        <f>6.53+6.56</f>
        <v>13.09</v>
      </c>
      <c r="H60" s="278">
        <v>63.8</v>
      </c>
      <c r="I60" s="278">
        <v>23.67</v>
      </c>
      <c r="J60" s="278">
        <v>48</v>
      </c>
      <c r="K60" s="278">
        <f t="shared" si="17"/>
        <v>2294.4800000000005</v>
      </c>
      <c r="M60" s="277"/>
      <c r="N60" s="277"/>
      <c r="P60" s="277"/>
      <c r="Q60" s="277"/>
      <c r="R60" s="277"/>
      <c r="S60" s="277"/>
      <c r="T60" s="277"/>
      <c r="U60" s="277"/>
      <c r="V60" s="277"/>
      <c r="W60" s="277"/>
      <c r="X60" s="277"/>
      <c r="Y60" s="277">
        <f t="shared" si="18"/>
        <v>2294.4800000000005</v>
      </c>
      <c r="Z60" s="277">
        <f t="shared" si="19"/>
        <v>44296.18</v>
      </c>
      <c r="AA60" s="277"/>
      <c r="AB60" s="277">
        <v>44296.18</v>
      </c>
      <c r="AC60" s="277"/>
      <c r="AD60" s="277"/>
      <c r="AE60" s="277"/>
    </row>
    <row r="61" spans="1:31">
      <c r="A61" s="276" t="s">
        <v>646</v>
      </c>
      <c r="C61" s="277">
        <v>19611.29</v>
      </c>
      <c r="D61" s="277"/>
      <c r="E61" s="278">
        <v>1031.2</v>
      </c>
      <c r="F61" s="278">
        <v>34.36</v>
      </c>
      <c r="G61" s="278">
        <v>5.53</v>
      </c>
      <c r="H61" s="278">
        <v>80.14</v>
      </c>
      <c r="I61" s="278">
        <v>18.47</v>
      </c>
      <c r="J61" s="278">
        <v>0</v>
      </c>
      <c r="K61" s="278">
        <f t="shared" si="17"/>
        <v>1169.7</v>
      </c>
      <c r="M61" s="277"/>
      <c r="N61" s="277"/>
      <c r="P61" s="277"/>
      <c r="Q61" s="277"/>
      <c r="R61" s="277"/>
      <c r="S61" s="277"/>
      <c r="T61" s="277"/>
      <c r="U61" s="277"/>
      <c r="V61" s="277"/>
      <c r="W61" s="277"/>
      <c r="X61" s="277"/>
      <c r="Y61" s="277">
        <f t="shared" si="18"/>
        <v>1169.7</v>
      </c>
      <c r="Z61" s="277">
        <f t="shared" si="19"/>
        <v>19611.29</v>
      </c>
      <c r="AA61" s="277"/>
      <c r="AB61" s="277">
        <v>19611.29</v>
      </c>
      <c r="AC61" s="277"/>
      <c r="AD61" s="277"/>
      <c r="AE61" s="277"/>
    </row>
    <row r="62" spans="1:31">
      <c r="A62" s="276" t="s">
        <v>662</v>
      </c>
      <c r="C62" s="277">
        <v>9012.2999999999993</v>
      </c>
      <c r="D62" s="277"/>
      <c r="E62" s="290">
        <v>509.37</v>
      </c>
      <c r="F62" s="278">
        <v>7.26</v>
      </c>
      <c r="G62" s="278">
        <v>0</v>
      </c>
      <c r="H62" s="278">
        <v>45.13</v>
      </c>
      <c r="I62" s="278">
        <v>16.8</v>
      </c>
      <c r="J62" s="278">
        <v>0</v>
      </c>
      <c r="K62" s="278">
        <f t="shared" si="17"/>
        <v>578.55999999999995</v>
      </c>
      <c r="M62" s="277"/>
      <c r="N62" s="277"/>
      <c r="P62" s="277"/>
      <c r="Q62" s="277"/>
      <c r="R62" s="277"/>
      <c r="S62" s="277"/>
      <c r="T62" s="277"/>
      <c r="U62" s="277"/>
      <c r="V62" s="277"/>
      <c r="W62" s="277"/>
      <c r="X62" s="277"/>
      <c r="Y62" s="277">
        <f t="shared" si="18"/>
        <v>578.55999999999995</v>
      </c>
      <c r="Z62" s="277">
        <f t="shared" si="19"/>
        <v>9012.2999999999993</v>
      </c>
      <c r="AA62" s="277"/>
      <c r="AB62" s="277">
        <v>9012.2999999999993</v>
      </c>
      <c r="AC62" s="277"/>
      <c r="AD62" s="277"/>
      <c r="AE62" s="277"/>
    </row>
    <row r="63" spans="1:31">
      <c r="A63" s="287" t="s">
        <v>615</v>
      </c>
      <c r="C63" s="291">
        <f>SUM(C55:C62)</f>
        <v>211771.50999999998</v>
      </c>
      <c r="D63" s="277"/>
      <c r="E63" s="291">
        <f>SUM(E55:E62)</f>
        <v>10395.990000000002</v>
      </c>
      <c r="F63" s="291">
        <f t="shared" ref="F63:K63" si="20">SUM(F55:F62)</f>
        <v>365.89</v>
      </c>
      <c r="G63" s="291">
        <f t="shared" si="20"/>
        <v>18.62</v>
      </c>
      <c r="H63" s="291">
        <f t="shared" si="20"/>
        <v>493.22</v>
      </c>
      <c r="I63" s="291">
        <f t="shared" si="20"/>
        <v>164.54</v>
      </c>
      <c r="J63" s="291">
        <f t="shared" si="20"/>
        <v>48</v>
      </c>
      <c r="K63" s="291">
        <f t="shared" si="20"/>
        <v>11486.26</v>
      </c>
      <c r="L63" s="277"/>
      <c r="M63" s="291" t="e">
        <f>SUM(M12:M62)</f>
        <v>#REF!</v>
      </c>
      <c r="N63" s="291" t="e">
        <f>SUM(N12:N62)</f>
        <v>#REF!</v>
      </c>
      <c r="O63" s="277"/>
      <c r="P63" s="291" t="e">
        <f>SUM(P12:P62)</f>
        <v>#REF!</v>
      </c>
      <c r="Q63" s="291" t="e">
        <f>SUM(Q12:Q62)</f>
        <v>#REF!</v>
      </c>
      <c r="R63" s="277"/>
      <c r="S63" s="291" t="e">
        <f>SUM(S12:S62)</f>
        <v>#REF!</v>
      </c>
      <c r="T63" s="291" t="e">
        <f>SUM(T12:T62)</f>
        <v>#REF!</v>
      </c>
      <c r="U63" s="277"/>
      <c r="V63" s="291" t="e">
        <f>SUM(V12:V62)</f>
        <v>#REF!</v>
      </c>
      <c r="W63" s="291" t="e">
        <f>SUM(W12:W62)</f>
        <v>#REF!</v>
      </c>
      <c r="X63" s="277"/>
      <c r="Y63" s="291">
        <f t="shared" ref="Y63:Z63" si="21">SUM(Y55:Y62)</f>
        <v>11486.26</v>
      </c>
      <c r="Z63" s="291">
        <f t="shared" si="21"/>
        <v>211771.50999999998</v>
      </c>
      <c r="AA63" s="277"/>
      <c r="AB63" s="277"/>
      <c r="AC63" s="277">
        <f>+Z63</f>
        <v>211771.50999999998</v>
      </c>
      <c r="AD63" s="1">
        <f>+AC63*'WP-9 - Disposal'!S20</f>
        <v>49067.245819390242</v>
      </c>
      <c r="AE63" s="1" t="s">
        <v>1132</v>
      </c>
    </row>
    <row r="64" spans="1:31">
      <c r="C64" s="277"/>
      <c r="D64" s="277"/>
      <c r="M64" s="277"/>
      <c r="N64" s="277"/>
      <c r="P64" s="277"/>
      <c r="Q64" s="277"/>
      <c r="R64" s="277"/>
      <c r="S64" s="277"/>
      <c r="T64" s="277"/>
      <c r="U64" s="277"/>
      <c r="V64" s="277"/>
      <c r="W64" s="277"/>
      <c r="X64" s="277"/>
      <c r="Y64" s="277"/>
      <c r="Z64" s="288"/>
      <c r="AA64" s="277"/>
      <c r="AB64" s="300"/>
      <c r="AC64" s="300"/>
    </row>
    <row r="65" spans="1:31">
      <c r="A65" s="276" t="s">
        <v>637</v>
      </c>
      <c r="C65" s="277">
        <v>84455.43</v>
      </c>
      <c r="D65" s="277"/>
      <c r="E65" s="290">
        <v>1905.53</v>
      </c>
      <c r="F65" s="278">
        <f>112.26+9.08</f>
        <v>121.34</v>
      </c>
      <c r="G65" s="278">
        <v>9.0299999999999994</v>
      </c>
      <c r="H65" s="278">
        <v>143.33000000000001</v>
      </c>
      <c r="I65" s="278">
        <v>32</v>
      </c>
      <c r="J65" s="278">
        <v>0</v>
      </c>
      <c r="K65" s="278">
        <f>SUM(E65:J65)</f>
        <v>2211.23</v>
      </c>
      <c r="M65" s="277"/>
      <c r="N65" s="277"/>
      <c r="P65" s="277"/>
      <c r="Q65" s="277"/>
      <c r="R65" s="277"/>
      <c r="S65" s="277"/>
      <c r="T65" s="277"/>
      <c r="U65" s="277"/>
      <c r="V65" s="277"/>
      <c r="W65" s="277"/>
      <c r="X65" s="277"/>
      <c r="Y65" s="277">
        <f>K65+M65+P65+S65+V65</f>
        <v>2211.23</v>
      </c>
      <c r="Z65" s="277">
        <f>+C65+N65+Q65+T65+W65</f>
        <v>84455.43</v>
      </c>
      <c r="AA65" s="277"/>
      <c r="AB65" s="277">
        <v>84455.43</v>
      </c>
      <c r="AC65" s="277"/>
      <c r="AD65" s="277"/>
      <c r="AE65" s="277"/>
    </row>
    <row r="66" spans="1:31">
      <c r="A66" s="276" t="s">
        <v>639</v>
      </c>
      <c r="C66" s="277">
        <v>50658.19</v>
      </c>
      <c r="D66" s="277"/>
      <c r="E66" s="278">
        <v>1911.34</v>
      </c>
      <c r="F66" s="278">
        <v>29.89</v>
      </c>
      <c r="G66" s="278">
        <v>9.4</v>
      </c>
      <c r="H66" s="278">
        <v>127.3</v>
      </c>
      <c r="I66" s="278">
        <v>32</v>
      </c>
      <c r="J66" s="278">
        <v>0</v>
      </c>
      <c r="K66" s="278">
        <f>SUM(E66:J66)</f>
        <v>2109.9300000000003</v>
      </c>
      <c r="M66" s="277"/>
      <c r="N66" s="277"/>
      <c r="P66" s="277"/>
      <c r="Q66" s="277"/>
      <c r="R66" s="277"/>
      <c r="S66" s="277"/>
      <c r="T66" s="277"/>
      <c r="U66" s="277"/>
      <c r="V66" s="277"/>
      <c r="W66" s="277"/>
      <c r="X66" s="277"/>
      <c r="Y66" s="277">
        <f>K66+M66+P66+S66+V66</f>
        <v>2109.9300000000003</v>
      </c>
      <c r="Z66" s="277">
        <f>+C66+N66+Q66+T66+W66</f>
        <v>50658.19</v>
      </c>
      <c r="AA66" s="277"/>
      <c r="AB66" s="277">
        <v>50658.19</v>
      </c>
      <c r="AC66" s="304"/>
      <c r="AD66" s="277"/>
      <c r="AE66" s="277"/>
    </row>
    <row r="67" spans="1:31">
      <c r="A67" s="276" t="s">
        <v>648</v>
      </c>
      <c r="C67" s="277">
        <v>76243.009999999995</v>
      </c>
      <c r="D67" s="277"/>
      <c r="E67" s="278">
        <v>1809.46</v>
      </c>
      <c r="F67" s="278">
        <f>100.18+9.38</f>
        <v>109.56</v>
      </c>
      <c r="G67" s="278">
        <v>9.43</v>
      </c>
      <c r="H67" s="278">
        <v>151.04</v>
      </c>
      <c r="I67" s="278">
        <v>32</v>
      </c>
      <c r="J67" s="278">
        <v>80</v>
      </c>
      <c r="K67" s="278">
        <f t="shared" ref="K67:K68" si="22">SUM(E67:J67)</f>
        <v>2191.4900000000002</v>
      </c>
      <c r="M67" s="277"/>
      <c r="N67" s="277"/>
      <c r="P67" s="277"/>
      <c r="Q67" s="277"/>
      <c r="R67" s="277"/>
      <c r="S67" s="277"/>
      <c r="T67" s="277"/>
      <c r="U67" s="277"/>
      <c r="V67" s="277"/>
      <c r="W67" s="277"/>
      <c r="X67" s="277"/>
      <c r="Y67" s="277">
        <f t="shared" ref="Y67:Y68" si="23">K67+M67+P67+S67+V67</f>
        <v>2191.4900000000002</v>
      </c>
      <c r="Z67" s="277">
        <f t="shared" ref="Z67:Z68" si="24">+C67+N67+Q67+T67+W67</f>
        <v>76243.009999999995</v>
      </c>
      <c r="AA67" s="277"/>
      <c r="AB67" s="277">
        <v>76243.009999999995</v>
      </c>
      <c r="AC67" s="304"/>
      <c r="AD67" s="277"/>
      <c r="AE67" s="277"/>
    </row>
    <row r="68" spans="1:31">
      <c r="A68" s="276" t="s">
        <v>650</v>
      </c>
      <c r="C68" s="277">
        <v>64680.92</v>
      </c>
      <c r="D68" s="277"/>
      <c r="E68" s="278">
        <v>1874.82</v>
      </c>
      <c r="F68" s="278">
        <v>52.57</v>
      </c>
      <c r="G68" s="278">
        <f>7.8+9.72</f>
        <v>17.52</v>
      </c>
      <c r="H68" s="278">
        <v>84.69</v>
      </c>
      <c r="I68" s="278">
        <v>32.200000000000003</v>
      </c>
      <c r="J68" s="278">
        <v>0</v>
      </c>
      <c r="K68" s="278">
        <f t="shared" si="22"/>
        <v>2061.7999999999997</v>
      </c>
      <c r="M68" s="277"/>
      <c r="N68" s="277"/>
      <c r="P68" s="277"/>
      <c r="Q68" s="277"/>
      <c r="R68" s="277"/>
      <c r="S68" s="277"/>
      <c r="T68" s="277"/>
      <c r="U68" s="277"/>
      <c r="V68" s="277"/>
      <c r="W68" s="277"/>
      <c r="X68" s="277"/>
      <c r="Y68" s="277">
        <f t="shared" si="23"/>
        <v>2061.7999999999997</v>
      </c>
      <c r="Z68" s="277">
        <f t="shared" si="24"/>
        <v>64680.92</v>
      </c>
      <c r="AA68" s="277"/>
      <c r="AB68" s="277">
        <v>64680.92</v>
      </c>
      <c r="AC68" s="304"/>
      <c r="AD68" s="277"/>
      <c r="AE68" s="277"/>
    </row>
    <row r="69" spans="1:31">
      <c r="A69" s="287" t="s">
        <v>8</v>
      </c>
      <c r="C69" s="291">
        <f>SUM(C65:C68)</f>
        <v>276037.55</v>
      </c>
      <c r="D69" s="277"/>
      <c r="E69" s="292">
        <f>SUM(E65:E68)</f>
        <v>7501.15</v>
      </c>
      <c r="F69" s="292">
        <f t="shared" ref="F69:K69" si="25">SUM(F65:F68)</f>
        <v>313.36</v>
      </c>
      <c r="G69" s="292">
        <f t="shared" si="25"/>
        <v>45.379999999999995</v>
      </c>
      <c r="H69" s="292">
        <f t="shared" si="25"/>
        <v>506.35999999999996</v>
      </c>
      <c r="I69" s="292">
        <f t="shared" si="25"/>
        <v>128.19999999999999</v>
      </c>
      <c r="J69" s="292">
        <f t="shared" si="25"/>
        <v>80</v>
      </c>
      <c r="K69" s="292">
        <f t="shared" si="25"/>
        <v>8574.4499999999989</v>
      </c>
      <c r="M69" s="291"/>
      <c r="N69" s="291"/>
      <c r="P69" s="291"/>
      <c r="Q69" s="291"/>
      <c r="R69" s="277"/>
      <c r="S69" s="291"/>
      <c r="T69" s="291"/>
      <c r="U69" s="277"/>
      <c r="V69" s="291"/>
      <c r="W69" s="291"/>
      <c r="X69" s="277"/>
      <c r="Y69" s="291">
        <f>SUM(Y65:Y68)</f>
        <v>8574.4499999999989</v>
      </c>
      <c r="Z69" s="291">
        <f>SUM(Z65:Z68)</f>
        <v>276037.55</v>
      </c>
      <c r="AA69" s="277"/>
      <c r="AB69" s="277"/>
      <c r="AC69" s="277">
        <f>+Z69</f>
        <v>276037.55</v>
      </c>
      <c r="AD69" s="1">
        <f>+AC69*'WP -11 Non-Regulated'!$K$29</f>
        <v>129778.42990296466</v>
      </c>
      <c r="AE69" s="1" t="s">
        <v>1131</v>
      </c>
    </row>
    <row r="70" spans="1:31">
      <c r="A70" s="287"/>
      <c r="C70" s="277"/>
      <c r="D70" s="277"/>
      <c r="M70" s="277"/>
      <c r="N70" s="277"/>
      <c r="P70" s="277"/>
      <c r="Q70" s="277"/>
      <c r="R70" s="277"/>
      <c r="S70" s="277"/>
      <c r="T70" s="277"/>
      <c r="U70" s="277"/>
      <c r="V70" s="277"/>
      <c r="W70" s="277"/>
      <c r="X70" s="277"/>
      <c r="Y70" s="277"/>
      <c r="Z70" s="277"/>
      <c r="AA70" s="277"/>
      <c r="AB70" s="277"/>
      <c r="AC70" s="277"/>
      <c r="AD70" s="277"/>
      <c r="AE70" s="277"/>
    </row>
    <row r="71" spans="1:31">
      <c r="C71" s="296"/>
      <c r="D71" s="277"/>
      <c r="E71" s="305"/>
      <c r="F71" s="305"/>
      <c r="G71" s="305"/>
      <c r="H71" s="305"/>
      <c r="I71" s="305"/>
      <c r="J71" s="305"/>
      <c r="K71" s="305"/>
      <c r="M71" s="277"/>
      <c r="N71" s="277"/>
      <c r="P71" s="277"/>
      <c r="Q71" s="277"/>
      <c r="R71" s="277"/>
      <c r="S71" s="277"/>
      <c r="T71" s="277"/>
      <c r="U71" s="277"/>
      <c r="V71" s="277"/>
      <c r="W71" s="277"/>
      <c r="X71" s="277"/>
      <c r="Y71" s="296"/>
      <c r="Z71" s="306"/>
      <c r="AA71" s="277"/>
      <c r="AB71" s="767"/>
      <c r="AC71" s="767"/>
      <c r="AD71" s="626"/>
    </row>
    <row r="72" spans="1:31" ht="16.5" thickBot="1">
      <c r="A72" s="2"/>
      <c r="C72" s="627">
        <f>+C69+C53+C63+C21+C12+C27</f>
        <v>2644762.4800000004</v>
      </c>
      <c r="D72" s="307"/>
      <c r="E72" s="627">
        <f t="shared" ref="E72:K72" si="26">+E69+E53+E63+E21+E12+E27</f>
        <v>82564.14</v>
      </c>
      <c r="F72" s="627">
        <f t="shared" si="26"/>
        <v>3511.2499999999995</v>
      </c>
      <c r="G72" s="627">
        <f t="shared" si="26"/>
        <v>403.19</v>
      </c>
      <c r="H72" s="627">
        <f t="shared" si="26"/>
        <v>5581.5900000000011</v>
      </c>
      <c r="I72" s="627">
        <f t="shared" si="26"/>
        <v>1417.18</v>
      </c>
      <c r="J72" s="627">
        <f t="shared" si="26"/>
        <v>340.41</v>
      </c>
      <c r="K72" s="627">
        <f t="shared" si="26"/>
        <v>93817.760000000009</v>
      </c>
      <c r="L72" s="307"/>
      <c r="M72" s="627" t="e">
        <f t="shared" ref="M72:X72" si="27">M69+M63+M53+M12</f>
        <v>#REF!</v>
      </c>
      <c r="N72" s="627" t="e">
        <f t="shared" si="27"/>
        <v>#REF!</v>
      </c>
      <c r="O72" s="627">
        <f t="shared" si="27"/>
        <v>0</v>
      </c>
      <c r="P72" s="627" t="e">
        <f t="shared" si="27"/>
        <v>#REF!</v>
      </c>
      <c r="Q72" s="627" t="e">
        <f t="shared" si="27"/>
        <v>#REF!</v>
      </c>
      <c r="R72" s="627">
        <f t="shared" si="27"/>
        <v>0</v>
      </c>
      <c r="S72" s="627" t="e">
        <f t="shared" si="27"/>
        <v>#REF!</v>
      </c>
      <c r="T72" s="627" t="e">
        <f t="shared" si="27"/>
        <v>#REF!</v>
      </c>
      <c r="U72" s="627">
        <f t="shared" si="27"/>
        <v>0</v>
      </c>
      <c r="V72" s="627" t="e">
        <f t="shared" si="27"/>
        <v>#REF!</v>
      </c>
      <c r="W72" s="627" t="e">
        <f t="shared" si="27"/>
        <v>#REF!</v>
      </c>
      <c r="X72" s="627">
        <f t="shared" si="27"/>
        <v>0</v>
      </c>
      <c r="Y72" s="627">
        <f>+Y69+Y53+Y63+Y21+Y12+Y27</f>
        <v>93817.760000000009</v>
      </c>
      <c r="Z72" s="627">
        <f>+Z69+Z53+Z63+Z21+Z12+Z27</f>
        <v>2644762.4800000004</v>
      </c>
      <c r="AA72" s="277"/>
      <c r="AB72" s="277">
        <f>SUM(AB11:AB69)</f>
        <v>2644762.48</v>
      </c>
      <c r="AC72" s="277">
        <f>SUM(AC11:AC69)</f>
        <v>2644762.4799999995</v>
      </c>
      <c r="AD72" s="1">
        <f>SUM(AD12:AD71)</f>
        <v>1357571.8880185869</v>
      </c>
      <c r="AE72" s="277"/>
    </row>
    <row r="73" spans="1:31" ht="16.5" thickTop="1"/>
    <row r="74" spans="1:31" ht="15.75" customHeight="1">
      <c r="A74" s="1" t="s">
        <v>112</v>
      </c>
      <c r="C74" s="1">
        <f>+'IS-PBC'!O107</f>
        <v>2644762.48</v>
      </c>
      <c r="F74" s="308"/>
      <c r="G74" s="308"/>
      <c r="H74" s="308"/>
      <c r="I74" s="308"/>
      <c r="J74" s="308"/>
      <c r="K74" s="308"/>
      <c r="W74" s="1" t="e">
        <f>+N72+Q72+T72+W72</f>
        <v>#REF!</v>
      </c>
      <c r="Z74" s="1">
        <f>+C74</f>
        <v>2644762.48</v>
      </c>
      <c r="AB74" s="1">
        <f>+AB72-AD72</f>
        <v>1287190.5919814131</v>
      </c>
      <c r="AD74" s="749">
        <f>1-(+AD72/AB72)</f>
        <v>0.48669421232163468</v>
      </c>
      <c r="AE74" s="1" t="s">
        <v>1140</v>
      </c>
    </row>
    <row r="75" spans="1:31">
      <c r="C75" s="599">
        <f>C72-C74</f>
        <v>0</v>
      </c>
      <c r="F75" s="308"/>
      <c r="G75" s="308"/>
      <c r="H75" s="308"/>
      <c r="I75" s="308"/>
      <c r="J75" s="308"/>
      <c r="K75" s="308"/>
      <c r="Z75" s="599">
        <f>Z72-Z74</f>
        <v>0</v>
      </c>
      <c r="AB75" s="309"/>
      <c r="AC75" s="39"/>
    </row>
    <row r="76" spans="1:31">
      <c r="C76" s="2"/>
      <c r="F76" s="308"/>
      <c r="G76" s="308"/>
      <c r="H76" s="308"/>
      <c r="I76" s="308"/>
      <c r="J76" s="308"/>
      <c r="K76" s="308"/>
      <c r="V76" s="309"/>
      <c r="Z76" s="2"/>
    </row>
    <row r="77" spans="1:31" s="619" customFormat="1" ht="15.75" customHeight="1">
      <c r="A77" s="625"/>
      <c r="B77" s="632"/>
      <c r="C77" s="633"/>
      <c r="E77" s="634"/>
      <c r="F77" s="635"/>
      <c r="G77" s="635"/>
      <c r="H77" s="635"/>
      <c r="I77" s="635"/>
      <c r="J77" s="635"/>
      <c r="K77" s="635"/>
      <c r="L77" s="635"/>
      <c r="M77" s="635"/>
      <c r="N77" s="635"/>
      <c r="O77" s="635"/>
      <c r="P77" s="635"/>
      <c r="Q77" s="635"/>
    </row>
    <row r="78" spans="1:31" s="619" customFormat="1">
      <c r="A78" s="1"/>
      <c r="B78" s="632"/>
      <c r="E78" s="634"/>
      <c r="F78" s="635"/>
      <c r="G78" s="635"/>
      <c r="H78" s="635"/>
      <c r="I78" s="635"/>
      <c r="J78" s="635"/>
      <c r="K78" s="635"/>
      <c r="L78" s="635"/>
      <c r="M78" s="635"/>
      <c r="N78" s="635"/>
      <c r="O78" s="635"/>
      <c r="P78" s="635"/>
      <c r="Q78" s="635"/>
    </row>
    <row r="79" spans="1:31" s="619" customFormat="1" ht="15.75" customHeight="1">
      <c r="A79" s="1"/>
      <c r="B79" s="632"/>
      <c r="C79" s="633"/>
      <c r="E79" s="634"/>
      <c r="F79" s="635"/>
      <c r="G79" s="635"/>
      <c r="H79" s="635"/>
      <c r="I79" s="635"/>
      <c r="J79" s="635"/>
      <c r="K79" s="635"/>
      <c r="L79" s="635"/>
      <c r="M79" s="635"/>
      <c r="N79" s="635"/>
      <c r="O79" s="635"/>
      <c r="P79" s="635"/>
      <c r="Q79" s="635"/>
    </row>
    <row r="80" spans="1:31" s="619" customFormat="1">
      <c r="A80" s="1"/>
      <c r="B80" s="632"/>
      <c r="E80" s="634"/>
      <c r="F80" s="635"/>
      <c r="G80" s="635"/>
      <c r="H80" s="635"/>
      <c r="I80" s="635"/>
      <c r="J80" s="635"/>
      <c r="K80" s="635"/>
      <c r="L80" s="635"/>
      <c r="M80" s="635"/>
      <c r="N80" s="635"/>
      <c r="O80" s="635"/>
      <c r="P80" s="635"/>
      <c r="Q80" s="635"/>
    </row>
    <row r="81" spans="1:17" s="619" customFormat="1">
      <c r="A81" s="1"/>
      <c r="B81" s="632"/>
      <c r="C81" s="633"/>
      <c r="E81" s="634"/>
      <c r="F81" s="635"/>
      <c r="G81" s="635"/>
      <c r="H81" s="635"/>
      <c r="I81" s="635"/>
      <c r="J81" s="635"/>
      <c r="K81" s="635"/>
      <c r="L81" s="635"/>
      <c r="M81" s="635"/>
      <c r="N81" s="635"/>
      <c r="O81" s="635"/>
      <c r="P81" s="635"/>
      <c r="Q81" s="635"/>
    </row>
    <row r="82" spans="1:17" s="619" customFormat="1">
      <c r="A82" s="1"/>
      <c r="C82" s="636"/>
      <c r="E82" s="634"/>
      <c r="F82" s="635"/>
      <c r="G82" s="635"/>
      <c r="H82" s="635"/>
      <c r="I82" s="635"/>
      <c r="J82" s="635"/>
      <c r="K82" s="635"/>
      <c r="L82" s="635"/>
      <c r="M82" s="635"/>
      <c r="N82" s="635"/>
      <c r="O82" s="635"/>
      <c r="P82" s="635"/>
      <c r="Q82" s="635"/>
    </row>
    <row r="83" spans="1:17" s="619" customFormat="1">
      <c r="A83" s="1"/>
      <c r="B83" s="632"/>
      <c r="E83" s="634"/>
      <c r="F83" s="635"/>
      <c r="G83" s="635"/>
      <c r="H83" s="635"/>
      <c r="I83" s="635"/>
      <c r="J83" s="635"/>
      <c r="K83" s="635"/>
      <c r="L83" s="635"/>
      <c r="M83" s="635"/>
      <c r="N83" s="635"/>
      <c r="O83" s="635"/>
      <c r="P83" s="635"/>
      <c r="Q83" s="635"/>
    </row>
    <row r="84" spans="1:17" s="619" customFormat="1">
      <c r="A84" s="1"/>
      <c r="B84" s="632"/>
      <c r="E84" s="634"/>
      <c r="F84" s="635"/>
      <c r="G84" s="635"/>
      <c r="H84" s="635"/>
      <c r="I84" s="635"/>
      <c r="J84" s="635"/>
      <c r="K84" s="635"/>
      <c r="L84" s="635"/>
      <c r="M84" s="635"/>
      <c r="N84" s="635"/>
      <c r="O84" s="635"/>
      <c r="P84" s="635"/>
      <c r="Q84" s="635"/>
    </row>
    <row r="85" spans="1:17" s="619" customFormat="1">
      <c r="A85" s="1"/>
      <c r="B85" s="632"/>
      <c r="E85" s="634"/>
      <c r="F85" s="635"/>
      <c r="G85" s="635"/>
      <c r="H85" s="635"/>
      <c r="I85" s="635"/>
      <c r="J85" s="635"/>
      <c r="K85" s="635"/>
      <c r="L85" s="635"/>
      <c r="M85" s="635"/>
      <c r="N85" s="635"/>
      <c r="O85" s="635"/>
      <c r="P85" s="635"/>
      <c r="Q85" s="635"/>
    </row>
    <row r="86" spans="1:17" s="619" customFormat="1">
      <c r="A86" s="1"/>
      <c r="E86" s="634"/>
      <c r="F86" s="637"/>
      <c r="G86" s="637"/>
      <c r="H86" s="637"/>
      <c r="I86" s="637"/>
      <c r="J86" s="637"/>
      <c r="K86" s="637"/>
      <c r="L86" s="634"/>
      <c r="O86" s="634"/>
    </row>
    <row r="87" spans="1:17" ht="49.5" customHeight="1">
      <c r="A87" s="309"/>
      <c r="F87" s="311"/>
      <c r="G87" s="311"/>
      <c r="H87" s="311"/>
      <c r="I87" s="311"/>
      <c r="J87" s="311"/>
      <c r="K87" s="311"/>
      <c r="L87" s="311"/>
      <c r="M87" s="311"/>
      <c r="N87" s="311"/>
      <c r="O87" s="311"/>
      <c r="P87" s="311"/>
      <c r="Q87" s="311"/>
    </row>
    <row r="88" spans="1:17">
      <c r="A88" s="309"/>
      <c r="F88" s="311"/>
      <c r="G88" s="311"/>
      <c r="H88" s="311"/>
      <c r="I88" s="311"/>
      <c r="J88" s="311"/>
      <c r="K88" s="311"/>
    </row>
    <row r="89" spans="1:17" ht="15.75" customHeight="1">
      <c r="A89" s="309"/>
      <c r="F89" s="312"/>
      <c r="G89" s="312"/>
      <c r="H89" s="312"/>
      <c r="I89" s="312"/>
      <c r="J89" s="312"/>
      <c r="K89" s="312"/>
      <c r="L89" s="312"/>
      <c r="M89" s="312"/>
      <c r="N89" s="312"/>
      <c r="O89" s="312"/>
      <c r="P89" s="312"/>
      <c r="Q89" s="312"/>
    </row>
    <row r="90" spans="1:17">
      <c r="F90" s="312"/>
      <c r="G90" s="312"/>
      <c r="H90" s="312"/>
      <c r="I90" s="312"/>
      <c r="J90" s="312"/>
      <c r="K90" s="312"/>
      <c r="L90" s="312"/>
      <c r="M90" s="312"/>
      <c r="N90" s="312"/>
      <c r="O90" s="312"/>
      <c r="P90" s="312"/>
      <c r="Q90" s="312"/>
    </row>
    <row r="91" spans="1:17">
      <c r="F91" s="312"/>
      <c r="G91" s="312"/>
      <c r="H91" s="312"/>
      <c r="I91" s="312"/>
      <c r="J91" s="312"/>
      <c r="K91" s="312"/>
      <c r="L91" s="312"/>
      <c r="M91" s="312"/>
      <c r="N91" s="312"/>
      <c r="O91" s="312"/>
      <c r="P91" s="312"/>
      <c r="Q91" s="312"/>
    </row>
    <row r="92" spans="1:17">
      <c r="F92" s="312"/>
      <c r="G92" s="312"/>
      <c r="H92" s="312"/>
      <c r="I92" s="312"/>
      <c r="J92" s="312"/>
      <c r="K92" s="312"/>
      <c r="L92" s="312"/>
      <c r="M92" s="312"/>
      <c r="N92" s="312"/>
      <c r="O92" s="312"/>
      <c r="P92" s="312"/>
      <c r="Q92" s="312"/>
    </row>
    <row r="93" spans="1:17">
      <c r="F93" s="312"/>
      <c r="G93" s="312"/>
      <c r="H93" s="312"/>
      <c r="I93" s="312"/>
      <c r="J93" s="312"/>
      <c r="K93" s="312"/>
      <c r="L93" s="312"/>
      <c r="M93" s="312"/>
      <c r="N93" s="312"/>
      <c r="O93" s="312"/>
      <c r="P93" s="312"/>
      <c r="Q93" s="312"/>
    </row>
    <row r="94" spans="1:17">
      <c r="F94" s="312"/>
      <c r="G94" s="312"/>
      <c r="H94" s="312"/>
      <c r="I94" s="312"/>
      <c r="J94" s="312"/>
      <c r="K94" s="312"/>
      <c r="L94" s="312"/>
      <c r="M94" s="312"/>
      <c r="N94" s="312"/>
      <c r="O94" s="312"/>
      <c r="P94" s="312"/>
      <c r="Q94" s="312"/>
    </row>
    <row r="95" spans="1:17">
      <c r="F95" s="312"/>
      <c r="G95" s="312"/>
      <c r="H95" s="312"/>
      <c r="I95" s="312"/>
      <c r="J95" s="312"/>
      <c r="K95" s="312"/>
      <c r="L95" s="312"/>
      <c r="M95" s="312"/>
      <c r="N95" s="312"/>
      <c r="O95" s="312"/>
      <c r="P95" s="312"/>
      <c r="Q95" s="312"/>
    </row>
    <row r="96" spans="1:17">
      <c r="F96" s="312"/>
      <c r="G96" s="312"/>
      <c r="H96" s="312"/>
      <c r="I96" s="312"/>
      <c r="J96" s="312"/>
      <c r="K96" s="312"/>
      <c r="L96" s="312"/>
      <c r="M96" s="312"/>
      <c r="N96" s="312"/>
      <c r="O96" s="312"/>
      <c r="P96" s="312"/>
      <c r="Q96" s="312"/>
    </row>
    <row r="97" spans="6:17">
      <c r="F97" s="312"/>
      <c r="G97" s="312"/>
      <c r="H97" s="312"/>
      <c r="I97" s="312"/>
      <c r="J97" s="312"/>
      <c r="K97" s="312"/>
      <c r="L97" s="312"/>
      <c r="M97" s="312"/>
      <c r="N97" s="312"/>
      <c r="O97" s="312"/>
      <c r="P97" s="312"/>
      <c r="Q97" s="312"/>
    </row>
    <row r="98" spans="6:17">
      <c r="F98" s="313"/>
      <c r="G98" s="313"/>
      <c r="H98" s="313"/>
      <c r="I98" s="313"/>
      <c r="J98" s="313"/>
      <c r="K98" s="313"/>
      <c r="L98" s="313"/>
      <c r="M98" s="313"/>
      <c r="N98" s="313"/>
      <c r="O98" s="313"/>
      <c r="P98" s="313"/>
      <c r="Q98" s="313"/>
    </row>
    <row r="99" spans="6:17">
      <c r="F99" s="313"/>
      <c r="G99" s="313"/>
      <c r="H99" s="313"/>
      <c r="I99" s="313"/>
      <c r="J99" s="313"/>
      <c r="K99" s="313"/>
      <c r="L99" s="313"/>
      <c r="M99" s="313"/>
      <c r="N99" s="313"/>
      <c r="O99" s="313"/>
      <c r="P99" s="313"/>
      <c r="Q99" s="313"/>
    </row>
  </sheetData>
  <mergeCells count="14">
    <mergeCell ref="A1:AC1"/>
    <mergeCell ref="A3:AC3"/>
    <mergeCell ref="A4:AC4"/>
    <mergeCell ref="M9:N9"/>
    <mergeCell ref="C7:C8"/>
    <mergeCell ref="S8:T8"/>
    <mergeCell ref="M7:W7"/>
    <mergeCell ref="M8:N8"/>
    <mergeCell ref="V9:W9"/>
    <mergeCell ref="P8:Q8"/>
    <mergeCell ref="P9:Q9"/>
    <mergeCell ref="V8:W8"/>
    <mergeCell ref="Y9:Z9"/>
    <mergeCell ref="S9:T9"/>
  </mergeCells>
  <phoneticPr fontId="0" type="noConversion"/>
  <pageMargins left="0.5" right="0.5" top="0.75" bottom="0.5" header="0.22" footer="0.26"/>
  <pageSetup scale="44" orientation="landscape" horizontalDpi="300"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codeName="Sheet24"/>
  <dimension ref="A1:AG117"/>
  <sheetViews>
    <sheetView zoomScale="70" zoomScaleNormal="70" zoomScaleSheetLayoutView="25" workbookViewId="0">
      <pane xSplit="1" ySplit="1" topLeftCell="E68" activePane="bottomRight" state="frozen"/>
      <selection pane="topRight" activeCell="B1" sqref="B1"/>
      <selection pane="bottomLeft" activeCell="A2" sqref="A2"/>
      <selection pane="bottomRight" activeCell="A67" sqref="A67"/>
    </sheetView>
  </sheetViews>
  <sheetFormatPr defaultColWidth="8.88671875" defaultRowHeight="15.75"/>
  <cols>
    <col min="1" max="1" width="26.77734375" style="1" customWidth="1"/>
    <col min="2" max="2" width="10.88671875" style="2" customWidth="1"/>
    <col min="3" max="3" width="20.88671875" style="2" customWidth="1"/>
    <col min="4" max="7" width="12.88671875" style="2" customWidth="1"/>
    <col min="8" max="8" width="2.109375" style="2" customWidth="1"/>
    <col min="9" max="10" width="15.44140625" style="2" customWidth="1"/>
    <col min="11" max="11" width="15.88671875" style="2" customWidth="1"/>
    <col min="12" max="12" width="2.33203125" style="1" customWidth="1"/>
    <col min="13" max="13" width="14.6640625" style="1" customWidth="1"/>
    <col min="14" max="14" width="19.6640625" style="1" customWidth="1"/>
    <col min="15" max="15" width="14.88671875" style="1" customWidth="1"/>
    <col min="16" max="16" width="13.21875" style="2" customWidth="1"/>
    <col min="17" max="17" width="11.109375" style="2" customWidth="1"/>
    <col min="18" max="18" width="12.88671875" style="2" customWidth="1"/>
    <col min="19" max="19" width="11.88671875" style="1" customWidth="1"/>
    <col min="20" max="20" width="9.33203125" style="1" customWidth="1"/>
    <col min="21" max="21" width="8.5546875" style="1" bestFit="1" customWidth="1"/>
    <col min="22" max="22" width="10.88671875" style="1" bestFit="1" customWidth="1"/>
    <col min="23" max="23" width="17.21875" style="1" bestFit="1" customWidth="1"/>
    <col min="24" max="24" width="15.88671875" style="1" bestFit="1" customWidth="1"/>
    <col min="25" max="27" width="12.88671875" style="1" customWidth="1"/>
    <col min="28" max="28" width="14.6640625" style="1" bestFit="1" customWidth="1"/>
    <col min="29" max="30" width="12.88671875" style="1" customWidth="1"/>
    <col min="31" max="31" width="11.6640625" style="1" customWidth="1"/>
    <col min="32" max="32" width="12.21875" style="1" customWidth="1"/>
    <col min="33" max="33" width="10.5546875" style="1" customWidth="1"/>
    <col min="34" max="34" width="11.88671875" style="1" customWidth="1"/>
    <col min="35" max="16384" width="8.88671875" style="1"/>
  </cols>
  <sheetData>
    <row r="1" spans="1:33" ht="16.5">
      <c r="A1" s="863" t="s">
        <v>664</v>
      </c>
      <c r="B1" s="863"/>
      <c r="C1" s="863"/>
      <c r="D1" s="863"/>
      <c r="E1" s="863"/>
      <c r="F1" s="863"/>
      <c r="G1" s="863"/>
      <c r="H1" s="863"/>
      <c r="I1" s="863"/>
      <c r="J1" s="863"/>
      <c r="K1" s="863"/>
      <c r="L1" s="863"/>
      <c r="M1" s="863"/>
      <c r="N1" s="863"/>
      <c r="O1" s="863"/>
      <c r="P1" s="863"/>
      <c r="Q1" s="863"/>
      <c r="R1" s="315"/>
      <c r="S1" s="856"/>
      <c r="T1" s="856"/>
      <c r="U1" s="856"/>
      <c r="V1" s="856"/>
      <c r="W1" s="856"/>
      <c r="X1" s="856"/>
      <c r="Y1" s="856"/>
      <c r="Z1" s="856"/>
      <c r="AA1" s="856"/>
      <c r="AB1" s="856"/>
      <c r="AC1" s="856"/>
      <c r="AD1" s="856"/>
      <c r="AE1" s="856"/>
      <c r="AF1" s="856"/>
      <c r="AG1" s="314"/>
    </row>
    <row r="2" spans="1:33" ht="13.5" customHeight="1">
      <c r="A2" s="279"/>
      <c r="B2" s="1"/>
      <c r="Q2" s="1"/>
      <c r="R2" s="1"/>
      <c r="S2" s="2"/>
      <c r="T2" s="2"/>
      <c r="U2" s="2"/>
      <c r="V2" s="2"/>
      <c r="W2" s="2"/>
      <c r="X2" s="2"/>
      <c r="Y2" s="2"/>
      <c r="Z2" s="2"/>
      <c r="AA2" s="2"/>
      <c r="AD2" s="2"/>
      <c r="AG2" s="2"/>
    </row>
    <row r="3" spans="1:33" ht="16.5">
      <c r="A3" s="863" t="s">
        <v>212</v>
      </c>
      <c r="B3" s="863"/>
      <c r="C3" s="863"/>
      <c r="D3" s="863"/>
      <c r="E3" s="863"/>
      <c r="F3" s="863"/>
      <c r="G3" s="863"/>
      <c r="H3" s="863"/>
      <c r="I3" s="863"/>
      <c r="J3" s="863"/>
      <c r="K3" s="863"/>
      <c r="L3" s="863"/>
      <c r="M3" s="863"/>
      <c r="N3" s="863"/>
      <c r="O3" s="863"/>
      <c r="P3" s="863"/>
      <c r="Q3" s="863"/>
      <c r="R3" s="315"/>
      <c r="S3" s="797"/>
      <c r="T3" s="797"/>
      <c r="U3" s="863" t="s">
        <v>1185</v>
      </c>
      <c r="V3" s="863"/>
      <c r="W3" s="863"/>
      <c r="X3" s="863"/>
      <c r="Y3" s="797"/>
      <c r="Z3" s="797"/>
      <c r="AA3" s="797"/>
      <c r="AB3" s="797"/>
      <c r="AC3" s="797"/>
      <c r="AD3" s="797"/>
      <c r="AE3" s="797"/>
      <c r="AF3" s="797"/>
      <c r="AG3" s="314"/>
    </row>
    <row r="4" spans="1:33">
      <c r="A4" s="315"/>
      <c r="B4" s="315"/>
      <c r="C4" s="315"/>
      <c r="D4" s="315"/>
      <c r="E4" s="315"/>
      <c r="F4" s="315"/>
      <c r="G4" s="315"/>
      <c r="H4" s="315"/>
      <c r="I4" s="315"/>
      <c r="J4" s="315"/>
      <c r="K4" s="315"/>
      <c r="L4" s="315"/>
      <c r="M4" s="315"/>
      <c r="N4" s="315"/>
      <c r="O4" s="315"/>
      <c r="P4" s="315"/>
      <c r="Q4" s="315"/>
      <c r="R4" s="315"/>
      <c r="S4" s="315"/>
      <c r="T4" s="315"/>
      <c r="U4" s="864" t="s">
        <v>1184</v>
      </c>
      <c r="V4" s="864"/>
      <c r="W4" s="865" t="s">
        <v>87</v>
      </c>
      <c r="X4" s="865"/>
      <c r="Y4" s="315"/>
      <c r="Z4" s="315"/>
      <c r="AA4" s="315"/>
      <c r="AB4" s="315"/>
      <c r="AC4" s="315"/>
      <c r="AD4" s="315"/>
      <c r="AE4" s="315"/>
      <c r="AF4" s="315"/>
      <c r="AG4" s="314"/>
    </row>
    <row r="5" spans="1:33" ht="15.6" customHeight="1">
      <c r="A5" s="857" t="str">
        <f>+'WP-1 - Summary Depr'!A5:P5</f>
        <v>In Support of Tariff 7 effective April 1, 2023</v>
      </c>
      <c r="B5" s="863"/>
      <c r="C5" s="863"/>
      <c r="D5" s="863"/>
      <c r="E5" s="863"/>
      <c r="F5" s="863"/>
      <c r="G5" s="863"/>
      <c r="H5" s="863"/>
      <c r="I5" s="863"/>
      <c r="J5" s="863"/>
      <c r="K5" s="863"/>
      <c r="L5" s="863"/>
      <c r="M5" s="863"/>
      <c r="N5" s="863"/>
      <c r="O5" s="863"/>
      <c r="P5" s="863"/>
      <c r="Q5" s="863"/>
      <c r="R5" s="315"/>
      <c r="S5" s="314"/>
      <c r="T5" s="314"/>
      <c r="U5" s="315"/>
      <c r="V5" s="315"/>
      <c r="W5" s="728">
        <f>1.0019-0.24</f>
        <v>0.76190000000000002</v>
      </c>
      <c r="X5" s="728" t="s">
        <v>1089</v>
      </c>
      <c r="Y5" s="314"/>
      <c r="Z5" s="314"/>
      <c r="AA5" s="314"/>
      <c r="AB5" s="314"/>
      <c r="AC5" s="314"/>
      <c r="AD5" s="314"/>
      <c r="AE5" s="314"/>
      <c r="AF5" s="314"/>
      <c r="AG5" s="314"/>
    </row>
    <row r="6" spans="1:33" ht="15.75" customHeight="1">
      <c r="B6" s="297"/>
      <c r="C6" s="297"/>
      <c r="D6" s="297"/>
      <c r="E6" s="297"/>
      <c r="F6" s="297"/>
      <c r="G6" s="297"/>
      <c r="H6" s="297"/>
      <c r="I6" s="297"/>
      <c r="J6" s="297"/>
      <c r="K6" s="297"/>
      <c r="L6" s="297"/>
      <c r="M6" s="857"/>
      <c r="N6" s="857"/>
      <c r="O6" s="336"/>
      <c r="P6" s="315"/>
      <c r="Q6" s="315"/>
      <c r="R6" s="315"/>
      <c r="S6" s="315"/>
      <c r="T6" s="315"/>
      <c r="U6" s="621" t="s">
        <v>181</v>
      </c>
      <c r="V6" s="1">
        <v>67600</v>
      </c>
      <c r="W6" s="728">
        <f>1.5-0.2801</f>
        <v>1.2199</v>
      </c>
      <c r="X6" s="729" t="s">
        <v>1090</v>
      </c>
      <c r="Y6" s="315"/>
      <c r="Z6" s="315"/>
      <c r="AA6" s="315"/>
      <c r="AB6" s="315"/>
      <c r="AC6" s="314"/>
    </row>
    <row r="7" spans="1:33" ht="15.75" customHeight="1">
      <c r="A7" s="289"/>
      <c r="B7" s="601"/>
      <c r="C7" s="601"/>
      <c r="D7" s="601"/>
      <c r="E7" s="862" t="s">
        <v>400</v>
      </c>
      <c r="F7" s="862"/>
      <c r="G7" s="862"/>
      <c r="H7" s="601"/>
      <c r="I7" s="1"/>
      <c r="J7" s="1"/>
      <c r="K7" s="4" t="s">
        <v>80</v>
      </c>
      <c r="M7" s="2"/>
      <c r="N7" s="2"/>
      <c r="O7" s="2"/>
      <c r="P7" s="1"/>
      <c r="Q7" s="1"/>
      <c r="R7" s="1"/>
      <c r="U7" s="621" t="s">
        <v>182</v>
      </c>
      <c r="V7" s="728">
        <v>5.4000000000000003E-3</v>
      </c>
      <c r="W7" s="728">
        <f>0.1851-0.0871</f>
        <v>9.799999999999999E-2</v>
      </c>
      <c r="X7" s="729" t="s">
        <v>1091</v>
      </c>
      <c r="Y7" s="309"/>
    </row>
    <row r="8" spans="1:33" ht="25.35" customHeight="1">
      <c r="A8" s="619"/>
      <c r="B8" s="617"/>
      <c r="C8" s="617"/>
      <c r="D8" s="617" t="s">
        <v>179</v>
      </c>
      <c r="E8" s="862"/>
      <c r="F8" s="862"/>
      <c r="G8" s="862"/>
      <c r="H8" s="617"/>
      <c r="I8" s="861"/>
      <c r="J8" s="861"/>
      <c r="K8" s="4" t="s">
        <v>415</v>
      </c>
      <c r="L8" s="3"/>
      <c r="M8" s="4" t="s">
        <v>396</v>
      </c>
      <c r="N8" s="4" t="s">
        <v>1059</v>
      </c>
      <c r="O8" s="4" t="s">
        <v>1058</v>
      </c>
      <c r="P8" s="618">
        <v>44927</v>
      </c>
      <c r="Q8" s="618">
        <v>45017</v>
      </c>
      <c r="R8" s="741" t="s">
        <v>1098</v>
      </c>
      <c r="S8" s="4" t="s">
        <v>0</v>
      </c>
      <c r="T8" s="3"/>
    </row>
    <row r="9" spans="1:33">
      <c r="A9" s="3"/>
      <c r="B9" s="4" t="s">
        <v>75</v>
      </c>
      <c r="C9" s="4" t="s">
        <v>79</v>
      </c>
      <c r="D9" s="284" t="s">
        <v>90</v>
      </c>
      <c r="E9" s="284" t="s">
        <v>393</v>
      </c>
      <c r="F9" s="284" t="s">
        <v>395</v>
      </c>
      <c r="G9" s="284" t="s">
        <v>395</v>
      </c>
      <c r="H9" s="284"/>
      <c r="I9" s="829" t="s">
        <v>180</v>
      </c>
      <c r="J9" s="829"/>
      <c r="K9" s="4" t="s">
        <v>409</v>
      </c>
      <c r="L9" s="3"/>
      <c r="M9" s="4" t="s">
        <v>397</v>
      </c>
      <c r="N9" s="4" t="s">
        <v>398</v>
      </c>
      <c r="O9" s="4" t="s">
        <v>402</v>
      </c>
      <c r="P9" s="4" t="s">
        <v>80</v>
      </c>
      <c r="Q9" s="4" t="s">
        <v>82</v>
      </c>
      <c r="R9" s="4" t="s">
        <v>1099</v>
      </c>
      <c r="S9" s="4" t="s">
        <v>82</v>
      </c>
      <c r="T9" s="4"/>
      <c r="U9" s="3"/>
      <c r="V9" s="4" t="s">
        <v>84</v>
      </c>
      <c r="W9" s="3"/>
      <c r="X9" s="4" t="s">
        <v>0</v>
      </c>
      <c r="Y9" s="4" t="s">
        <v>1139</v>
      </c>
      <c r="Z9" s="4"/>
    </row>
    <row r="10" spans="1:33">
      <c r="A10" s="285" t="s">
        <v>1</v>
      </c>
      <c r="B10" s="285" t="s">
        <v>54</v>
      </c>
      <c r="C10" s="285" t="s">
        <v>18</v>
      </c>
      <c r="D10" s="285" t="s">
        <v>18</v>
      </c>
      <c r="E10" s="285" t="s">
        <v>394</v>
      </c>
      <c r="F10" s="285" t="s">
        <v>394</v>
      </c>
      <c r="G10" s="285" t="s">
        <v>394</v>
      </c>
      <c r="H10" s="4"/>
      <c r="I10" s="285" t="s">
        <v>2</v>
      </c>
      <c r="J10" s="285" t="s">
        <v>3</v>
      </c>
      <c r="K10" s="628" t="s">
        <v>410</v>
      </c>
      <c r="L10" s="3"/>
      <c r="M10" s="618">
        <v>44927</v>
      </c>
      <c r="N10" s="4" t="s">
        <v>1097</v>
      </c>
      <c r="O10" s="4" t="s">
        <v>1097</v>
      </c>
      <c r="P10" s="4" t="s">
        <v>81</v>
      </c>
      <c r="Q10" s="4" t="s">
        <v>4</v>
      </c>
      <c r="R10" s="4" t="s">
        <v>132</v>
      </c>
      <c r="S10" s="4" t="s">
        <v>4</v>
      </c>
      <c r="T10" s="4" t="s">
        <v>83</v>
      </c>
      <c r="U10" s="4" t="s">
        <v>86</v>
      </c>
      <c r="V10" s="4" t="s">
        <v>85</v>
      </c>
      <c r="W10" s="4" t="s">
        <v>87</v>
      </c>
      <c r="X10" s="4" t="s">
        <v>1103</v>
      </c>
      <c r="Y10" s="4" t="s">
        <v>1103</v>
      </c>
      <c r="Z10" s="4"/>
    </row>
    <row r="11" spans="1:33">
      <c r="A11" s="276" t="str">
        <f>+'WP-2 - Labor Analysis'!A11</f>
        <v>Michael R. Dietrich</v>
      </c>
      <c r="B11" s="2" t="s">
        <v>77</v>
      </c>
      <c r="C11" s="2" t="s">
        <v>229</v>
      </c>
      <c r="D11" s="638">
        <v>70.096299999999999</v>
      </c>
      <c r="E11" s="638"/>
      <c r="F11" s="638"/>
      <c r="G11" s="638"/>
      <c r="I11" s="277">
        <f>+'WP-2 - Labor Analysis'!Y11</f>
        <v>2080</v>
      </c>
      <c r="J11" s="277">
        <f>+'WP-2 - Labor Analysis'!Z11</f>
        <v>145800.20000000001</v>
      </c>
      <c r="K11" s="277"/>
      <c r="M11" s="622">
        <f>+D11</f>
        <v>70.096299999999999</v>
      </c>
      <c r="N11" s="2">
        <f>(IF(I11&gt;2080,2080*M11,I11*M11))</f>
        <v>145800.304</v>
      </c>
      <c r="O11" s="2"/>
      <c r="P11" s="277">
        <f>SUM(N11:N11)</f>
        <v>145800.304</v>
      </c>
      <c r="Q11" s="277"/>
      <c r="R11" s="277">
        <f>+P11+Q11</f>
        <v>145800.304</v>
      </c>
      <c r="S11" s="277">
        <f>R11-J11</f>
        <v>0.10399999999208376</v>
      </c>
      <c r="T11" s="277">
        <f>+P11*0.0765</f>
        <v>11153.723255999999</v>
      </c>
      <c r="U11" s="277">
        <f>IF(P11&gt;7000,7000*0.006,P11*0.006)</f>
        <v>42</v>
      </c>
      <c r="V11" s="277">
        <v>0</v>
      </c>
      <c r="W11" s="277">
        <v>0</v>
      </c>
      <c r="X11" s="277">
        <f>+T11+U11+W11+V11</f>
        <v>11195.723255999999</v>
      </c>
    </row>
    <row r="12" spans="1:33">
      <c r="A12" s="287" t="str">
        <f>+'WP-2 - Labor Analysis'!A12</f>
        <v>OFFICERS</v>
      </c>
      <c r="B12" s="4"/>
      <c r="C12" s="4"/>
      <c r="D12" s="638"/>
      <c r="E12" s="638"/>
      <c r="F12" s="638"/>
      <c r="G12" s="639"/>
      <c r="H12" s="4"/>
      <c r="I12" s="687">
        <f>SUM(I11:I11)</f>
        <v>2080</v>
      </c>
      <c r="J12" s="687">
        <f>SUM(J11:J11)</f>
        <v>145800.20000000001</v>
      </c>
      <c r="K12" s="277"/>
      <c r="M12" s="622"/>
      <c r="N12" s="730"/>
      <c r="O12" s="730"/>
      <c r="P12" s="688">
        <f>SUM(P11:P11)</f>
        <v>145800.304</v>
      </c>
      <c r="Q12" s="296"/>
      <c r="R12" s="688">
        <f t="shared" ref="R12:X12" si="0">SUM(R11:R11)</f>
        <v>145800.304</v>
      </c>
      <c r="S12" s="688">
        <f t="shared" si="0"/>
        <v>0.10399999999208376</v>
      </c>
      <c r="T12" s="688">
        <f t="shared" si="0"/>
        <v>11153.723255999999</v>
      </c>
      <c r="U12" s="688">
        <f t="shared" si="0"/>
        <v>42</v>
      </c>
      <c r="V12" s="688">
        <f t="shared" si="0"/>
        <v>0</v>
      </c>
      <c r="W12" s="688">
        <f t="shared" si="0"/>
        <v>0</v>
      </c>
      <c r="X12" s="688">
        <f t="shared" si="0"/>
        <v>11195.723255999999</v>
      </c>
      <c r="Y12" s="1">
        <f>+X12*'WP -11 Non-Regulated'!$K$29</f>
        <v>5263.6439708720327</v>
      </c>
      <c r="AC12" s="302"/>
    </row>
    <row r="13" spans="1:33">
      <c r="A13" s="276"/>
      <c r="B13" s="4"/>
      <c r="C13" s="4"/>
      <c r="D13" s="638"/>
      <c r="E13" s="638"/>
      <c r="F13" s="638"/>
      <c r="G13" s="639"/>
      <c r="H13" s="4"/>
      <c r="I13" s="277"/>
      <c r="J13" s="277"/>
      <c r="K13" s="277"/>
      <c r="M13" s="622"/>
      <c r="N13" s="730"/>
      <c r="O13" s="730"/>
      <c r="P13" s="277"/>
      <c r="Q13" s="277"/>
      <c r="R13" s="277"/>
      <c r="S13" s="277"/>
      <c r="T13" s="277"/>
      <c r="U13" s="277"/>
      <c r="V13" s="277"/>
      <c r="W13" s="277"/>
      <c r="X13" s="277"/>
    </row>
    <row r="14" spans="1:33">
      <c r="A14" s="276" t="str">
        <f>+'WP-2 - Labor Analysis'!A14</f>
        <v>Jeremy B. Dahl</v>
      </c>
      <c r="B14" s="2" t="s">
        <v>76</v>
      </c>
      <c r="C14" s="2" t="s">
        <v>78</v>
      </c>
      <c r="D14" s="638">
        <v>38.413499999999999</v>
      </c>
      <c r="E14" s="638">
        <v>39.855800000000002</v>
      </c>
      <c r="F14" s="638"/>
      <c r="G14" s="638">
        <v>41.009599999999999</v>
      </c>
      <c r="I14" s="277">
        <f>+'WP-2 - Labor Analysis'!Y14</f>
        <v>2192.7600000000002</v>
      </c>
      <c r="J14" s="277">
        <f>+'WP-2 - Labor Analysis'!Z14</f>
        <v>89469.77</v>
      </c>
      <c r="K14" s="277"/>
      <c r="M14" s="622">
        <f>+G14</f>
        <v>41.009599999999999</v>
      </c>
      <c r="N14" s="2">
        <f>(IF(I14&gt;2080,2080*M14,I14*M14))</f>
        <v>85299.967999999993</v>
      </c>
      <c r="O14" s="2">
        <f>IF(I14&gt;2080,(+I14-2080)*1.5*M14,0)</f>
        <v>6936.363744000013</v>
      </c>
      <c r="P14" s="277">
        <f>+N14+O14</f>
        <v>92236.33174400001</v>
      </c>
      <c r="Q14" s="277">
        <v>2400</v>
      </c>
      <c r="R14" s="277">
        <f>+P14+Q14</f>
        <v>94636.33174400001</v>
      </c>
      <c r="S14" s="277">
        <f>R14-J14</f>
        <v>5166.561744000006</v>
      </c>
      <c r="T14" s="277">
        <f>+P14*0.0765</f>
        <v>7056.0793784160005</v>
      </c>
      <c r="U14" s="277">
        <f>IF(P14&gt;7000,7000*0.006,P14*0.006)</f>
        <v>42</v>
      </c>
      <c r="V14" s="277">
        <f t="shared" ref="V14:V20" si="1">IF(P14&gt;$V$6,$V$6*$V$7,+P14*$V$7)</f>
        <v>365.04</v>
      </c>
      <c r="W14" s="277">
        <f>$W$5*I14</f>
        <v>1670.6638440000002</v>
      </c>
      <c r="X14" s="277">
        <f t="shared" ref="X14:X20" si="2">+T14+U14+W14+V14</f>
        <v>9133.7832224160011</v>
      </c>
      <c r="AC14" s="302"/>
    </row>
    <row r="15" spans="1:33">
      <c r="A15" s="276" t="str">
        <f>+'WP-2 - Labor Analysis'!A15</f>
        <v>Autumn A. Dietrich</v>
      </c>
      <c r="B15" s="2" t="s">
        <v>76</v>
      </c>
      <c r="C15" s="2" t="s">
        <v>78</v>
      </c>
      <c r="D15" s="638">
        <v>20</v>
      </c>
      <c r="E15" s="638">
        <v>20.865400000000001</v>
      </c>
      <c r="F15" s="638">
        <v>26.081700000000001</v>
      </c>
      <c r="G15" s="638"/>
      <c r="I15" s="277">
        <f>+'WP-2 - Labor Analysis'!Y15</f>
        <v>1936</v>
      </c>
      <c r="J15" s="277">
        <f>+'WP-2 - Labor Analysis'!Z15</f>
        <v>42915.37</v>
      </c>
      <c r="K15" s="277"/>
      <c r="M15" s="622">
        <f>+F15</f>
        <v>26.081700000000001</v>
      </c>
      <c r="N15" s="2">
        <f t="shared" ref="N15:N26" si="3">(IF(I15&gt;2080,2080*M15,I15*M15))</f>
        <v>50494.171200000004</v>
      </c>
      <c r="O15" s="2">
        <f t="shared" ref="O15:O26" si="4">IF(I15&gt;2080,(+I15-2080)*1.5*M15,0)</f>
        <v>0</v>
      </c>
      <c r="P15" s="277">
        <f t="shared" ref="P15:P26" si="5">+N15+O15</f>
        <v>50494.171200000004</v>
      </c>
      <c r="Q15" s="277">
        <v>2400</v>
      </c>
      <c r="R15" s="277">
        <f t="shared" ref="R15:R26" si="6">+P15+Q15</f>
        <v>52894.171200000004</v>
      </c>
      <c r="S15" s="277">
        <f t="shared" ref="S15:S26" si="7">R15-J15</f>
        <v>9978.8012000000017</v>
      </c>
      <c r="T15" s="277">
        <f t="shared" ref="T15:T20" si="8">+P15*0.0765</f>
        <v>3862.8040968000005</v>
      </c>
      <c r="U15" s="277">
        <f t="shared" ref="U15:U20" si="9">IF(P15&gt;7000,7000*0.006,P15*0.006)</f>
        <v>42</v>
      </c>
      <c r="V15" s="277">
        <f t="shared" si="1"/>
        <v>272.66852448000003</v>
      </c>
      <c r="W15" s="277">
        <f t="shared" ref="W15:W20" si="10">$W$7*I15</f>
        <v>189.72799999999998</v>
      </c>
      <c r="X15" s="277">
        <f t="shared" si="2"/>
        <v>4367.2006212800006</v>
      </c>
    </row>
    <row r="16" spans="1:33">
      <c r="A16" s="276" t="str">
        <f>+'WP-2 - Labor Analysis'!A16</f>
        <v>Julie C. Farmer</v>
      </c>
      <c r="B16" s="2" t="s">
        <v>76</v>
      </c>
      <c r="C16" s="2" t="s">
        <v>78</v>
      </c>
      <c r="D16" s="638">
        <v>25.961500000000001</v>
      </c>
      <c r="E16" s="638">
        <v>26.826899999999998</v>
      </c>
      <c r="F16" s="638"/>
      <c r="G16" s="638">
        <v>27.980799999999999</v>
      </c>
      <c r="I16" s="277">
        <f>+'WP-2 - Labor Analysis'!Y16</f>
        <v>2169.29</v>
      </c>
      <c r="J16" s="277">
        <f>+'WP-2 - Labor Analysis'!Z16</f>
        <v>59782.58</v>
      </c>
      <c r="K16" s="277"/>
      <c r="M16" s="622">
        <f>+G16</f>
        <v>27.980799999999999</v>
      </c>
      <c r="N16" s="2">
        <f t="shared" si="3"/>
        <v>58200.063999999998</v>
      </c>
      <c r="O16" s="2">
        <f t="shared" si="4"/>
        <v>3747.6084479999981</v>
      </c>
      <c r="P16" s="277">
        <f t="shared" si="5"/>
        <v>61947.672447999998</v>
      </c>
      <c r="Q16" s="277">
        <v>2400</v>
      </c>
      <c r="R16" s="277">
        <f t="shared" si="6"/>
        <v>64347.672447999998</v>
      </c>
      <c r="S16" s="277">
        <f t="shared" si="7"/>
        <v>4565.0924479999958</v>
      </c>
      <c r="T16" s="277">
        <f t="shared" si="8"/>
        <v>4738.9969422719996</v>
      </c>
      <c r="U16" s="277">
        <f t="shared" si="9"/>
        <v>42</v>
      </c>
      <c r="V16" s="277">
        <f t="shared" si="1"/>
        <v>334.51743121919998</v>
      </c>
      <c r="W16" s="277">
        <f t="shared" si="10"/>
        <v>212.59041999999997</v>
      </c>
      <c r="X16" s="277">
        <f t="shared" si="2"/>
        <v>5328.1047934911994</v>
      </c>
    </row>
    <row r="17" spans="1:26">
      <c r="A17" s="276" t="str">
        <f>+'WP-2 - Labor Analysis'!A17</f>
        <v>Macayla J. Tudor</v>
      </c>
      <c r="B17" s="2" t="s">
        <v>76</v>
      </c>
      <c r="C17" s="2" t="s">
        <v>78</v>
      </c>
      <c r="D17" s="638">
        <v>16</v>
      </c>
      <c r="E17" s="638">
        <v>16.865400000000001</v>
      </c>
      <c r="F17" s="638"/>
      <c r="G17" s="638">
        <v>17.739999999999998</v>
      </c>
      <c r="I17" s="277">
        <f>+'WP-2 - Labor Analysis'!Y17</f>
        <v>2104.2700000000004</v>
      </c>
      <c r="J17" s="277">
        <f>+'WP-2 - Labor Analysis'!Z17</f>
        <v>36285.61</v>
      </c>
      <c r="K17" s="277"/>
      <c r="M17" s="622">
        <f t="shared" ref="M17:M20" si="11">+G17</f>
        <v>17.739999999999998</v>
      </c>
      <c r="N17" s="2">
        <f t="shared" si="3"/>
        <v>36899.199999999997</v>
      </c>
      <c r="O17" s="2">
        <f t="shared" si="4"/>
        <v>645.8247000000116</v>
      </c>
      <c r="P17" s="277">
        <f t="shared" si="5"/>
        <v>37545.024700000009</v>
      </c>
      <c r="Q17" s="277">
        <v>2400</v>
      </c>
      <c r="R17" s="277">
        <f t="shared" si="6"/>
        <v>39945.024700000009</v>
      </c>
      <c r="S17" s="277">
        <f t="shared" si="7"/>
        <v>3659.4147000000085</v>
      </c>
      <c r="T17" s="277">
        <f t="shared" si="8"/>
        <v>2872.1943895500008</v>
      </c>
      <c r="U17" s="277">
        <f t="shared" si="9"/>
        <v>42</v>
      </c>
      <c r="V17" s="277">
        <f t="shared" si="1"/>
        <v>202.74313338000005</v>
      </c>
      <c r="W17" s="277">
        <f t="shared" si="10"/>
        <v>206.21846000000002</v>
      </c>
      <c r="X17" s="277">
        <f t="shared" si="2"/>
        <v>3323.1559829300008</v>
      </c>
    </row>
    <row r="18" spans="1:26">
      <c r="A18" s="276" t="str">
        <f>+'WP-2 - Labor Analysis'!A18</f>
        <v>Katherine M. Wash</v>
      </c>
      <c r="B18" s="2" t="s">
        <v>76</v>
      </c>
      <c r="C18" s="2" t="s">
        <v>78</v>
      </c>
      <c r="D18" s="638">
        <v>35.240400000000001</v>
      </c>
      <c r="E18" s="638">
        <v>36.394300000000001</v>
      </c>
      <c r="F18" s="638"/>
      <c r="G18" s="638">
        <v>37.548099999999998</v>
      </c>
      <c r="I18" s="277">
        <f>+'WP-2 - Labor Analysis'!Y18</f>
        <v>2083.63</v>
      </c>
      <c r="J18" s="277">
        <f>+'WP-2 - Labor Analysis'!Z18</f>
        <v>76249.399999999994</v>
      </c>
      <c r="K18" s="277"/>
      <c r="M18" s="622">
        <f t="shared" si="11"/>
        <v>37.548099999999998</v>
      </c>
      <c r="N18" s="2">
        <f t="shared" si="3"/>
        <v>78100.047999999995</v>
      </c>
      <c r="O18" s="2">
        <f t="shared" si="4"/>
        <v>204.44940450000612</v>
      </c>
      <c r="P18" s="277">
        <f t="shared" si="5"/>
        <v>78304.497404499998</v>
      </c>
      <c r="Q18" s="277">
        <v>2400</v>
      </c>
      <c r="R18" s="277">
        <f t="shared" si="6"/>
        <v>80704.497404499998</v>
      </c>
      <c r="S18" s="277">
        <f t="shared" si="7"/>
        <v>4455.0974045000039</v>
      </c>
      <c r="T18" s="277">
        <f t="shared" si="8"/>
        <v>5990.2940514442498</v>
      </c>
      <c r="U18" s="277">
        <f t="shared" si="9"/>
        <v>42</v>
      </c>
      <c r="V18" s="277">
        <f t="shared" si="1"/>
        <v>365.04</v>
      </c>
      <c r="W18" s="277">
        <f t="shared" si="10"/>
        <v>204.19574</v>
      </c>
      <c r="X18" s="277">
        <f t="shared" si="2"/>
        <v>6601.5297914442499</v>
      </c>
    </row>
    <row r="19" spans="1:26">
      <c r="A19" s="276" t="str">
        <f>+'WP-2 - Labor Analysis'!A19</f>
        <v>Mark D. Wash</v>
      </c>
      <c r="B19" s="2" t="s">
        <v>76</v>
      </c>
      <c r="C19" s="2" t="s">
        <v>78</v>
      </c>
      <c r="D19" s="638">
        <v>62.692300000000003</v>
      </c>
      <c r="E19" s="638">
        <v>64.134600000000006</v>
      </c>
      <c r="F19" s="638"/>
      <c r="G19" s="638">
        <v>65.288499999999999</v>
      </c>
      <c r="I19" s="277">
        <f>+'WP-2 - Labor Analysis'!Y19</f>
        <v>2134.5100000000002</v>
      </c>
      <c r="J19" s="277">
        <f>+'WP-2 - Labor Analysis'!Z19</f>
        <v>138701.68</v>
      </c>
      <c r="K19" s="277"/>
      <c r="M19" s="622">
        <f t="shared" si="11"/>
        <v>65.288499999999999</v>
      </c>
      <c r="N19" s="2">
        <f t="shared" si="3"/>
        <v>135800.07999999999</v>
      </c>
      <c r="O19" s="2">
        <f t="shared" si="4"/>
        <v>5338.3142025000216</v>
      </c>
      <c r="P19" s="277">
        <f t="shared" si="5"/>
        <v>141138.3942025</v>
      </c>
      <c r="Q19" s="277">
        <v>2400</v>
      </c>
      <c r="R19" s="277">
        <f t="shared" si="6"/>
        <v>143538.3942025</v>
      </c>
      <c r="S19" s="277">
        <f t="shared" si="7"/>
        <v>4836.7142025000066</v>
      </c>
      <c r="T19" s="277">
        <f t="shared" si="8"/>
        <v>10797.08715649125</v>
      </c>
      <c r="U19" s="277">
        <f t="shared" si="9"/>
        <v>42</v>
      </c>
      <c r="V19" s="277">
        <f t="shared" si="1"/>
        <v>365.04</v>
      </c>
      <c r="W19" s="277">
        <f t="shared" si="10"/>
        <v>209.18198000000001</v>
      </c>
      <c r="X19" s="277">
        <f t="shared" si="2"/>
        <v>11413.309136491251</v>
      </c>
    </row>
    <row r="20" spans="1:26">
      <c r="A20" s="276" t="str">
        <f>+'WP-2 - Labor Analysis'!A20</f>
        <v>Debra L. Wyman</v>
      </c>
      <c r="B20" s="2" t="s">
        <v>76</v>
      </c>
      <c r="C20" s="2" t="s">
        <v>78</v>
      </c>
      <c r="D20" s="638">
        <v>25.0961</v>
      </c>
      <c r="E20" s="638">
        <v>25.961500000000001</v>
      </c>
      <c r="F20" s="638"/>
      <c r="G20" s="638">
        <v>27.115400000000001</v>
      </c>
      <c r="I20" s="277">
        <f>+'WP-2 - Labor Analysis'!Y20</f>
        <v>2112.1400000000003</v>
      </c>
      <c r="J20" s="277">
        <f>+'WP-2 - Labor Analysis'!Z20</f>
        <v>55726.44</v>
      </c>
      <c r="K20" s="277"/>
      <c r="M20" s="622">
        <f t="shared" si="11"/>
        <v>27.115400000000001</v>
      </c>
      <c r="N20" s="2">
        <f t="shared" si="3"/>
        <v>56400.031999999999</v>
      </c>
      <c r="O20" s="2">
        <f t="shared" si="4"/>
        <v>1307.2334340000134</v>
      </c>
      <c r="P20" s="277">
        <f t="shared" si="5"/>
        <v>57707.265434000015</v>
      </c>
      <c r="Q20" s="277">
        <v>2400</v>
      </c>
      <c r="R20" s="277">
        <f t="shared" si="6"/>
        <v>60107.265434000015</v>
      </c>
      <c r="S20" s="277">
        <f t="shared" si="7"/>
        <v>4380.825434000013</v>
      </c>
      <c r="T20" s="277">
        <f t="shared" si="8"/>
        <v>4414.6058057010014</v>
      </c>
      <c r="U20" s="277">
        <f t="shared" si="9"/>
        <v>42</v>
      </c>
      <c r="V20" s="277">
        <f t="shared" si="1"/>
        <v>311.61923334360011</v>
      </c>
      <c r="W20" s="277">
        <f t="shared" si="10"/>
        <v>206.98972000000001</v>
      </c>
      <c r="X20" s="277">
        <f t="shared" si="2"/>
        <v>4975.2147590446011</v>
      </c>
    </row>
    <row r="21" spans="1:26">
      <c r="A21" s="287" t="str">
        <f>+'WP-2 - Labor Analysis'!A21</f>
        <v>OFFICE/ADMIN</v>
      </c>
      <c r="D21" s="638"/>
      <c r="E21" s="638"/>
      <c r="F21" s="638"/>
      <c r="G21" s="638"/>
      <c r="I21" s="296">
        <f>SUM(I14:I20)</f>
        <v>14732.600000000002</v>
      </c>
      <c r="J21" s="296">
        <f>SUM(J14:J20)</f>
        <v>499130.85</v>
      </c>
      <c r="K21" s="277"/>
      <c r="M21" s="622"/>
      <c r="N21" s="2"/>
      <c r="O21" s="2"/>
      <c r="P21" s="296">
        <f>SUM(P14:P20)</f>
        <v>519373.35713299998</v>
      </c>
      <c r="Q21" s="296"/>
      <c r="R21" s="296">
        <f>SUM(R14:R20)</f>
        <v>536173.35713300004</v>
      </c>
      <c r="S21" s="296">
        <f t="shared" ref="S21:W21" si="12">SUM(S14:S20)</f>
        <v>37042.507133000036</v>
      </c>
      <c r="T21" s="296">
        <f t="shared" si="12"/>
        <v>39732.061820674498</v>
      </c>
      <c r="U21" s="296">
        <f t="shared" si="12"/>
        <v>294</v>
      </c>
      <c r="V21" s="296">
        <f t="shared" si="12"/>
        <v>2216.6683224228</v>
      </c>
      <c r="W21" s="296">
        <f t="shared" si="12"/>
        <v>2899.5681640000003</v>
      </c>
      <c r="X21" s="296">
        <f>SUM(X14:X20)</f>
        <v>45142.298307097306</v>
      </c>
      <c r="Y21" s="1">
        <f>+X21*0.8</f>
        <v>36113.838645677846</v>
      </c>
    </row>
    <row r="22" spans="1:26">
      <c r="A22" s="276"/>
      <c r="D22" s="638"/>
      <c r="E22" s="638"/>
      <c r="F22" s="638"/>
      <c r="G22" s="638"/>
      <c r="I22" s="277"/>
      <c r="J22" s="277"/>
      <c r="K22" s="277"/>
      <c r="M22" s="622"/>
      <c r="N22" s="2"/>
      <c r="O22" s="2"/>
      <c r="P22" s="277"/>
      <c r="Q22" s="277"/>
      <c r="R22" s="277"/>
      <c r="S22" s="277"/>
      <c r="T22" s="277"/>
      <c r="U22" s="277"/>
      <c r="V22" s="277"/>
      <c r="W22" s="277"/>
      <c r="X22" s="277"/>
    </row>
    <row r="23" spans="1:26">
      <c r="A23" s="276"/>
      <c r="D23" s="638"/>
      <c r="E23" s="638"/>
      <c r="F23" s="638"/>
      <c r="G23" s="638"/>
      <c r="I23" s="277"/>
      <c r="J23" s="277"/>
      <c r="K23" s="277"/>
      <c r="M23" s="622"/>
      <c r="N23" s="2"/>
      <c r="O23" s="2"/>
      <c r="P23" s="277"/>
      <c r="Q23" s="277"/>
      <c r="R23" s="277"/>
      <c r="S23" s="277"/>
      <c r="T23" s="277"/>
      <c r="U23" s="277"/>
      <c r="V23" s="277"/>
      <c r="W23" s="277"/>
      <c r="X23" s="277"/>
      <c r="Z23" s="783"/>
    </row>
    <row r="24" spans="1:26">
      <c r="A24" s="276" t="str">
        <f>+'WP-2 - Labor Analysis'!A24</f>
        <v>Andrew A. Piper</v>
      </c>
      <c r="B24" s="2" t="s">
        <v>76</v>
      </c>
      <c r="C24" s="2" t="s">
        <v>78</v>
      </c>
      <c r="D24" s="638">
        <v>17.3</v>
      </c>
      <c r="E24" s="638">
        <v>18.452999999999999</v>
      </c>
      <c r="F24" s="638"/>
      <c r="G24" s="638"/>
      <c r="I24" s="277">
        <f>+'WP-2 - Labor Analysis'!Y24</f>
        <v>2102.89</v>
      </c>
      <c r="J24" s="277">
        <f>+'WP-2 - Labor Analysis'!Z24</f>
        <v>39382.67</v>
      </c>
      <c r="K24" s="277"/>
      <c r="M24" s="622" t="s">
        <v>963</v>
      </c>
      <c r="N24" s="2"/>
      <c r="O24" s="2"/>
      <c r="P24" s="277">
        <f t="shared" si="5"/>
        <v>0</v>
      </c>
      <c r="Q24" s="277"/>
      <c r="R24" s="277"/>
      <c r="S24" s="277">
        <f>R24-J24</f>
        <v>-39382.67</v>
      </c>
      <c r="T24" s="277">
        <f>+P24*0.0765</f>
        <v>0</v>
      </c>
      <c r="U24" s="277">
        <f>IF(P24&gt;7000,7000*0.006,P24*0.006)</f>
        <v>0</v>
      </c>
      <c r="V24" s="277">
        <f>IF(P24&gt;$V$6,$V$6*$V$7,+P24*$V$7)</f>
        <v>0</v>
      </c>
      <c r="W24" s="277"/>
      <c r="X24" s="277">
        <f>+T24+U24+W24+V24</f>
        <v>0</v>
      </c>
    </row>
    <row r="25" spans="1:26">
      <c r="A25" s="276" t="str">
        <f>+'WP-2 - Labor Analysis'!A25</f>
        <v>Jansen L. Quick</v>
      </c>
      <c r="B25" s="2" t="s">
        <v>76</v>
      </c>
      <c r="C25" s="2" t="s">
        <v>78</v>
      </c>
      <c r="D25" s="638">
        <v>23.74</v>
      </c>
      <c r="E25" s="638">
        <v>24.61</v>
      </c>
      <c r="F25" s="638"/>
      <c r="G25" s="638">
        <v>25.76</v>
      </c>
      <c r="I25" s="277">
        <f>+'WP-2 - Labor Analysis'!Y25</f>
        <v>2160.21</v>
      </c>
      <c r="J25" s="277">
        <f>+'WP-2 - Labor Analysis'!Z25</f>
        <v>54765</v>
      </c>
      <c r="K25" s="277"/>
      <c r="M25" s="622">
        <f>+G25</f>
        <v>25.76</v>
      </c>
      <c r="N25" s="2">
        <f t="shared" si="3"/>
        <v>53580.800000000003</v>
      </c>
      <c r="O25" s="2">
        <f t="shared" si="4"/>
        <v>3099.3144000000016</v>
      </c>
      <c r="P25" s="277">
        <f t="shared" si="5"/>
        <v>56680.114400000006</v>
      </c>
      <c r="Q25" s="277">
        <v>2400</v>
      </c>
      <c r="R25" s="277">
        <f t="shared" si="6"/>
        <v>59080.114400000006</v>
      </c>
      <c r="S25" s="277">
        <f t="shared" si="7"/>
        <v>4315.1144000000058</v>
      </c>
      <c r="T25" s="277">
        <f>+P25*0.0765</f>
        <v>4336.0287516000008</v>
      </c>
      <c r="U25" s="277">
        <f>IF(P25&gt;7000,7000*0.006,P25*0.006)</f>
        <v>42</v>
      </c>
      <c r="V25" s="277">
        <f>IF(P25&gt;$V$6,$V$6*$V$7,+P25*$V$7)</f>
        <v>306.07261776000007</v>
      </c>
      <c r="W25" s="277">
        <f>$W$5*I25</f>
        <v>1645.8639990000001</v>
      </c>
      <c r="X25" s="277">
        <f>+T25+U25+W25+V25</f>
        <v>6329.9653683600009</v>
      </c>
      <c r="Z25" s="301"/>
    </row>
    <row r="26" spans="1:26">
      <c r="A26" s="276" t="str">
        <f>+'WP-2 - Labor Analysis'!A26</f>
        <v>Richard C. Schmidt</v>
      </c>
      <c r="B26" s="2" t="s">
        <v>76</v>
      </c>
      <c r="C26" s="2" t="s">
        <v>78</v>
      </c>
      <c r="D26" s="638">
        <v>22.96</v>
      </c>
      <c r="E26" s="638">
        <v>23.83</v>
      </c>
      <c r="F26" s="638"/>
      <c r="G26" s="638">
        <v>24.98</v>
      </c>
      <c r="I26" s="277">
        <f>+'WP-2 - Labor Analysis'!Y26</f>
        <v>2191.5700000000002</v>
      </c>
      <c r="J26" s="277">
        <f>+'WP-2 - Labor Analysis'!Z26</f>
        <v>53921.24</v>
      </c>
      <c r="K26" s="277"/>
      <c r="M26" s="622">
        <f>+G26</f>
        <v>24.98</v>
      </c>
      <c r="N26" s="2">
        <f t="shared" si="3"/>
        <v>51958.400000000001</v>
      </c>
      <c r="O26" s="2">
        <f t="shared" si="4"/>
        <v>4180.5279000000064</v>
      </c>
      <c r="P26" s="294">
        <f t="shared" si="5"/>
        <v>56138.92790000001</v>
      </c>
      <c r="Q26" s="294">
        <v>2400</v>
      </c>
      <c r="R26" s="294">
        <f t="shared" si="6"/>
        <v>58538.92790000001</v>
      </c>
      <c r="S26" s="294">
        <f t="shared" si="7"/>
        <v>4617.6879000000117</v>
      </c>
      <c r="T26" s="294">
        <f>+P26*0.0765</f>
        <v>4294.6279843500006</v>
      </c>
      <c r="U26" s="294">
        <f>IF(P26&gt;7000,7000*0.006,P26*0.006)</f>
        <v>42</v>
      </c>
      <c r="V26" s="294">
        <f>IF(P26&gt;$V$6,$V$6*$V$7,+P26*$V$7)</f>
        <v>303.15021066000008</v>
      </c>
      <c r="W26" s="294">
        <f>$W$5*I26</f>
        <v>1669.7571830000002</v>
      </c>
      <c r="X26" s="294">
        <f>+T26+U26+W26+V26</f>
        <v>6309.5353780100013</v>
      </c>
    </row>
    <row r="27" spans="1:26">
      <c r="A27" s="287" t="s">
        <v>1134</v>
      </c>
      <c r="D27" s="638"/>
      <c r="E27" s="638"/>
      <c r="F27" s="638"/>
      <c r="G27" s="638"/>
      <c r="I27" s="688">
        <f>SUM(I24:I26)</f>
        <v>6454.67</v>
      </c>
      <c r="J27" s="688">
        <f>SUM(J24:J26)</f>
        <v>148068.91</v>
      </c>
      <c r="K27" s="277"/>
      <c r="M27" s="622"/>
      <c r="N27" s="730"/>
      <c r="O27" s="730"/>
      <c r="P27" s="293">
        <f>SUM(P24:P26)</f>
        <v>112819.04230000002</v>
      </c>
      <c r="Q27" s="293"/>
      <c r="R27" s="293">
        <f>SUM(R24:R26)</f>
        <v>117619.04230000002</v>
      </c>
      <c r="S27" s="293">
        <f>SUM(S24:S26)</f>
        <v>-30449.867699999981</v>
      </c>
      <c r="T27" s="293">
        <f t="shared" ref="T27:X27" si="13">SUM(T24:T26)</f>
        <v>8630.6567359500004</v>
      </c>
      <c r="U27" s="293">
        <f t="shared" si="13"/>
        <v>84</v>
      </c>
      <c r="V27" s="293">
        <f t="shared" si="13"/>
        <v>609.22282842000016</v>
      </c>
      <c r="W27" s="293">
        <f t="shared" si="13"/>
        <v>3315.6211820000003</v>
      </c>
      <c r="X27" s="293">
        <f t="shared" si="13"/>
        <v>12639.500746370002</v>
      </c>
      <c r="Y27" s="1">
        <f>+X27*'WP -11 Non-Regulated'!$K$29</f>
        <v>5942.4326930203842</v>
      </c>
    </row>
    <row r="28" spans="1:26">
      <c r="A28" s="276"/>
      <c r="D28" s="638"/>
      <c r="E28" s="638"/>
      <c r="F28" s="638"/>
      <c r="G28" s="638"/>
      <c r="I28" s="277"/>
      <c r="J28" s="277"/>
      <c r="K28" s="277"/>
      <c r="M28" s="622"/>
      <c r="N28" s="730"/>
      <c r="O28" s="730"/>
      <c r="P28" s="277"/>
      <c r="Q28" s="277"/>
      <c r="R28" s="277"/>
      <c r="S28" s="277"/>
      <c r="T28" s="277"/>
      <c r="U28" s="277"/>
      <c r="V28" s="277"/>
      <c r="W28" s="277"/>
      <c r="X28" s="277"/>
    </row>
    <row r="29" spans="1:26">
      <c r="A29" s="276" t="str">
        <f>+'WP-2 - Labor Analysis'!A29</f>
        <v>Kenneth C. Bellows</v>
      </c>
      <c r="B29" s="2" t="s">
        <v>76</v>
      </c>
      <c r="C29" s="2" t="s">
        <v>78</v>
      </c>
      <c r="D29" s="638">
        <v>24.230799999999999</v>
      </c>
      <c r="E29" s="638">
        <v>25.384599999999999</v>
      </c>
      <c r="F29" s="638"/>
      <c r="G29" s="638">
        <v>26.538499999999999</v>
      </c>
      <c r="I29" s="277">
        <f>+'WP-2 - Labor Analysis'!Y29</f>
        <v>2263.36</v>
      </c>
      <c r="J29" s="277">
        <f>+'WP-2 - Labor Analysis'!Z29</f>
        <v>60656.47</v>
      </c>
      <c r="K29" s="277"/>
      <c r="M29" s="622">
        <f>+G29</f>
        <v>26.538499999999999</v>
      </c>
      <c r="N29" s="2">
        <f t="shared" ref="N29" si="14">(IF(I29&gt;2080,2080*M29,I29*M29))</f>
        <v>55200.08</v>
      </c>
      <c r="O29" s="2">
        <f t="shared" ref="O29" si="15">IF(I29&gt;2080,(+I29-2080)*1.5*M29,0)</f>
        <v>7299.1490400000048</v>
      </c>
      <c r="P29" s="277">
        <f>+N29+O29</f>
        <v>62499.229040000006</v>
      </c>
      <c r="Q29" s="277">
        <v>2400</v>
      </c>
      <c r="R29" s="277">
        <f>+P29+Q29</f>
        <v>64899.229040000006</v>
      </c>
      <c r="S29" s="277">
        <f>R29-J29</f>
        <v>4242.7590400000045</v>
      </c>
      <c r="T29" s="277">
        <f t="shared" ref="T29:T33" si="16">P29*0.0765</f>
        <v>4781.1910215600001</v>
      </c>
      <c r="U29" s="277">
        <f>IF(P29&gt;7000,7000*0.006,P29*0.006)</f>
        <v>42</v>
      </c>
      <c r="V29" s="277">
        <f>IF(P29&gt;$V$6,$V$6*$V$7,+P29*$V$7)</f>
        <v>337.49583681600006</v>
      </c>
      <c r="W29" s="277">
        <f>$W$6*I29</f>
        <v>2761.0728640000002</v>
      </c>
      <c r="X29" s="277">
        <f t="shared" ref="X29:X54" si="17">+T29+U29+W29+V29</f>
        <v>7921.7597223760004</v>
      </c>
    </row>
    <row r="30" spans="1:26">
      <c r="A30" s="276" t="str">
        <f>+'WP-2 - Labor Analysis'!A30</f>
        <v>Mario H. Cruz Jr</v>
      </c>
      <c r="B30" s="2" t="s">
        <v>76</v>
      </c>
      <c r="C30" s="2" t="s">
        <v>78</v>
      </c>
      <c r="D30" s="638">
        <v>22.788499999999999</v>
      </c>
      <c r="E30" s="638">
        <v>24.230799999999999</v>
      </c>
      <c r="F30" s="638"/>
      <c r="G30" s="638">
        <v>25.384599999999999</v>
      </c>
      <c r="I30" s="277">
        <f>+'WP-2 - Labor Analysis'!Y30</f>
        <v>2231.48</v>
      </c>
      <c r="J30" s="277">
        <f>+'WP-2 - Labor Analysis'!Z30</f>
        <v>56200.19</v>
      </c>
      <c r="K30" s="277"/>
      <c r="M30" s="622">
        <f t="shared" ref="M30:M33" si="18">+G30</f>
        <v>25.384599999999999</v>
      </c>
      <c r="N30" s="2">
        <f t="shared" ref="N30:N47" si="19">(IF(I30&gt;2080,2080*M30,I30*M30))</f>
        <v>52799.968000000001</v>
      </c>
      <c r="O30" s="2">
        <f t="shared" ref="O30:O33" si="20">IF(I30&gt;2080,(+I30-2080)*1.5*M30,0)</f>
        <v>5767.8888120000001</v>
      </c>
      <c r="P30" s="277">
        <f t="shared" ref="P30:P33" si="21">+N30+O30</f>
        <v>58567.856811999998</v>
      </c>
      <c r="Q30" s="277">
        <v>2400</v>
      </c>
      <c r="R30" s="277">
        <f t="shared" ref="R30:R54" si="22">+P30+Q30</f>
        <v>60967.856811999998</v>
      </c>
      <c r="S30" s="277">
        <f t="shared" ref="S30:S54" si="23">R30-J30</f>
        <v>4767.6668119999958</v>
      </c>
      <c r="T30" s="277">
        <f t="shared" si="16"/>
        <v>4480.4410461179996</v>
      </c>
      <c r="U30" s="277">
        <f t="shared" ref="U30:U33" si="24">IF(P30&gt;7000,7000*0.006,P30*0.006)</f>
        <v>42</v>
      </c>
      <c r="V30" s="277">
        <f>IF(P30&gt;$V$6,$V$6*$V$7,+P30*$V$7)</f>
        <v>316.26642678479999</v>
      </c>
      <c r="W30" s="277">
        <f>$W$6*I30</f>
        <v>2722.182452</v>
      </c>
      <c r="X30" s="277">
        <f t="shared" si="17"/>
        <v>7560.8899249028</v>
      </c>
    </row>
    <row r="31" spans="1:26">
      <c r="A31" s="276" t="str">
        <f>+'WP-2 - Labor Analysis'!A31</f>
        <v>Christopher M. Dahl</v>
      </c>
      <c r="B31" s="2" t="s">
        <v>76</v>
      </c>
      <c r="C31" s="2" t="s">
        <v>78</v>
      </c>
      <c r="D31" s="638">
        <v>30.576899999999998</v>
      </c>
      <c r="E31" s="638">
        <v>31.730799999999999</v>
      </c>
      <c r="F31" s="638"/>
      <c r="G31" s="638">
        <v>32.884599999999999</v>
      </c>
      <c r="I31" s="277">
        <f>+'WP-2 - Labor Analysis'!Y31</f>
        <v>2135.2600000000002</v>
      </c>
      <c r="J31" s="277">
        <f>+'WP-2 - Labor Analysis'!Z31</f>
        <v>68278.77</v>
      </c>
      <c r="K31" s="277"/>
      <c r="M31" s="622">
        <f t="shared" si="18"/>
        <v>32.884599999999999</v>
      </c>
      <c r="N31" s="2">
        <f t="shared" si="19"/>
        <v>68399.967999999993</v>
      </c>
      <c r="O31" s="2">
        <f t="shared" si="20"/>
        <v>2725.8044940000109</v>
      </c>
      <c r="P31" s="277">
        <f t="shared" si="21"/>
        <v>71125.772494000004</v>
      </c>
      <c r="Q31" s="277">
        <v>2400</v>
      </c>
      <c r="R31" s="277">
        <f t="shared" si="22"/>
        <v>73525.772494000004</v>
      </c>
      <c r="S31" s="277">
        <f t="shared" si="23"/>
        <v>5247.0024940000003</v>
      </c>
      <c r="T31" s="277">
        <f t="shared" si="16"/>
        <v>5441.1215957909999</v>
      </c>
      <c r="U31" s="277">
        <f t="shared" si="24"/>
        <v>42</v>
      </c>
      <c r="V31" s="277">
        <f>IF(P31&gt;$V$6,$V$6*$V$7,+P31*$V$7)</f>
        <v>365.04</v>
      </c>
      <c r="W31" s="277">
        <f>$W$6*I31</f>
        <v>2604.8036740000002</v>
      </c>
      <c r="X31" s="277">
        <f t="shared" si="17"/>
        <v>8452.9652697910005</v>
      </c>
    </row>
    <row r="32" spans="1:26">
      <c r="A32" s="276" t="str">
        <f>+'WP-2 - Labor Analysis'!A32</f>
        <v>Corey J. Everett</v>
      </c>
      <c r="B32" s="2" t="s">
        <v>76</v>
      </c>
      <c r="C32" s="2" t="s">
        <v>78</v>
      </c>
      <c r="D32" s="638">
        <v>32.451900000000002</v>
      </c>
      <c r="E32" s="638">
        <v>33.605800000000002</v>
      </c>
      <c r="F32" s="638"/>
      <c r="G32" s="638">
        <v>34.759599999999999</v>
      </c>
      <c r="I32" s="277">
        <f>+'WP-2 - Labor Analysis'!Y32</f>
        <v>2339.67</v>
      </c>
      <c r="J32" s="277">
        <f>+'WP-2 - Labor Analysis'!Z32</f>
        <v>83498.850000000006</v>
      </c>
      <c r="K32" s="277"/>
      <c r="M32" s="622">
        <f t="shared" si="18"/>
        <v>34.759599999999999</v>
      </c>
      <c r="N32" s="2">
        <f t="shared" si="19"/>
        <v>72299.967999999993</v>
      </c>
      <c r="O32" s="2">
        <f t="shared" si="20"/>
        <v>13539.037998000003</v>
      </c>
      <c r="P32" s="277">
        <f t="shared" si="21"/>
        <v>85839.005997999993</v>
      </c>
      <c r="Q32" s="277">
        <v>2400</v>
      </c>
      <c r="R32" s="277">
        <f t="shared" si="22"/>
        <v>88239.005997999993</v>
      </c>
      <c r="S32" s="277">
        <f t="shared" si="23"/>
        <v>4740.1559979999874</v>
      </c>
      <c r="T32" s="277">
        <f t="shared" si="16"/>
        <v>6566.6839588469993</v>
      </c>
      <c r="U32" s="277">
        <f t="shared" si="24"/>
        <v>42</v>
      </c>
      <c r="V32" s="277">
        <f>IF(P32&gt;$V$6,$V$6*$V$7,+P32*$V$7)</f>
        <v>365.04</v>
      </c>
      <c r="W32" s="277">
        <f>$W$6*I32</f>
        <v>2854.1634330000002</v>
      </c>
      <c r="X32" s="277">
        <f t="shared" si="17"/>
        <v>9827.8873918469999</v>
      </c>
    </row>
    <row r="33" spans="1:24">
      <c r="A33" s="276" t="str">
        <f>+'WP-2 - Labor Analysis'!A33</f>
        <v>James I. Fleishman</v>
      </c>
      <c r="B33" s="2" t="s">
        <v>76</v>
      </c>
      <c r="C33" s="2" t="s">
        <v>78</v>
      </c>
      <c r="D33" s="638">
        <v>30.961500000000001</v>
      </c>
      <c r="E33" s="638">
        <v>32.115400000000001</v>
      </c>
      <c r="F33" s="638"/>
      <c r="G33" s="638">
        <v>33.269300000000001</v>
      </c>
      <c r="I33" s="277">
        <f>+'WP-2 - Labor Analysis'!Y33</f>
        <v>2275.3500000000004</v>
      </c>
      <c r="J33" s="277">
        <f>+'WP-2 - Labor Analysis'!Z33</f>
        <v>74942.740000000005</v>
      </c>
      <c r="K33" s="277"/>
      <c r="M33" s="622">
        <f t="shared" si="18"/>
        <v>33.269300000000001</v>
      </c>
      <c r="N33" s="2">
        <f t="shared" si="19"/>
        <v>69200.144</v>
      </c>
      <c r="O33" s="2">
        <f t="shared" si="20"/>
        <v>9748.7366325000185</v>
      </c>
      <c r="P33" s="277">
        <f t="shared" si="21"/>
        <v>78948.880632500019</v>
      </c>
      <c r="Q33" s="277">
        <v>2400</v>
      </c>
      <c r="R33" s="277">
        <f t="shared" si="22"/>
        <v>81348.880632500019</v>
      </c>
      <c r="S33" s="277">
        <f t="shared" si="23"/>
        <v>6406.1406325000135</v>
      </c>
      <c r="T33" s="277">
        <f t="shared" si="16"/>
        <v>6039.5893683862514</v>
      </c>
      <c r="U33" s="277">
        <f t="shared" si="24"/>
        <v>42</v>
      </c>
      <c r="V33" s="277">
        <f>IF(P33&gt;$V$6,$V$6*$V$7,+P33*$V$7)</f>
        <v>365.04</v>
      </c>
      <c r="W33" s="277">
        <f>$W$6*I33</f>
        <v>2775.6994650000006</v>
      </c>
      <c r="X33" s="277">
        <f t="shared" si="17"/>
        <v>9222.3288333862529</v>
      </c>
    </row>
    <row r="34" spans="1:24">
      <c r="A34" s="276" t="str">
        <f>+'WP-2 - Labor Analysis'!A34</f>
        <v>Nathanael James Fleishman</v>
      </c>
      <c r="B34" s="2" t="s">
        <v>76</v>
      </c>
      <c r="C34" s="2" t="s">
        <v>78</v>
      </c>
      <c r="D34" s="638">
        <v>20</v>
      </c>
      <c r="E34" s="638"/>
      <c r="F34" s="638"/>
      <c r="G34" s="638"/>
      <c r="I34" s="277">
        <f>+'WP-2 - Labor Analysis'!Y34</f>
        <v>86.97</v>
      </c>
      <c r="J34" s="277">
        <f>+'WP-2 - Labor Analysis'!Z34</f>
        <v>1838.8</v>
      </c>
      <c r="K34" s="277"/>
      <c r="M34" s="622" t="s">
        <v>963</v>
      </c>
      <c r="N34" s="2"/>
      <c r="O34" s="2"/>
      <c r="P34" s="277">
        <f t="shared" ref="P34:P47" si="25">+N34+O34</f>
        <v>0</v>
      </c>
      <c r="Q34" s="277"/>
      <c r="R34" s="277"/>
      <c r="S34" s="277">
        <f t="shared" si="23"/>
        <v>-1838.8</v>
      </c>
      <c r="T34" s="277">
        <f t="shared" ref="T34:T47" si="26">P34*0.0765</f>
        <v>0</v>
      </c>
      <c r="U34" s="277">
        <f t="shared" ref="U34:U47" si="27">IF(P34&gt;7000,7000*0.006,P34*0.006)</f>
        <v>0</v>
      </c>
      <c r="V34" s="277"/>
      <c r="W34" s="277"/>
      <c r="X34" s="277">
        <f t="shared" si="17"/>
        <v>0</v>
      </c>
    </row>
    <row r="35" spans="1:24">
      <c r="A35" s="276" t="str">
        <f>+'WP-2 - Labor Analysis'!A35</f>
        <v>William M. Fortner</v>
      </c>
      <c r="B35" s="2" t="s">
        <v>76</v>
      </c>
      <c r="C35" s="2" t="s">
        <v>78</v>
      </c>
      <c r="D35" s="638">
        <v>29.711500000000001</v>
      </c>
      <c r="E35" s="638">
        <v>30.865400000000001</v>
      </c>
      <c r="F35" s="638"/>
      <c r="G35" s="638">
        <v>32.019300000000001</v>
      </c>
      <c r="H35" s="4"/>
      <c r="I35" s="277">
        <f>+'WP-2 - Labor Analysis'!Y35</f>
        <v>2160.52</v>
      </c>
      <c r="J35" s="277">
        <f>+'WP-2 - Labor Analysis'!Z35</f>
        <v>68811.58</v>
      </c>
      <c r="K35" s="1"/>
      <c r="M35" s="622">
        <f>+G35</f>
        <v>32.019300000000001</v>
      </c>
      <c r="N35" s="2">
        <f t="shared" si="19"/>
        <v>66600.144</v>
      </c>
      <c r="O35" s="2">
        <f t="shared" ref="O35:O47" si="28">IF(I35&gt;2080,(+I35-2080)*1.5*M35,0)</f>
        <v>3867.2910539999993</v>
      </c>
      <c r="P35" s="277">
        <f t="shared" si="25"/>
        <v>70467.435054000001</v>
      </c>
      <c r="Q35" s="277">
        <v>2400</v>
      </c>
      <c r="R35" s="277">
        <f t="shared" si="22"/>
        <v>72867.435054000001</v>
      </c>
      <c r="S35" s="277">
        <f t="shared" si="23"/>
        <v>4055.8550539999997</v>
      </c>
      <c r="T35" s="277">
        <f t="shared" si="26"/>
        <v>5390.7587816309997</v>
      </c>
      <c r="U35" s="277">
        <f t="shared" si="27"/>
        <v>42</v>
      </c>
      <c r="V35" s="277">
        <f t="shared" ref="V35:V47" si="29">IF(P35&gt;$V$6,$V$6*$V$7,+P35*$V$7)</f>
        <v>365.04</v>
      </c>
      <c r="W35" s="277">
        <f t="shared" ref="W35:W47" si="30">$W$6*I35</f>
        <v>2635.618348</v>
      </c>
      <c r="X35" s="277">
        <f t="shared" si="17"/>
        <v>8433.4171296309996</v>
      </c>
    </row>
    <row r="36" spans="1:24">
      <c r="A36" s="276" t="str">
        <f>+'WP-2 - Labor Analysis'!A36</f>
        <v>Emmanuel Gonzalez Castaneda</v>
      </c>
      <c r="B36" s="2" t="s">
        <v>76</v>
      </c>
      <c r="C36" s="2" t="s">
        <v>78</v>
      </c>
      <c r="D36" s="638">
        <v>19.442299999999999</v>
      </c>
      <c r="E36" s="638">
        <v>21.173100000000002</v>
      </c>
      <c r="F36" s="638">
        <v>23.2</v>
      </c>
      <c r="G36" s="689">
        <v>24.353899999999999</v>
      </c>
      <c r="I36" s="277">
        <f>+'WP-2 - Labor Analysis'!Y36</f>
        <v>2452.63</v>
      </c>
      <c r="J36" s="277">
        <f>+'WP-2 - Labor Analysis'!Z36</f>
        <v>58245.48</v>
      </c>
      <c r="K36" s="1"/>
      <c r="M36" s="622">
        <f t="shared" ref="M36:M52" si="31">+G36</f>
        <v>24.353899999999999</v>
      </c>
      <c r="N36" s="2">
        <f t="shared" si="19"/>
        <v>50656.112000000001</v>
      </c>
      <c r="O36" s="2">
        <f t="shared" si="28"/>
        <v>13612.490635500004</v>
      </c>
      <c r="P36" s="277">
        <f t="shared" si="25"/>
        <v>64268.602635500007</v>
      </c>
      <c r="Q36" s="277">
        <v>2400</v>
      </c>
      <c r="R36" s="277">
        <f t="shared" si="22"/>
        <v>66668.602635500007</v>
      </c>
      <c r="S36" s="277">
        <f t="shared" si="23"/>
        <v>8423.1226355000035</v>
      </c>
      <c r="T36" s="277">
        <f t="shared" si="26"/>
        <v>4916.5481016157501</v>
      </c>
      <c r="U36" s="277">
        <f t="shared" si="27"/>
        <v>42</v>
      </c>
      <c r="V36" s="277">
        <f t="shared" si="29"/>
        <v>347.05045423170003</v>
      </c>
      <c r="W36" s="277">
        <f t="shared" si="30"/>
        <v>2991.9633370000001</v>
      </c>
      <c r="X36" s="277">
        <f t="shared" si="17"/>
        <v>8297.5618928474505</v>
      </c>
    </row>
    <row r="37" spans="1:24">
      <c r="A37" s="276" t="str">
        <f>+'WP-2 - Labor Analysis'!A37</f>
        <v>Jeffrey E. Graves</v>
      </c>
      <c r="B37" s="2" t="s">
        <v>76</v>
      </c>
      <c r="C37" s="2" t="s">
        <v>78</v>
      </c>
      <c r="D37" s="638">
        <v>19.731300000000001</v>
      </c>
      <c r="E37" s="638">
        <v>21.466899999999999</v>
      </c>
      <c r="F37" s="638">
        <v>23.5</v>
      </c>
      <c r="G37" s="689">
        <v>24.615400000000001</v>
      </c>
      <c r="I37" s="277">
        <f>+'WP-2 - Labor Analysis'!Y37</f>
        <v>2185.25</v>
      </c>
      <c r="J37" s="277">
        <f>+'WP-2 - Labor Analysis'!Z37</f>
        <v>49912.04</v>
      </c>
      <c r="K37" s="277"/>
      <c r="M37" s="622">
        <f t="shared" si="31"/>
        <v>24.615400000000001</v>
      </c>
      <c r="N37" s="2">
        <f t="shared" si="19"/>
        <v>51200.031999999999</v>
      </c>
      <c r="O37" s="2">
        <f t="shared" si="28"/>
        <v>3886.1562750000003</v>
      </c>
      <c r="P37" s="277">
        <f t="shared" si="25"/>
        <v>55086.188275</v>
      </c>
      <c r="Q37" s="277">
        <v>2400</v>
      </c>
      <c r="R37" s="277">
        <f t="shared" si="22"/>
        <v>57486.188275</v>
      </c>
      <c r="S37" s="277">
        <f t="shared" si="23"/>
        <v>7574.1482749999996</v>
      </c>
      <c r="T37" s="277">
        <f t="shared" si="26"/>
        <v>4214.0934030375001</v>
      </c>
      <c r="U37" s="277">
        <f t="shared" si="27"/>
        <v>42</v>
      </c>
      <c r="V37" s="277">
        <f t="shared" si="29"/>
        <v>297.46541668500004</v>
      </c>
      <c r="W37" s="277">
        <f t="shared" si="30"/>
        <v>2665.7864749999999</v>
      </c>
      <c r="X37" s="277">
        <f t="shared" si="17"/>
        <v>7219.3452947224996</v>
      </c>
    </row>
    <row r="38" spans="1:24">
      <c r="A38" s="276" t="str">
        <f>+'WP-2 - Labor Analysis'!A38</f>
        <v>Clint A. Ho-Gland</v>
      </c>
      <c r="B38" s="2" t="s">
        <v>76</v>
      </c>
      <c r="C38" s="2" t="s">
        <v>78</v>
      </c>
      <c r="D38" s="638">
        <v>25.384599999999999</v>
      </c>
      <c r="E38" s="638">
        <v>26.826899999999998</v>
      </c>
      <c r="F38" s="638"/>
      <c r="G38" s="689">
        <v>27.980799999999999</v>
      </c>
      <c r="I38" s="277">
        <f>+'WP-2 - Labor Analysis'!Y38</f>
        <v>2169.84</v>
      </c>
      <c r="J38" s="277">
        <f>+'WP-2 - Labor Analysis'!Z38</f>
        <v>59538.5</v>
      </c>
      <c r="K38" s="277"/>
      <c r="M38" s="622">
        <f t="shared" si="31"/>
        <v>27.980799999999999</v>
      </c>
      <c r="N38" s="2">
        <f t="shared" si="19"/>
        <v>58200.063999999998</v>
      </c>
      <c r="O38" s="2">
        <f t="shared" si="28"/>
        <v>3770.6926080000057</v>
      </c>
      <c r="P38" s="277">
        <f t="shared" si="25"/>
        <v>61970.756608000003</v>
      </c>
      <c r="Q38" s="277">
        <v>2400</v>
      </c>
      <c r="R38" s="277">
        <f t="shared" si="22"/>
        <v>64370.756608000003</v>
      </c>
      <c r="S38" s="277">
        <f t="shared" si="23"/>
        <v>4832.2566080000033</v>
      </c>
      <c r="T38" s="277">
        <f t="shared" si="26"/>
        <v>4740.7628805120003</v>
      </c>
      <c r="U38" s="277">
        <f t="shared" si="27"/>
        <v>42</v>
      </c>
      <c r="V38" s="277">
        <f t="shared" si="29"/>
        <v>334.64208568320004</v>
      </c>
      <c r="W38" s="277">
        <f t="shared" si="30"/>
        <v>2646.9878160000003</v>
      </c>
      <c r="X38" s="277">
        <f t="shared" si="17"/>
        <v>7764.3927821952011</v>
      </c>
    </row>
    <row r="39" spans="1:24">
      <c r="A39" s="276" t="str">
        <f>+'WP-2 - Labor Analysis'!A39</f>
        <v>Patrick A. Hoyt</v>
      </c>
      <c r="B39" s="2" t="s">
        <v>76</v>
      </c>
      <c r="C39" s="2" t="s">
        <v>78</v>
      </c>
      <c r="D39" s="638">
        <v>18</v>
      </c>
      <c r="E39" s="638">
        <v>20</v>
      </c>
      <c r="F39" s="638"/>
      <c r="G39" s="689">
        <v>21.1539</v>
      </c>
      <c r="I39" s="277">
        <f>+'WP-2 - Labor Analysis'!Y39</f>
        <v>2229.59</v>
      </c>
      <c r="J39" s="277">
        <f>+'WP-2 - Labor Analysis'!Z39</f>
        <v>44090.65</v>
      </c>
      <c r="K39" s="277"/>
      <c r="M39" s="622">
        <f t="shared" si="31"/>
        <v>21.1539</v>
      </c>
      <c r="N39" s="2">
        <f t="shared" si="19"/>
        <v>44000.112000000001</v>
      </c>
      <c r="O39" s="2">
        <f t="shared" si="28"/>
        <v>4746.6178515000047</v>
      </c>
      <c r="P39" s="277">
        <f t="shared" si="25"/>
        <v>48746.729851500007</v>
      </c>
      <c r="Q39" s="277">
        <v>2400</v>
      </c>
      <c r="R39" s="277">
        <f t="shared" si="22"/>
        <v>51146.729851500007</v>
      </c>
      <c r="S39" s="277">
        <f t="shared" si="23"/>
        <v>7056.079851500006</v>
      </c>
      <c r="T39" s="277">
        <f t="shared" si="26"/>
        <v>3729.1248336397507</v>
      </c>
      <c r="U39" s="277">
        <f t="shared" si="27"/>
        <v>42</v>
      </c>
      <c r="V39" s="277">
        <f t="shared" si="29"/>
        <v>263.23234119810007</v>
      </c>
      <c r="W39" s="277">
        <f t="shared" si="30"/>
        <v>2719.8768410000002</v>
      </c>
      <c r="X39" s="277">
        <f t="shared" si="17"/>
        <v>6754.2340158378502</v>
      </c>
    </row>
    <row r="40" spans="1:24">
      <c r="A40" s="276" t="str">
        <f>+'WP-2 - Labor Analysis'!A40</f>
        <v>Michael P. Hughes</v>
      </c>
      <c r="B40" s="2" t="s">
        <v>76</v>
      </c>
      <c r="C40" s="2" t="s">
        <v>78</v>
      </c>
      <c r="D40" s="638">
        <v>24.615400000000001</v>
      </c>
      <c r="E40" s="638">
        <v>26.25</v>
      </c>
      <c r="F40" s="638"/>
      <c r="G40" s="689">
        <v>27.4039</v>
      </c>
      <c r="I40" s="277">
        <f>+'WP-2 - Labor Analysis'!Y40</f>
        <v>2187.0700000000002</v>
      </c>
      <c r="J40" s="277">
        <f>+'WP-2 - Labor Analysis'!Z40</f>
        <v>59473.4</v>
      </c>
      <c r="K40" s="277"/>
      <c r="M40" s="622">
        <f t="shared" si="31"/>
        <v>27.4039</v>
      </c>
      <c r="N40" s="2">
        <f t="shared" si="19"/>
        <v>57000.112000000001</v>
      </c>
      <c r="O40" s="2">
        <f t="shared" si="28"/>
        <v>4401.2033595000066</v>
      </c>
      <c r="P40" s="277">
        <f t="shared" si="25"/>
        <v>61401.315359500004</v>
      </c>
      <c r="Q40" s="277">
        <v>2400</v>
      </c>
      <c r="R40" s="277">
        <f t="shared" si="22"/>
        <v>63801.315359500004</v>
      </c>
      <c r="S40" s="277">
        <f t="shared" si="23"/>
        <v>4327.9153595000025</v>
      </c>
      <c r="T40" s="277">
        <f t="shared" si="26"/>
        <v>4697.2006250017503</v>
      </c>
      <c r="U40" s="277">
        <f t="shared" si="27"/>
        <v>42</v>
      </c>
      <c r="V40" s="277">
        <f t="shared" si="29"/>
        <v>331.56710294130005</v>
      </c>
      <c r="W40" s="277">
        <f t="shared" si="30"/>
        <v>2668.0066930000003</v>
      </c>
      <c r="X40" s="277">
        <f t="shared" si="17"/>
        <v>7738.7744209430502</v>
      </c>
    </row>
    <row r="41" spans="1:24">
      <c r="A41" s="276" t="str">
        <f>+'WP-2 - Labor Analysis'!A41</f>
        <v>Joseph E. Mack Jr</v>
      </c>
      <c r="B41" s="2" t="s">
        <v>76</v>
      </c>
      <c r="C41" s="2" t="s">
        <v>78</v>
      </c>
      <c r="D41" s="638">
        <v>19.038499999999999</v>
      </c>
      <c r="E41" s="638">
        <v>20.192299999999999</v>
      </c>
      <c r="F41" s="638">
        <v>22.2</v>
      </c>
      <c r="G41" s="689">
        <v>23.353899999999999</v>
      </c>
      <c r="I41" s="277">
        <f>+'WP-2 - Labor Analysis'!Y41</f>
        <v>2257.3500000000004</v>
      </c>
      <c r="J41" s="277">
        <f>+'WP-2 - Labor Analysis'!Z41</f>
        <v>49659.17</v>
      </c>
      <c r="K41" s="277"/>
      <c r="M41" s="622">
        <f t="shared" si="31"/>
        <v>23.353899999999999</v>
      </c>
      <c r="N41" s="2">
        <f t="shared" si="19"/>
        <v>48576.112000000001</v>
      </c>
      <c r="O41" s="2">
        <f t="shared" si="28"/>
        <v>6212.7212475000124</v>
      </c>
      <c r="P41" s="277">
        <f t="shared" si="25"/>
        <v>54788.833247500013</v>
      </c>
      <c r="Q41" s="277">
        <v>2400</v>
      </c>
      <c r="R41" s="277">
        <f t="shared" si="22"/>
        <v>57188.833247500013</v>
      </c>
      <c r="S41" s="277">
        <f t="shared" si="23"/>
        <v>7529.6632475000151</v>
      </c>
      <c r="T41" s="277">
        <f t="shared" si="26"/>
        <v>4191.3457434337506</v>
      </c>
      <c r="U41" s="277">
        <f t="shared" si="27"/>
        <v>42</v>
      </c>
      <c r="V41" s="277">
        <f t="shared" si="29"/>
        <v>295.8596995365001</v>
      </c>
      <c r="W41" s="277">
        <f t="shared" si="30"/>
        <v>2753.7412650000006</v>
      </c>
      <c r="X41" s="277">
        <f t="shared" si="17"/>
        <v>7282.9467079702517</v>
      </c>
    </row>
    <row r="42" spans="1:24">
      <c r="A42" s="276" t="str">
        <f>+'WP-2 - Labor Analysis'!A42</f>
        <v>Lester R. Mather</v>
      </c>
      <c r="B42" s="2" t="s">
        <v>76</v>
      </c>
      <c r="C42" s="2" t="s">
        <v>78</v>
      </c>
      <c r="D42" s="638">
        <v>19.1539</v>
      </c>
      <c r="E42" s="638">
        <v>20.5961</v>
      </c>
      <c r="F42" s="638">
        <v>22.5961</v>
      </c>
      <c r="G42" s="689">
        <v>23.75</v>
      </c>
      <c r="I42" s="277">
        <f>+'WP-2 - Labor Analysis'!Y42</f>
        <v>2176.66</v>
      </c>
      <c r="J42" s="277">
        <f>+'WP-2 - Labor Analysis'!Z42</f>
        <v>47103.51</v>
      </c>
      <c r="K42" s="277"/>
      <c r="M42" s="622">
        <f t="shared" si="31"/>
        <v>23.75</v>
      </c>
      <c r="N42" s="2">
        <f t="shared" si="19"/>
        <v>49400</v>
      </c>
      <c r="O42" s="2">
        <f t="shared" si="28"/>
        <v>3443.5124999999948</v>
      </c>
      <c r="P42" s="277">
        <f t="shared" si="25"/>
        <v>52843.512499999997</v>
      </c>
      <c r="Q42" s="277">
        <v>2400</v>
      </c>
      <c r="R42" s="277">
        <f t="shared" si="22"/>
        <v>55243.512499999997</v>
      </c>
      <c r="S42" s="277">
        <f t="shared" si="23"/>
        <v>8140.0024999999951</v>
      </c>
      <c r="T42" s="277">
        <f t="shared" si="26"/>
        <v>4042.5287062499997</v>
      </c>
      <c r="U42" s="277">
        <f t="shared" si="27"/>
        <v>42</v>
      </c>
      <c r="V42" s="277">
        <f t="shared" si="29"/>
        <v>285.35496749999999</v>
      </c>
      <c r="W42" s="277">
        <f t="shared" si="30"/>
        <v>2655.3075339999996</v>
      </c>
      <c r="X42" s="277">
        <f t="shared" si="17"/>
        <v>7025.1912077499992</v>
      </c>
    </row>
    <row r="43" spans="1:24">
      <c r="A43" s="276" t="str">
        <f>+'WP-2 - Labor Analysis'!A43</f>
        <v>Josh M. Nations</v>
      </c>
      <c r="B43" s="2" t="s">
        <v>76</v>
      </c>
      <c r="C43" s="2" t="s">
        <v>78</v>
      </c>
      <c r="D43" s="638">
        <v>28.5578</v>
      </c>
      <c r="E43" s="638">
        <v>30.288499999999999</v>
      </c>
      <c r="F43" s="638"/>
      <c r="G43" s="689">
        <v>31.730799999999999</v>
      </c>
      <c r="I43" s="277">
        <f>+'WP-2 - Labor Analysis'!Y43</f>
        <v>2187.0499999999997</v>
      </c>
      <c r="J43" s="277">
        <f>+'WP-2 - Labor Analysis'!Z43</f>
        <v>66973.59</v>
      </c>
      <c r="K43" s="277"/>
      <c r="M43" s="622">
        <f t="shared" si="31"/>
        <v>31.730799999999999</v>
      </c>
      <c r="N43" s="2">
        <f t="shared" si="19"/>
        <v>66000.063999999998</v>
      </c>
      <c r="O43" s="2">
        <f t="shared" si="28"/>
        <v>5095.1732099999872</v>
      </c>
      <c r="P43" s="277">
        <f t="shared" si="25"/>
        <v>71095.237209999992</v>
      </c>
      <c r="Q43" s="277">
        <v>2400</v>
      </c>
      <c r="R43" s="277">
        <f t="shared" si="22"/>
        <v>73495.237209999992</v>
      </c>
      <c r="S43" s="277">
        <f t="shared" si="23"/>
        <v>6521.6472099999955</v>
      </c>
      <c r="T43" s="277">
        <f t="shared" si="26"/>
        <v>5438.7856465649993</v>
      </c>
      <c r="U43" s="277">
        <f t="shared" si="27"/>
        <v>42</v>
      </c>
      <c r="V43" s="277">
        <f t="shared" si="29"/>
        <v>365.04</v>
      </c>
      <c r="W43" s="277">
        <f t="shared" si="30"/>
        <v>2667.9822949999998</v>
      </c>
      <c r="X43" s="277">
        <f t="shared" si="17"/>
        <v>8513.8079415649991</v>
      </c>
    </row>
    <row r="44" spans="1:24">
      <c r="A44" s="276" t="str">
        <f>+'WP-2 - Labor Analysis'!A44</f>
        <v>Adan Nava</v>
      </c>
      <c r="B44" s="2" t="s">
        <v>76</v>
      </c>
      <c r="C44" s="2" t="s">
        <v>78</v>
      </c>
      <c r="D44" s="638">
        <v>21.0578</v>
      </c>
      <c r="E44" s="638">
        <v>22.5</v>
      </c>
      <c r="F44" s="638">
        <v>24</v>
      </c>
      <c r="G44" s="689">
        <v>25.1539</v>
      </c>
      <c r="I44" s="277">
        <f>+'WP-2 - Labor Analysis'!Y44</f>
        <v>2195.4100000000003</v>
      </c>
      <c r="J44" s="277">
        <f>+'WP-2 - Labor Analysis'!Z44</f>
        <v>52152.85</v>
      </c>
      <c r="K44" s="277"/>
      <c r="M44" s="622">
        <f t="shared" si="31"/>
        <v>25.1539</v>
      </c>
      <c r="N44" s="2">
        <f t="shared" si="19"/>
        <v>52320.112000000001</v>
      </c>
      <c r="O44" s="2">
        <f t="shared" si="28"/>
        <v>4354.517398500012</v>
      </c>
      <c r="P44" s="277">
        <f t="shared" si="25"/>
        <v>56674.629398500016</v>
      </c>
      <c r="Q44" s="277">
        <v>2400</v>
      </c>
      <c r="R44" s="277">
        <f t="shared" si="22"/>
        <v>59074.629398500016</v>
      </c>
      <c r="S44" s="277">
        <f t="shared" si="23"/>
        <v>6921.7793985000171</v>
      </c>
      <c r="T44" s="277">
        <f t="shared" si="26"/>
        <v>4335.6091489852515</v>
      </c>
      <c r="U44" s="277">
        <f t="shared" si="27"/>
        <v>42</v>
      </c>
      <c r="V44" s="277">
        <f t="shared" si="29"/>
        <v>306.04299875190009</v>
      </c>
      <c r="W44" s="277">
        <f t="shared" si="30"/>
        <v>2678.1806590000006</v>
      </c>
      <c r="X44" s="277">
        <f t="shared" si="17"/>
        <v>7361.8328067371522</v>
      </c>
    </row>
    <row r="45" spans="1:24">
      <c r="A45" s="276" t="str">
        <f>+'WP-2 - Labor Analysis'!A45</f>
        <v>Mark W. Perry</v>
      </c>
      <c r="B45" s="2" t="s">
        <v>76</v>
      </c>
      <c r="C45" s="2" t="s">
        <v>78</v>
      </c>
      <c r="D45" s="638">
        <v>30.288499999999999</v>
      </c>
      <c r="E45" s="638">
        <v>31.442299999999999</v>
      </c>
      <c r="F45" s="638"/>
      <c r="G45" s="689">
        <v>32.5961</v>
      </c>
      <c r="I45" s="277">
        <f>+'WP-2 - Labor Analysis'!Y45</f>
        <v>2099.2600000000002</v>
      </c>
      <c r="J45" s="277">
        <f>+'WP-2 - Labor Analysis'!Z45</f>
        <v>66649.98</v>
      </c>
      <c r="K45" s="277"/>
      <c r="M45" s="622">
        <f t="shared" si="31"/>
        <v>32.5961</v>
      </c>
      <c r="N45" s="2">
        <f t="shared" si="19"/>
        <v>67799.888000000006</v>
      </c>
      <c r="O45" s="2">
        <f t="shared" si="28"/>
        <v>941.70132900001067</v>
      </c>
      <c r="P45" s="277">
        <f t="shared" si="25"/>
        <v>68741.589329000024</v>
      </c>
      <c r="Q45" s="277">
        <v>2400</v>
      </c>
      <c r="R45" s="277">
        <f t="shared" si="22"/>
        <v>71141.589329000024</v>
      </c>
      <c r="S45" s="277">
        <f t="shared" si="23"/>
        <v>4491.6093290000281</v>
      </c>
      <c r="T45" s="277">
        <f t="shared" si="26"/>
        <v>5258.731583668502</v>
      </c>
      <c r="U45" s="277">
        <f t="shared" si="27"/>
        <v>42</v>
      </c>
      <c r="V45" s="277">
        <f t="shared" si="29"/>
        <v>365.04</v>
      </c>
      <c r="W45" s="277">
        <f t="shared" si="30"/>
        <v>2560.8872740000002</v>
      </c>
      <c r="X45" s="277">
        <f t="shared" si="17"/>
        <v>8226.6588576685026</v>
      </c>
    </row>
    <row r="46" spans="1:24">
      <c r="A46" s="276" t="str">
        <f>+'WP-2 - Labor Analysis'!A46</f>
        <v>Kevin T. Ray</v>
      </c>
      <c r="B46" s="2" t="s">
        <v>76</v>
      </c>
      <c r="C46" s="2" t="s">
        <v>78</v>
      </c>
      <c r="D46" s="638">
        <v>24.422999999999998</v>
      </c>
      <c r="E46" s="638">
        <v>25.576899999999998</v>
      </c>
      <c r="F46" s="638"/>
      <c r="G46" s="689">
        <v>26.730799999999999</v>
      </c>
      <c r="I46" s="277">
        <f>+'WP-2 - Labor Analysis'!Y46</f>
        <v>2082.64</v>
      </c>
      <c r="J46" s="277">
        <f>+'WP-2 - Labor Analysis'!Z46</f>
        <v>54487.65</v>
      </c>
      <c r="K46" s="277"/>
      <c r="M46" s="622">
        <f t="shared" si="31"/>
        <v>26.730799999999999</v>
      </c>
      <c r="N46" s="2">
        <f t="shared" si="19"/>
        <v>55600.063999999998</v>
      </c>
      <c r="O46" s="2">
        <f t="shared" si="28"/>
        <v>105.85396799999489</v>
      </c>
      <c r="P46" s="277">
        <f t="shared" si="25"/>
        <v>55705.917967999994</v>
      </c>
      <c r="Q46" s="277">
        <v>2400</v>
      </c>
      <c r="R46" s="277">
        <f t="shared" si="22"/>
        <v>58105.917967999994</v>
      </c>
      <c r="S46" s="277">
        <f t="shared" si="23"/>
        <v>3618.2679679999928</v>
      </c>
      <c r="T46" s="277">
        <f t="shared" si="26"/>
        <v>4261.5027245519996</v>
      </c>
      <c r="U46" s="277">
        <f t="shared" si="27"/>
        <v>42</v>
      </c>
      <c r="V46" s="277">
        <f t="shared" si="29"/>
        <v>300.81195702719998</v>
      </c>
      <c r="W46" s="277">
        <f t="shared" si="30"/>
        <v>2540.6125359999996</v>
      </c>
      <c r="X46" s="277">
        <f t="shared" si="17"/>
        <v>7144.9272175791994</v>
      </c>
    </row>
    <row r="47" spans="1:24">
      <c r="A47" s="276" t="str">
        <f>+'WP-2 - Labor Analysis'!A47</f>
        <v>Brent E. Tilson</v>
      </c>
      <c r="B47" s="2" t="s">
        <v>76</v>
      </c>
      <c r="C47" s="2" t="s">
        <v>78</v>
      </c>
      <c r="D47" s="638">
        <v>24.9039</v>
      </c>
      <c r="E47" s="638">
        <v>26.0578</v>
      </c>
      <c r="F47" s="638"/>
      <c r="G47" s="689">
        <v>27.211500000000001</v>
      </c>
      <c r="I47" s="277">
        <f>+'WP-2 - Labor Analysis'!Y47</f>
        <v>2138.87</v>
      </c>
      <c r="J47" s="277">
        <f>+'WP-2 - Labor Analysis'!Z47</f>
        <v>56807.7</v>
      </c>
      <c r="K47" s="277"/>
      <c r="M47" s="622">
        <f t="shared" si="31"/>
        <v>27.211500000000001</v>
      </c>
      <c r="N47" s="2">
        <f t="shared" si="19"/>
        <v>56599.92</v>
      </c>
      <c r="O47" s="2">
        <f t="shared" si="28"/>
        <v>2402.9115074999954</v>
      </c>
      <c r="P47" s="277">
        <f t="shared" si="25"/>
        <v>59002.831507499992</v>
      </c>
      <c r="Q47" s="277">
        <v>2400</v>
      </c>
      <c r="R47" s="277">
        <f t="shared" si="22"/>
        <v>61402.831507499992</v>
      </c>
      <c r="S47" s="277">
        <f t="shared" si="23"/>
        <v>4595.1315074999948</v>
      </c>
      <c r="T47" s="277">
        <f t="shared" si="26"/>
        <v>4513.7166103237496</v>
      </c>
      <c r="U47" s="277">
        <f t="shared" si="27"/>
        <v>42</v>
      </c>
      <c r="V47" s="277">
        <f t="shared" si="29"/>
        <v>318.61529014049995</v>
      </c>
      <c r="W47" s="277">
        <f t="shared" si="30"/>
        <v>2609.2075129999998</v>
      </c>
      <c r="X47" s="277">
        <f t="shared" si="17"/>
        <v>7483.5394134642502</v>
      </c>
    </row>
    <row r="48" spans="1:24">
      <c r="A48" s="276" t="str">
        <f>+'WP-2 - Labor Analysis'!A48</f>
        <v>Jerry Thomas Trumble</v>
      </c>
      <c r="B48" s="2" t="s">
        <v>76</v>
      </c>
      <c r="C48" s="2" t="s">
        <v>78</v>
      </c>
      <c r="D48" s="638">
        <v>19.038499999999999</v>
      </c>
      <c r="E48" s="638">
        <v>20.480799999999999</v>
      </c>
      <c r="F48" s="638">
        <v>22.5</v>
      </c>
      <c r="G48" s="689"/>
      <c r="I48" s="277">
        <f>+'WP-2 - Labor Analysis'!Y48</f>
        <v>2006.8700000000003</v>
      </c>
      <c r="J48" s="277">
        <f>+'WP-2 - Labor Analysis'!Z48</f>
        <v>42989.83</v>
      </c>
      <c r="K48" s="277"/>
      <c r="M48" s="622" t="s">
        <v>963</v>
      </c>
      <c r="N48" s="2"/>
      <c r="O48" s="2"/>
      <c r="P48" s="277">
        <f t="shared" ref="P48" si="32">+N48+O48</f>
        <v>0</v>
      </c>
      <c r="Q48" s="277"/>
      <c r="R48" s="277"/>
      <c r="S48" s="277">
        <f t="shared" si="23"/>
        <v>-42989.83</v>
      </c>
      <c r="T48" s="277">
        <f t="shared" ref="T48" si="33">P48*0.0765</f>
        <v>0</v>
      </c>
      <c r="U48" s="277">
        <f t="shared" ref="U48" si="34">IF(P48&gt;7000,7000*0.006,P48*0.006)</f>
        <v>0</v>
      </c>
      <c r="V48" s="277"/>
      <c r="W48" s="277"/>
      <c r="X48" s="277">
        <f t="shared" si="17"/>
        <v>0</v>
      </c>
    </row>
    <row r="49" spans="1:25">
      <c r="A49" s="276" t="str">
        <f>+'WP-2 - Labor Analysis'!A49</f>
        <v>Dennys Valverde</v>
      </c>
      <c r="B49" s="2" t="s">
        <v>76</v>
      </c>
      <c r="C49" s="2" t="s">
        <v>78</v>
      </c>
      <c r="D49" s="638">
        <v>21.0578</v>
      </c>
      <c r="E49" s="638">
        <v>22.5</v>
      </c>
      <c r="F49" s="638">
        <v>24</v>
      </c>
      <c r="G49" s="689">
        <v>25.1539</v>
      </c>
      <c r="I49" s="277">
        <f>+'WP-2 - Labor Analysis'!Y49</f>
        <v>2208.85</v>
      </c>
      <c r="J49" s="277">
        <f>+'WP-2 - Labor Analysis'!Z49</f>
        <v>52746.02</v>
      </c>
      <c r="K49" s="277"/>
      <c r="M49" s="622">
        <f>+G49</f>
        <v>25.1539</v>
      </c>
      <c r="N49" s="2">
        <f t="shared" ref="N49" si="35">(IF(I49&gt;2080,2080*M49,I49*M49))</f>
        <v>52320.112000000001</v>
      </c>
      <c r="O49" s="2">
        <f t="shared" ref="O49" si="36">IF(I49&gt;2080,(+I49-2080)*1.5*M49,0)</f>
        <v>4861.6200224999966</v>
      </c>
      <c r="P49" s="277">
        <f t="shared" ref="P49" si="37">+N49+O49</f>
        <v>57181.7320225</v>
      </c>
      <c r="Q49" s="277">
        <v>2400</v>
      </c>
      <c r="R49" s="277">
        <f t="shared" si="22"/>
        <v>59581.7320225</v>
      </c>
      <c r="S49" s="277">
        <f t="shared" si="23"/>
        <v>6835.7120225000035</v>
      </c>
      <c r="T49" s="277">
        <f t="shared" ref="T49" si="38">P49*0.0765</f>
        <v>4374.40249972125</v>
      </c>
      <c r="U49" s="277">
        <f t="shared" ref="U49" si="39">IF(P49&gt;7000,7000*0.006,P49*0.006)</f>
        <v>42</v>
      </c>
      <c r="V49" s="277">
        <f t="shared" ref="V49:V54" si="40">IF(P49&gt;$V$6,$V$6*$V$7,+P49*$V$7)</f>
        <v>308.7813529215</v>
      </c>
      <c r="W49" s="277">
        <f>$W$6*I49</f>
        <v>2694.5761149999998</v>
      </c>
      <c r="X49" s="277">
        <f t="shared" si="17"/>
        <v>7419.7599676427499</v>
      </c>
    </row>
    <row r="50" spans="1:25">
      <c r="A50" s="276" t="str">
        <f>+'WP-2 - Labor Analysis'!A50</f>
        <v>Scott R. Webb</v>
      </c>
      <c r="B50" s="2" t="s">
        <v>76</v>
      </c>
      <c r="C50" s="2" t="s">
        <v>78</v>
      </c>
      <c r="D50" s="638">
        <v>31.1539</v>
      </c>
      <c r="E50" s="638">
        <v>32.3078</v>
      </c>
      <c r="F50" s="638"/>
      <c r="G50" s="689">
        <v>33.461500000000001</v>
      </c>
      <c r="I50" s="277">
        <f>+'WP-2 - Labor Analysis'!Y50</f>
        <v>2114.6200000000003</v>
      </c>
      <c r="J50" s="277">
        <f>+'WP-2 - Labor Analysis'!Z50</f>
        <v>69993.88</v>
      </c>
      <c r="K50" s="277"/>
      <c r="M50" s="622">
        <f t="shared" si="31"/>
        <v>33.461500000000001</v>
      </c>
      <c r="N50" s="2">
        <f t="shared" ref="N50:N52" si="41">(IF(I50&gt;2080,2080*M50,I50*M50))</f>
        <v>69599.92</v>
      </c>
      <c r="O50" s="2">
        <f t="shared" ref="O50:O52" si="42">IF(I50&gt;2080,(+I50-2080)*1.5*M50,0)</f>
        <v>1737.6556950000174</v>
      </c>
      <c r="P50" s="277">
        <f t="shared" ref="P50:P52" si="43">+N50+O50</f>
        <v>71337.575695000021</v>
      </c>
      <c r="Q50" s="277">
        <v>2400</v>
      </c>
      <c r="R50" s="277">
        <f t="shared" si="22"/>
        <v>73737.575695000021</v>
      </c>
      <c r="S50" s="277">
        <f t="shared" si="23"/>
        <v>3743.6956950000167</v>
      </c>
      <c r="T50" s="277">
        <f t="shared" ref="T50:T52" si="44">P50*0.0765</f>
        <v>5457.3245406675014</v>
      </c>
      <c r="U50" s="277">
        <f t="shared" ref="U50:U52" si="45">IF(P50&gt;7000,7000*0.006,P50*0.006)</f>
        <v>42</v>
      </c>
      <c r="V50" s="277">
        <f t="shared" si="40"/>
        <v>365.04</v>
      </c>
      <c r="W50" s="277">
        <f>$W$6*I50</f>
        <v>2579.6249380000004</v>
      </c>
      <c r="X50" s="277">
        <f t="shared" si="17"/>
        <v>8443.9894786675031</v>
      </c>
    </row>
    <row r="51" spans="1:25">
      <c r="A51" s="276" t="str">
        <f>+'WP-2 - Labor Analysis'!A51</f>
        <v>Anthony J. Williamson</v>
      </c>
      <c r="B51" s="2" t="s">
        <v>76</v>
      </c>
      <c r="C51" s="2" t="s">
        <v>78</v>
      </c>
      <c r="D51" s="638">
        <v>29.8078</v>
      </c>
      <c r="E51" s="638">
        <v>30.961500000000001</v>
      </c>
      <c r="F51" s="638">
        <v>32.115000000000002</v>
      </c>
      <c r="G51" s="689">
        <v>33.269300000000001</v>
      </c>
      <c r="H51" s="4"/>
      <c r="I51" s="277">
        <f>+'WP-2 - Labor Analysis'!Y51</f>
        <v>2157.2400000000002</v>
      </c>
      <c r="J51" s="277">
        <f>+'WP-2 - Labor Analysis'!Z51</f>
        <v>69634.31</v>
      </c>
      <c r="K51" s="277"/>
      <c r="M51" s="622">
        <f t="shared" si="31"/>
        <v>33.269300000000001</v>
      </c>
      <c r="N51" s="2">
        <f t="shared" si="41"/>
        <v>69200.144</v>
      </c>
      <c r="O51" s="2">
        <f t="shared" si="42"/>
        <v>3854.5810980000119</v>
      </c>
      <c r="P51" s="277">
        <f t="shared" si="43"/>
        <v>73054.72509800001</v>
      </c>
      <c r="Q51" s="277">
        <v>2400</v>
      </c>
      <c r="R51" s="277">
        <f t="shared" si="22"/>
        <v>75454.72509800001</v>
      </c>
      <c r="S51" s="277">
        <f t="shared" si="23"/>
        <v>5820.4150980000122</v>
      </c>
      <c r="T51" s="277">
        <f t="shared" si="44"/>
        <v>5588.686469997001</v>
      </c>
      <c r="U51" s="277">
        <f t="shared" si="45"/>
        <v>42</v>
      </c>
      <c r="V51" s="277">
        <f t="shared" si="40"/>
        <v>365.04</v>
      </c>
      <c r="W51" s="277">
        <f>$W$6*I51</f>
        <v>2631.6170760000005</v>
      </c>
      <c r="X51" s="277">
        <f t="shared" si="17"/>
        <v>8627.3435459970024</v>
      </c>
    </row>
    <row r="52" spans="1:25">
      <c r="A52" s="276" t="str">
        <f>+'WP-2 - Labor Analysis'!A52</f>
        <v>Nathan F. Winter</v>
      </c>
      <c r="B52" s="2" t="s">
        <v>76</v>
      </c>
      <c r="C52" s="2" t="s">
        <v>78</v>
      </c>
      <c r="D52" s="638">
        <v>21.3461</v>
      </c>
      <c r="E52" s="638">
        <v>22.5</v>
      </c>
      <c r="F52" s="638"/>
      <c r="G52" s="689">
        <v>23.6539</v>
      </c>
      <c r="I52" s="277">
        <f>+'WP-2 - Labor Analysis'!Y52</f>
        <v>2147.9700000000003</v>
      </c>
      <c r="J52" s="277">
        <f>+'WP-2 - Labor Analysis'!Z52</f>
        <v>49267.5</v>
      </c>
      <c r="K52" s="277"/>
      <c r="M52" s="622">
        <f t="shared" si="31"/>
        <v>23.6539</v>
      </c>
      <c r="N52" s="2">
        <f t="shared" si="41"/>
        <v>49200.112000000001</v>
      </c>
      <c r="O52" s="2">
        <f t="shared" si="42"/>
        <v>2411.6333745000093</v>
      </c>
      <c r="P52" s="277">
        <f t="shared" si="43"/>
        <v>51611.745374500009</v>
      </c>
      <c r="Q52" s="277">
        <v>2400</v>
      </c>
      <c r="R52" s="277">
        <f t="shared" si="22"/>
        <v>54011.745374500009</v>
      </c>
      <c r="S52" s="277">
        <f t="shared" si="23"/>
        <v>4744.2453745000093</v>
      </c>
      <c r="T52" s="277">
        <f t="shared" si="44"/>
        <v>3948.2985211492505</v>
      </c>
      <c r="U52" s="277">
        <f t="shared" si="45"/>
        <v>42</v>
      </c>
      <c r="V52" s="277">
        <f t="shared" si="40"/>
        <v>278.70342502230005</v>
      </c>
      <c r="W52" s="277">
        <f>$W$6*I52</f>
        <v>2620.3086030000004</v>
      </c>
      <c r="X52" s="277">
        <f t="shared" si="17"/>
        <v>6889.3105491715505</v>
      </c>
    </row>
    <row r="53" spans="1:25">
      <c r="A53" s="624" t="s">
        <v>969</v>
      </c>
      <c r="B53" s="2" t="s">
        <v>76</v>
      </c>
      <c r="C53" s="2" t="s">
        <v>78</v>
      </c>
      <c r="D53" s="638" t="s">
        <v>963</v>
      </c>
      <c r="E53" s="1"/>
      <c r="F53" s="638"/>
      <c r="G53" s="638">
        <v>20</v>
      </c>
      <c r="I53" s="277"/>
      <c r="J53" s="277"/>
      <c r="K53" s="277">
        <f>936.86/(0.416666666666667)</f>
        <v>2248.4639999999981</v>
      </c>
      <c r="M53" s="622">
        <f>+G53</f>
        <v>20</v>
      </c>
      <c r="N53" s="2">
        <f>(IF(K53&gt;2080,2080*M53,K53*M53))</f>
        <v>41600</v>
      </c>
      <c r="O53" s="2">
        <f>IF(K53&gt;2080,(+K53-2080)*1.5*M53,0)</f>
        <v>5053.9199999999437</v>
      </c>
      <c r="P53" s="277">
        <f>+N53+O53</f>
        <v>46653.91999999994</v>
      </c>
      <c r="Q53" s="277">
        <f>2400*0.5</f>
        <v>1200</v>
      </c>
      <c r="R53" s="277">
        <f t="shared" si="22"/>
        <v>47853.91999999994</v>
      </c>
      <c r="S53" s="277">
        <f>R53-J53</f>
        <v>47853.91999999994</v>
      </c>
      <c r="T53" s="277">
        <f>P53*0.0765</f>
        <v>3569.0248799999954</v>
      </c>
      <c r="U53" s="277">
        <f>IF(P53&gt;7000,7000*0.006,P53*0.006)</f>
        <v>42</v>
      </c>
      <c r="V53" s="277">
        <f t="shared" si="40"/>
        <v>251.9311679999997</v>
      </c>
      <c r="W53" s="277">
        <f>$W$6*K53</f>
        <v>2742.9012335999978</v>
      </c>
      <c r="X53" s="277">
        <f t="shared" si="17"/>
        <v>6605.8572815999933</v>
      </c>
    </row>
    <row r="54" spans="1:25">
      <c r="A54" s="624" t="s">
        <v>1061</v>
      </c>
      <c r="B54" s="2" t="s">
        <v>76</v>
      </c>
      <c r="C54" s="2" t="s">
        <v>78</v>
      </c>
      <c r="D54" s="638" t="s">
        <v>963</v>
      </c>
      <c r="E54" s="638">
        <v>20</v>
      </c>
      <c r="F54" s="638"/>
      <c r="G54" s="638"/>
      <c r="I54" s="1"/>
      <c r="J54" s="1"/>
      <c r="K54" s="277">
        <f>82.3/(1/26)</f>
        <v>2139.7999999999997</v>
      </c>
      <c r="M54" s="622">
        <f>+E54</f>
        <v>20</v>
      </c>
      <c r="N54" s="2">
        <f>(IF(K54&gt;2080,2080*M54,K54*M54))</f>
        <v>41600</v>
      </c>
      <c r="O54" s="2">
        <f>IF(K54&gt;2080,(+K54-2080)*1.5*M54,0)</f>
        <v>1793.9999999999918</v>
      </c>
      <c r="P54" s="277">
        <f>+N54+O54</f>
        <v>43393.999999999993</v>
      </c>
      <c r="Q54" s="277">
        <f>2400*(0.25)</f>
        <v>600</v>
      </c>
      <c r="R54" s="294">
        <f t="shared" si="22"/>
        <v>43993.999999999993</v>
      </c>
      <c r="S54" s="294">
        <f t="shared" si="23"/>
        <v>43993.999999999993</v>
      </c>
      <c r="T54" s="277">
        <f>P54*0.0765</f>
        <v>3319.6409999999992</v>
      </c>
      <c r="U54" s="277">
        <f>IF(P54&gt;7000,7000*0.006,P54*0.006)</f>
        <v>42</v>
      </c>
      <c r="V54" s="277">
        <f t="shared" si="40"/>
        <v>234.32759999999996</v>
      </c>
      <c r="W54" s="277">
        <f>$W$6*K54</f>
        <v>2610.3420199999996</v>
      </c>
      <c r="X54" s="277">
        <f t="shared" si="17"/>
        <v>6206.3106199999984</v>
      </c>
    </row>
    <row r="55" spans="1:25">
      <c r="A55" s="287" t="str">
        <f>+'WP-2 - Labor Analysis'!A53</f>
        <v>DRIVERS</v>
      </c>
      <c r="D55" s="638"/>
      <c r="E55" s="638"/>
      <c r="F55" s="638"/>
      <c r="G55" s="689"/>
      <c r="I55" s="688">
        <f>SUM(I29:I52)</f>
        <v>50489.780000000013</v>
      </c>
      <c r="J55" s="688">
        <f>SUM(J29:J52)</f>
        <v>1363953.46</v>
      </c>
      <c r="K55" s="277"/>
      <c r="M55" s="622"/>
      <c r="N55" s="730"/>
      <c r="O55" s="730"/>
      <c r="P55" s="687">
        <f>SUM(P29:P54)</f>
        <v>1481008.0221104999</v>
      </c>
      <c r="Q55" s="742"/>
      <c r="R55" s="293">
        <f>SUM(R29:R54)</f>
        <v>1535608.0221104999</v>
      </c>
      <c r="S55" s="293">
        <f t="shared" ref="S55:X55" si="46">SUM(S29:S54)</f>
        <v>171654.56211050003</v>
      </c>
      <c r="T55" s="687">
        <f t="shared" si="46"/>
        <v>113297.11369145325</v>
      </c>
      <c r="U55" s="687">
        <f t="shared" si="46"/>
        <v>1008</v>
      </c>
      <c r="V55" s="687">
        <f t="shared" si="46"/>
        <v>7728.4681232399998</v>
      </c>
      <c r="W55" s="687">
        <f t="shared" si="46"/>
        <v>64391.450459600004</v>
      </c>
      <c r="X55" s="687">
        <f t="shared" si="46"/>
        <v>186425.03227429322</v>
      </c>
      <c r="Y55" s="1">
        <f>+X55*'WP -11 Non-Regulated'!$K$29</f>
        <v>87647.307343393273</v>
      </c>
    </row>
    <row r="56" spans="1:25">
      <c r="A56" s="276"/>
      <c r="D56" s="638"/>
      <c r="E56" s="638"/>
      <c r="F56" s="638"/>
      <c r="G56" s="689"/>
      <c r="I56" s="277"/>
      <c r="J56" s="277"/>
      <c r="K56" s="277"/>
      <c r="M56" s="622"/>
      <c r="N56" s="730"/>
      <c r="O56" s="730"/>
      <c r="P56" s="277"/>
      <c r="Q56" s="277"/>
      <c r="R56" s="277"/>
      <c r="S56" s="277"/>
      <c r="T56" s="277"/>
      <c r="U56" s="277"/>
      <c r="V56" s="277"/>
      <c r="W56" s="277"/>
      <c r="X56" s="277"/>
    </row>
    <row r="57" spans="1:25">
      <c r="A57" s="276" t="str">
        <f>+'WP-2 - Labor Analysis'!A55</f>
        <v>Darren M. Bryant</v>
      </c>
      <c r="B57" s="2" t="s">
        <v>76</v>
      </c>
      <c r="C57" s="2" t="s">
        <v>78</v>
      </c>
      <c r="D57" s="638">
        <v>14.98</v>
      </c>
      <c r="E57" s="638"/>
      <c r="F57" s="638"/>
      <c r="G57" s="689"/>
      <c r="I57" s="277">
        <f>+'WP-2 - Labor Analysis'!Y55</f>
        <v>498.73</v>
      </c>
      <c r="J57" s="277">
        <f>+'WP-2 - Labor Analysis'!Z55</f>
        <v>7489.17</v>
      </c>
      <c r="K57" s="277"/>
      <c r="M57" s="622" t="s">
        <v>963</v>
      </c>
      <c r="N57" s="2"/>
      <c r="O57" s="2"/>
      <c r="P57" s="277">
        <f t="shared" ref="P57" si="47">+N57+O57</f>
        <v>0</v>
      </c>
      <c r="Q57" s="277"/>
      <c r="R57" s="277"/>
      <c r="S57" s="277">
        <f>R57-J57</f>
        <v>-7489.17</v>
      </c>
      <c r="T57" s="277">
        <f t="shared" ref="T57" si="48">P57*0.0765</f>
        <v>0</v>
      </c>
      <c r="U57" s="277">
        <f t="shared" ref="U57" si="49">IF(P57&gt;7000,7000*0.006,P57*0.006)</f>
        <v>0</v>
      </c>
      <c r="V57" s="277"/>
      <c r="W57" s="277"/>
      <c r="X57" s="277">
        <f t="shared" ref="X57:X66" si="50">+T57+U57+W57+V57</f>
        <v>0</v>
      </c>
    </row>
    <row r="58" spans="1:25">
      <c r="A58" s="276" t="str">
        <f>+'WP-2 - Labor Analysis'!A56</f>
        <v>Anthony E. Bunney</v>
      </c>
      <c r="B58" s="2" t="s">
        <v>76</v>
      </c>
      <c r="C58" s="2" t="s">
        <v>78</v>
      </c>
      <c r="D58" s="638">
        <v>25.1</v>
      </c>
      <c r="E58" s="638">
        <v>25.97</v>
      </c>
      <c r="F58" s="638"/>
      <c r="G58" s="689">
        <v>27.12</v>
      </c>
      <c r="I58" s="277">
        <f>+'WP-2 - Labor Analysis'!Y56</f>
        <v>2136.19</v>
      </c>
      <c r="J58" s="277">
        <f>+'WP-2 - Labor Analysis'!Z56</f>
        <v>56661.89</v>
      </c>
      <c r="K58" s="277"/>
      <c r="M58" s="622">
        <f>+G58</f>
        <v>27.12</v>
      </c>
      <c r="N58" s="2">
        <f t="shared" ref="N58" si="51">(IF(I58&gt;2080,2080*M58,I58*M58))</f>
        <v>56409.599999999999</v>
      </c>
      <c r="O58" s="2">
        <f t="shared" ref="O58" si="52">IF(I58&gt;2080,(+I58-2080)*1.5*M58,0)</f>
        <v>2285.8092000000024</v>
      </c>
      <c r="P58" s="277">
        <f t="shared" ref="P58" si="53">+N58+O58</f>
        <v>58695.409200000002</v>
      </c>
      <c r="Q58" s="277">
        <v>2400</v>
      </c>
      <c r="R58" s="277">
        <f>+P58+Q58</f>
        <v>61095.409200000002</v>
      </c>
      <c r="S58" s="277">
        <f t="shared" ref="S58:S65" si="54">R58-J58</f>
        <v>4433.5192000000025</v>
      </c>
      <c r="T58" s="277">
        <f t="shared" ref="T58" si="55">P58*0.0765</f>
        <v>4490.1988038</v>
      </c>
      <c r="U58" s="277">
        <f t="shared" ref="U58" si="56">IF(P58&gt;7000,7000*0.006,P58*0.006)</f>
        <v>42</v>
      </c>
      <c r="V58" s="277">
        <f>IF(P58&gt;$V$6,$V$6*$V$7,+P58*$V$7)</f>
        <v>316.95520968000005</v>
      </c>
      <c r="W58" s="277">
        <f>$W$5*I58</f>
        <v>1627.563161</v>
      </c>
      <c r="X58" s="277">
        <f t="shared" si="50"/>
        <v>6476.7171744799998</v>
      </c>
    </row>
    <row r="59" spans="1:25">
      <c r="A59" s="276" t="str">
        <f>+'WP-2 - Labor Analysis'!A57</f>
        <v>Bailey B. Bunney</v>
      </c>
      <c r="B59" s="2" t="s">
        <v>76</v>
      </c>
      <c r="C59" s="2" t="s">
        <v>78</v>
      </c>
      <c r="D59" s="638">
        <v>14.5</v>
      </c>
      <c r="E59" s="638">
        <v>16</v>
      </c>
      <c r="F59" s="638"/>
      <c r="G59" s="689">
        <v>16.87</v>
      </c>
      <c r="I59" s="277">
        <f>+'WP-2 - Labor Analysis'!Y57</f>
        <v>1403.65</v>
      </c>
      <c r="J59" s="277">
        <f>+'WP-2 - Labor Analysis'!Z57</f>
        <v>22050.19</v>
      </c>
      <c r="K59" s="277"/>
      <c r="M59" s="622" t="s">
        <v>963</v>
      </c>
      <c r="N59" s="2"/>
      <c r="O59" s="2"/>
      <c r="P59" s="277">
        <f t="shared" ref="P59:P65" si="57">+N59+O59</f>
        <v>0</v>
      </c>
      <c r="Q59" s="277"/>
      <c r="R59" s="277"/>
      <c r="S59" s="277">
        <f t="shared" si="54"/>
        <v>-22050.19</v>
      </c>
      <c r="T59" s="277">
        <f t="shared" ref="T59:T65" si="58">P59*0.0765</f>
        <v>0</v>
      </c>
      <c r="U59" s="277">
        <f t="shared" ref="U59:U65" si="59">IF(P59&gt;7000,7000*0.006,P59*0.006)</f>
        <v>0</v>
      </c>
      <c r="V59" s="277"/>
      <c r="W59" s="277"/>
      <c r="X59" s="277">
        <f t="shared" si="50"/>
        <v>0</v>
      </c>
    </row>
    <row r="60" spans="1:25">
      <c r="A60" s="276" t="str">
        <f>+'WP-2 - Labor Analysis'!A58</f>
        <v>Cameron O. Bunney</v>
      </c>
      <c r="B60" s="2" t="s">
        <v>76</v>
      </c>
      <c r="C60" s="2" t="s">
        <v>78</v>
      </c>
      <c r="D60" s="638">
        <v>14.5</v>
      </c>
      <c r="E60" s="638">
        <v>16</v>
      </c>
      <c r="F60" s="638"/>
      <c r="G60" s="689">
        <v>17</v>
      </c>
      <c r="I60" s="277">
        <f>+'WP-2 - Labor Analysis'!Y58</f>
        <v>1437.57</v>
      </c>
      <c r="J60" s="277">
        <f>+'WP-2 - Labor Analysis'!Z58</f>
        <v>22585.13</v>
      </c>
      <c r="K60" s="277">
        <f>1031.77/(0.5)</f>
        <v>2063.54</v>
      </c>
      <c r="M60" s="622">
        <f>+G60</f>
        <v>17</v>
      </c>
      <c r="N60" s="2">
        <f>(IF(K60&gt;2080,2080*M60,K60*M60))</f>
        <v>35080.18</v>
      </c>
      <c r="O60" s="2">
        <f>IF(K60&gt;2080,(+K60-2080)*1.5*M60,0)</f>
        <v>0</v>
      </c>
      <c r="P60" s="277">
        <f t="shared" si="57"/>
        <v>35080.18</v>
      </c>
      <c r="Q60" s="277">
        <v>2400</v>
      </c>
      <c r="R60" s="277">
        <f>+P60+Q60</f>
        <v>37480.18</v>
      </c>
      <c r="S60" s="277">
        <f t="shared" si="54"/>
        <v>14895.05</v>
      </c>
      <c r="T60" s="277">
        <f t="shared" si="58"/>
        <v>2683.6337699999999</v>
      </c>
      <c r="U60" s="277">
        <f t="shared" si="59"/>
        <v>42</v>
      </c>
      <c r="V60" s="277">
        <f>IF(P60&gt;$V$6,$V$6*$V$7,+P60*$V$7)</f>
        <v>189.43297200000001</v>
      </c>
      <c r="W60" s="277">
        <f>$W$5*K60</f>
        <v>1572.2111259999999</v>
      </c>
      <c r="X60" s="277">
        <f t="shared" si="50"/>
        <v>4487.2778679999992</v>
      </c>
    </row>
    <row r="61" spans="1:25">
      <c r="A61" s="624" t="s">
        <v>967</v>
      </c>
      <c r="B61" s="2" t="s">
        <v>76</v>
      </c>
      <c r="C61" s="2" t="s">
        <v>78</v>
      </c>
      <c r="D61" s="638" t="s">
        <v>963</v>
      </c>
      <c r="E61" s="638">
        <v>16</v>
      </c>
      <c r="F61" s="638">
        <v>17</v>
      </c>
      <c r="G61" s="638"/>
      <c r="I61" s="277"/>
      <c r="J61" s="277"/>
      <c r="K61" s="277">
        <f>566.5/(3/12)</f>
        <v>2266</v>
      </c>
      <c r="M61" s="622">
        <f>+F61</f>
        <v>17</v>
      </c>
      <c r="N61" s="2">
        <f>(IF(K61&gt;2080,2080*M61,K61*M61))</f>
        <v>35360</v>
      </c>
      <c r="O61" s="2">
        <f>IF(K61&gt;2080,(+K61-2080)*1.5*M61,0)</f>
        <v>4743</v>
      </c>
      <c r="P61" s="277">
        <f t="shared" ref="P61" si="60">+N61+O61</f>
        <v>40103</v>
      </c>
      <c r="Q61" s="277">
        <v>1200</v>
      </c>
      <c r="R61" s="277">
        <f>+P61+Q61</f>
        <v>41303</v>
      </c>
      <c r="S61" s="277">
        <f t="shared" si="54"/>
        <v>41303</v>
      </c>
      <c r="T61" s="277">
        <f t="shared" ref="T61" si="61">P61*0.0765</f>
        <v>3067.8795</v>
      </c>
      <c r="U61" s="277">
        <f t="shared" ref="U61" si="62">IF(P61&gt;7000,7000*0.006,P61*0.006)</f>
        <v>42</v>
      </c>
      <c r="V61" s="277">
        <f>IF(P61&gt;$V$6,$V$6*$V$7,+P61*$V$7)</f>
        <v>216.55620000000002</v>
      </c>
      <c r="W61" s="277">
        <f>$W$5*K61</f>
        <v>1726.4654</v>
      </c>
      <c r="X61" s="277">
        <f t="shared" si="50"/>
        <v>5052.9011</v>
      </c>
    </row>
    <row r="62" spans="1:25">
      <c r="A62" s="276" t="str">
        <f>+'WP-2 - Labor Analysis'!A59</f>
        <v>Samantha Jo Gausin</v>
      </c>
      <c r="B62" s="2" t="s">
        <v>76</v>
      </c>
      <c r="C62" s="2" t="s">
        <v>78</v>
      </c>
      <c r="D62" s="638">
        <v>15</v>
      </c>
      <c r="E62" s="638"/>
      <c r="F62" s="638"/>
      <c r="G62" s="689">
        <v>16.149999999999999</v>
      </c>
      <c r="I62" s="277">
        <f>+'WP-2 - Labor Analysis'!Y59</f>
        <v>1967.3799999999999</v>
      </c>
      <c r="J62" s="277">
        <f>+'WP-2 - Labor Analysis'!Z59</f>
        <v>30065.360000000001</v>
      </c>
      <c r="K62" s="277"/>
      <c r="M62" s="622" t="s">
        <v>963</v>
      </c>
      <c r="N62" s="2"/>
      <c r="O62" s="2"/>
      <c r="P62" s="277">
        <f t="shared" si="57"/>
        <v>0</v>
      </c>
      <c r="Q62" s="277"/>
      <c r="R62" s="277"/>
      <c r="S62" s="277">
        <f t="shared" si="54"/>
        <v>-30065.360000000001</v>
      </c>
      <c r="T62" s="277">
        <f t="shared" si="58"/>
        <v>0</v>
      </c>
      <c r="U62" s="277">
        <f t="shared" si="59"/>
        <v>0</v>
      </c>
      <c r="V62" s="277"/>
      <c r="W62" s="277"/>
      <c r="X62" s="277">
        <f t="shared" si="50"/>
        <v>0</v>
      </c>
    </row>
    <row r="63" spans="1:25">
      <c r="A63" s="276" t="str">
        <f>+'WP-2 - Labor Analysis'!A60</f>
        <v>William J. Langendorf</v>
      </c>
      <c r="B63" s="2" t="s">
        <v>76</v>
      </c>
      <c r="C63" s="2" t="s">
        <v>78</v>
      </c>
      <c r="D63" s="638">
        <v>17.3</v>
      </c>
      <c r="E63" s="638">
        <v>18.170000000000002</v>
      </c>
      <c r="F63" s="638"/>
      <c r="G63" s="689">
        <v>19.32</v>
      </c>
      <c r="I63" s="277">
        <f>+'WP-2 - Labor Analysis'!Y60</f>
        <v>2294.4800000000005</v>
      </c>
      <c r="J63" s="277">
        <f>+'WP-2 - Labor Analysis'!Z60</f>
        <v>44296.18</v>
      </c>
      <c r="K63" s="277"/>
      <c r="M63" s="622">
        <f t="shared" ref="M63" si="63">+G63</f>
        <v>19.32</v>
      </c>
      <c r="N63" s="2">
        <f t="shared" ref="N63" si="64">(IF(I63&gt;2080,2080*M63,I63*M63))</f>
        <v>40185.599999999999</v>
      </c>
      <c r="O63" s="2">
        <f t="shared" ref="O63" si="65">IF(I63&gt;2080,(+I63-2080)*1.5*M63,0)</f>
        <v>6215.6304000000137</v>
      </c>
      <c r="P63" s="277">
        <f t="shared" si="57"/>
        <v>46401.230400000015</v>
      </c>
      <c r="Q63" s="277">
        <v>2400</v>
      </c>
      <c r="R63" s="277">
        <f>+P63+Q63</f>
        <v>48801.230400000015</v>
      </c>
      <c r="S63" s="277">
        <f t="shared" si="54"/>
        <v>4505.0504000000146</v>
      </c>
      <c r="T63" s="277">
        <f t="shared" si="58"/>
        <v>3549.6941256000009</v>
      </c>
      <c r="U63" s="277">
        <f t="shared" si="59"/>
        <v>42</v>
      </c>
      <c r="V63" s="277">
        <f>IF(P63&gt;$V$6,$V$6*$V$7,+P63*$V$7)</f>
        <v>250.5666441600001</v>
      </c>
      <c r="W63" s="277">
        <f>$W$5*I63</f>
        <v>1748.1643120000003</v>
      </c>
      <c r="X63" s="277">
        <f t="shared" si="50"/>
        <v>5590.4250817600014</v>
      </c>
    </row>
    <row r="64" spans="1:25">
      <c r="A64" s="276" t="str">
        <f>+'WP-2 - Labor Analysis'!A61</f>
        <v>Nicholas L. Piper</v>
      </c>
      <c r="B64" s="2" t="s">
        <v>76</v>
      </c>
      <c r="C64" s="2" t="s">
        <v>78</v>
      </c>
      <c r="D64" s="638">
        <v>15.86</v>
      </c>
      <c r="E64" s="638">
        <v>17.013000000000002</v>
      </c>
      <c r="F64" s="638"/>
      <c r="G64" s="689"/>
      <c r="I64" s="277">
        <f>+'WP-2 - Labor Analysis'!Y61</f>
        <v>1169.7</v>
      </c>
      <c r="J64" s="277">
        <f>+'WP-2 - Labor Analysis'!Z61</f>
        <v>19611.29</v>
      </c>
      <c r="K64" s="277"/>
      <c r="M64" s="622" t="s">
        <v>963</v>
      </c>
      <c r="N64" s="2"/>
      <c r="O64" s="2"/>
      <c r="P64" s="277">
        <f t="shared" si="57"/>
        <v>0</v>
      </c>
      <c r="Q64" s="277"/>
      <c r="R64" s="277"/>
      <c r="S64" s="277">
        <f t="shared" si="54"/>
        <v>-19611.29</v>
      </c>
      <c r="T64" s="277">
        <f t="shared" si="58"/>
        <v>0</v>
      </c>
      <c r="U64" s="277">
        <f t="shared" si="59"/>
        <v>0</v>
      </c>
      <c r="V64" s="277"/>
      <c r="W64" s="277"/>
      <c r="X64" s="277">
        <f t="shared" si="50"/>
        <v>0</v>
      </c>
    </row>
    <row r="65" spans="1:25">
      <c r="A65" s="276" t="str">
        <f>+'WP-2 - Labor Analysis'!A62</f>
        <v>Kyle D. Zeigler</v>
      </c>
      <c r="B65" s="2" t="s">
        <v>76</v>
      </c>
      <c r="C65" s="2" t="s">
        <v>78</v>
      </c>
      <c r="D65" s="638">
        <v>15.48</v>
      </c>
      <c r="E65" s="638"/>
      <c r="F65" s="638"/>
      <c r="G65" s="689"/>
      <c r="I65" s="277">
        <f>+'WP-2 - Labor Analysis'!Y62</f>
        <v>578.55999999999995</v>
      </c>
      <c r="J65" s="277">
        <f>+'WP-2 - Labor Analysis'!Z62</f>
        <v>9012.2999999999993</v>
      </c>
      <c r="K65" s="277"/>
      <c r="M65" s="622" t="s">
        <v>963</v>
      </c>
      <c r="N65" s="2"/>
      <c r="O65" s="2"/>
      <c r="P65" s="277">
        <f t="shared" si="57"/>
        <v>0</v>
      </c>
      <c r="Q65" s="277"/>
      <c r="R65" s="277"/>
      <c r="S65" s="277">
        <f t="shared" si="54"/>
        <v>-9012.2999999999993</v>
      </c>
      <c r="T65" s="277">
        <f t="shared" si="58"/>
        <v>0</v>
      </c>
      <c r="U65" s="277">
        <f t="shared" si="59"/>
        <v>0</v>
      </c>
      <c r="V65" s="277"/>
      <c r="W65" s="277"/>
      <c r="X65" s="277">
        <f t="shared" si="50"/>
        <v>0</v>
      </c>
    </row>
    <row r="66" spans="1:25">
      <c r="A66" s="624" t="s">
        <v>1060</v>
      </c>
      <c r="B66" s="2" t="s">
        <v>76</v>
      </c>
      <c r="C66" s="2" t="s">
        <v>78</v>
      </c>
      <c r="D66" s="638" t="s">
        <v>963</v>
      </c>
      <c r="E66" s="638">
        <v>17</v>
      </c>
      <c r="F66" s="638"/>
      <c r="G66" s="638"/>
      <c r="I66" s="1"/>
      <c r="J66" s="1"/>
      <c r="K66" s="277">
        <f>159.03/(2/26)</f>
        <v>2067.39</v>
      </c>
      <c r="M66" s="622">
        <f>+E66</f>
        <v>17</v>
      </c>
      <c r="N66" s="2">
        <f>(IF(K66&gt;2080,2080*M66,K66*M66))</f>
        <v>35145.629999999997</v>
      </c>
      <c r="O66" s="2">
        <f>IF(K66&gt;2080,(+K66-2080)*1.5*M66,0)</f>
        <v>0</v>
      </c>
      <c r="P66" s="277">
        <f>+N66+O66</f>
        <v>35145.629999999997</v>
      </c>
      <c r="Q66" s="277">
        <v>0</v>
      </c>
      <c r="R66" s="294">
        <f>+P66+Q66</f>
        <v>35145.629999999997</v>
      </c>
      <c r="S66" s="294">
        <f>R66-J66</f>
        <v>35145.629999999997</v>
      </c>
      <c r="T66" s="277">
        <f>P66*0.0765</f>
        <v>2688.6406949999996</v>
      </c>
      <c r="U66" s="277">
        <f>IF(P66&gt;7000,7000*0.006,P66*0.006)</f>
        <v>42</v>
      </c>
      <c r="V66" s="277">
        <f>IF(P66&gt;$V$6,$V$6*$V$7,+P66*$V$7)</f>
        <v>189.78640200000001</v>
      </c>
      <c r="W66" s="277">
        <f>$W$6*K66</f>
        <v>2522.0090609999997</v>
      </c>
      <c r="X66" s="277">
        <f t="shared" si="50"/>
        <v>5442.4361579999986</v>
      </c>
    </row>
    <row r="67" spans="1:25">
      <c r="A67" s="287" t="str">
        <f>+'WP-2 - Labor Analysis'!A63</f>
        <v>TRANSFER/RECYCLE</v>
      </c>
      <c r="D67" s="638"/>
      <c r="E67" s="638"/>
      <c r="F67" s="638"/>
      <c r="G67" s="689"/>
      <c r="I67" s="688">
        <f>SUM(I57:I66)</f>
        <v>11486.26</v>
      </c>
      <c r="J67" s="688">
        <f>SUM(J57:J66)</f>
        <v>211771.50999999998</v>
      </c>
      <c r="K67" s="277"/>
      <c r="M67" s="622"/>
      <c r="N67" s="730"/>
      <c r="O67" s="730"/>
      <c r="P67" s="687">
        <f>SUM(P57:P66)</f>
        <v>215425.44959999999</v>
      </c>
      <c r="Q67" s="742"/>
      <c r="R67" s="687">
        <f>SUM(R57:R66)</f>
        <v>223825.44959999999</v>
      </c>
      <c r="S67" s="687">
        <f t="shared" ref="S67:X67" si="66">SUM(S57:S66)</f>
        <v>12053.939600000012</v>
      </c>
      <c r="T67" s="687">
        <f t="shared" si="66"/>
        <v>16480.046894400002</v>
      </c>
      <c r="U67" s="687">
        <f t="shared" si="66"/>
        <v>210</v>
      </c>
      <c r="V67" s="687">
        <f t="shared" si="66"/>
        <v>1163.2974278400002</v>
      </c>
      <c r="W67" s="687">
        <f>SUM(W57:W66)</f>
        <v>9196.4130599999989</v>
      </c>
      <c r="X67" s="687">
        <f t="shared" si="66"/>
        <v>27049.757382240001</v>
      </c>
      <c r="Y67" s="1">
        <f>+X67*'WP-9 - Disposal'!$S$20</f>
        <v>6267.401572710306</v>
      </c>
    </row>
    <row r="68" spans="1:25">
      <c r="A68" s="276"/>
      <c r="D68" s="638"/>
      <c r="E68" s="638"/>
      <c r="F68" s="638"/>
      <c r="G68" s="689"/>
      <c r="I68" s="277"/>
      <c r="J68" s="277"/>
      <c r="K68" s="277"/>
      <c r="M68" s="622"/>
      <c r="N68" s="2"/>
      <c r="O68" s="2"/>
      <c r="P68" s="277"/>
      <c r="Q68" s="277"/>
      <c r="R68" s="277"/>
      <c r="S68" s="277"/>
      <c r="T68" s="277"/>
      <c r="U68" s="277"/>
      <c r="V68" s="277"/>
      <c r="W68" s="277"/>
      <c r="X68" s="277"/>
    </row>
    <row r="69" spans="1:25">
      <c r="A69" s="276" t="str">
        <f>+'WP-2 - Labor Analysis'!A65</f>
        <v>Melton R. Langendorf</v>
      </c>
      <c r="B69" s="2" t="s">
        <v>76</v>
      </c>
      <c r="C69" s="2" t="s">
        <v>78</v>
      </c>
      <c r="D69" s="638">
        <v>35.673099999999998</v>
      </c>
      <c r="E69" s="638">
        <v>36.826900000000002</v>
      </c>
      <c r="F69" s="638"/>
      <c r="G69" s="689">
        <v>37.980800000000002</v>
      </c>
      <c r="I69" s="277">
        <f>+'WP-2 - Labor Analysis'!Y65</f>
        <v>2211.23</v>
      </c>
      <c r="J69" s="277">
        <f>+'WP-2 - Labor Analysis'!Z65</f>
        <v>84455.43</v>
      </c>
      <c r="K69" s="277"/>
      <c r="M69" s="622">
        <f>+G69</f>
        <v>37.980800000000002</v>
      </c>
      <c r="N69" s="2">
        <f t="shared" ref="N69" si="67">(IF(I69&gt;2080,2080*M69,I69*M69))</f>
        <v>79000.063999999998</v>
      </c>
      <c r="O69" s="2">
        <f t="shared" ref="O69" si="68">IF(I69&gt;2080,(+I69-2080)*1.5*M69,0)</f>
        <v>7476.3305760000012</v>
      </c>
      <c r="P69" s="277">
        <f t="shared" ref="P69" si="69">+N69+O69</f>
        <v>86476.394576000006</v>
      </c>
      <c r="Q69" s="277">
        <v>2400</v>
      </c>
      <c r="R69" s="277">
        <f>+P69+Q69</f>
        <v>88876.394576000006</v>
      </c>
      <c r="S69" s="277">
        <f>R69-J69</f>
        <v>4420.964576000013</v>
      </c>
      <c r="T69" s="277">
        <f t="shared" ref="T69" si="70">P69*0.0765</f>
        <v>6615.4441850640005</v>
      </c>
      <c r="U69" s="277">
        <f t="shared" ref="U69" si="71">IF(P69&gt;7000,7000*0.006,P69*0.006)</f>
        <v>42</v>
      </c>
      <c r="V69" s="277">
        <f>IF(P69&gt;$V$6,$V$6*$V$7,+P69*$V$7)</f>
        <v>365.04</v>
      </c>
      <c r="W69" s="277">
        <f>$W$5*I69</f>
        <v>1684.7361370000001</v>
      </c>
      <c r="X69" s="277">
        <f>+T69+U69+W69+V69</f>
        <v>8707.2203220640022</v>
      </c>
    </row>
    <row r="70" spans="1:25">
      <c r="A70" s="276" t="str">
        <f>+'WP-2 - Labor Analysis'!A66</f>
        <v>Aaron K. Larsen</v>
      </c>
      <c r="B70" s="2" t="s">
        <v>76</v>
      </c>
      <c r="C70" s="2" t="s">
        <v>78</v>
      </c>
      <c r="D70" s="638">
        <v>22.3078</v>
      </c>
      <c r="E70" s="638">
        <v>23.75</v>
      </c>
      <c r="F70" s="638"/>
      <c r="G70" s="689"/>
      <c r="I70" s="277">
        <f>+'WP-2 - Labor Analysis'!Y66</f>
        <v>2109.9300000000003</v>
      </c>
      <c r="J70" s="277">
        <f>+'WP-2 - Labor Analysis'!Z66</f>
        <v>50658.19</v>
      </c>
      <c r="K70" s="277"/>
      <c r="M70" s="622" t="s">
        <v>963</v>
      </c>
      <c r="N70" s="2">
        <f t="shared" ref="N70:N72" si="72">(IF(I70&gt;2080,2080*M70,I70*M70))</f>
        <v>0</v>
      </c>
      <c r="O70" s="2">
        <f t="shared" ref="O70:O72" si="73">IF(I70&gt;2080,(+I70-2080)*1.5*M70,0)</f>
        <v>0</v>
      </c>
      <c r="P70" s="277">
        <f t="shared" ref="P70:P72" si="74">+N70+O70</f>
        <v>0</v>
      </c>
      <c r="Q70" s="277"/>
      <c r="R70" s="277"/>
      <c r="S70" s="277">
        <f t="shared" ref="S70:S73" si="75">R70-J70</f>
        <v>-50658.19</v>
      </c>
      <c r="T70" s="277">
        <f t="shared" ref="T70:T72" si="76">P70*0.0765</f>
        <v>0</v>
      </c>
      <c r="U70" s="277">
        <f t="shared" ref="U70:U72" si="77">IF(P70&gt;7000,7000*0.006,P70*0.006)</f>
        <v>0</v>
      </c>
      <c r="V70" s="277"/>
      <c r="W70" s="277"/>
      <c r="X70" s="277">
        <f>+T70+U70+W70+V70</f>
        <v>0</v>
      </c>
    </row>
    <row r="71" spans="1:25">
      <c r="A71" s="276" t="str">
        <f>+'WP-2 - Labor Analysis'!A67</f>
        <v>Jason Joel Ray</v>
      </c>
      <c r="B71" s="2" t="s">
        <v>76</v>
      </c>
      <c r="C71" s="2" t="s">
        <v>78</v>
      </c>
      <c r="D71" s="638">
        <v>32.461500000000001</v>
      </c>
      <c r="E71" s="638">
        <v>33.615400000000001</v>
      </c>
      <c r="F71" s="638"/>
      <c r="G71" s="689">
        <v>34.770000000000003</v>
      </c>
      <c r="I71" s="277">
        <f>+'WP-2 - Labor Analysis'!Y67</f>
        <v>2191.4900000000002</v>
      </c>
      <c r="J71" s="277">
        <f>+'WP-2 - Labor Analysis'!Z67</f>
        <v>76243.009999999995</v>
      </c>
      <c r="K71" s="277"/>
      <c r="M71" s="622">
        <f t="shared" ref="M71:M72" si="78">+G71</f>
        <v>34.770000000000003</v>
      </c>
      <c r="N71" s="2">
        <f t="shared" si="72"/>
        <v>72321.600000000006</v>
      </c>
      <c r="O71" s="2">
        <f t="shared" si="73"/>
        <v>5814.7609500000126</v>
      </c>
      <c r="P71" s="277">
        <f t="shared" si="74"/>
        <v>78136.360950000017</v>
      </c>
      <c r="Q71" s="277">
        <v>2400</v>
      </c>
      <c r="R71" s="277">
        <f>+P71+Q71</f>
        <v>80536.360950000017</v>
      </c>
      <c r="S71" s="277">
        <f t="shared" si="75"/>
        <v>4293.3509500000218</v>
      </c>
      <c r="T71" s="277">
        <f t="shared" si="76"/>
        <v>5977.4316126750009</v>
      </c>
      <c r="U71" s="277">
        <f t="shared" si="77"/>
        <v>42</v>
      </c>
      <c r="V71" s="277">
        <f>IF(P71&gt;$V$6,$V$6*$V$7,+P71*$V$7)</f>
        <v>365.04</v>
      </c>
      <c r="W71" s="277">
        <f>$W$5*I71</f>
        <v>1669.6962310000001</v>
      </c>
      <c r="X71" s="277">
        <f>+T71+U71+W71+V71</f>
        <v>8054.1678436750008</v>
      </c>
    </row>
    <row r="72" spans="1:25">
      <c r="A72" s="276" t="str">
        <f>+'WP-2 - Labor Analysis'!A68</f>
        <v>Jason E. Reed</v>
      </c>
      <c r="B72" s="2" t="s">
        <v>76</v>
      </c>
      <c r="C72" s="2" t="s">
        <v>78</v>
      </c>
      <c r="D72" s="638">
        <v>29.163499999999999</v>
      </c>
      <c r="E72" s="638">
        <v>30.798100000000002</v>
      </c>
      <c r="F72" s="638"/>
      <c r="G72" s="689">
        <v>31.951899999999998</v>
      </c>
      <c r="I72" s="277">
        <f>+'WP-2 - Labor Analysis'!Y68</f>
        <v>2061.7999999999997</v>
      </c>
      <c r="J72" s="277">
        <f>+'WP-2 - Labor Analysis'!Z68</f>
        <v>64680.92</v>
      </c>
      <c r="K72" s="277"/>
      <c r="M72" s="622">
        <f t="shared" si="78"/>
        <v>31.951899999999998</v>
      </c>
      <c r="N72" s="2">
        <f t="shared" si="72"/>
        <v>65878.427419999993</v>
      </c>
      <c r="O72" s="2">
        <f t="shared" si="73"/>
        <v>0</v>
      </c>
      <c r="P72" s="277">
        <f t="shared" si="74"/>
        <v>65878.427419999993</v>
      </c>
      <c r="Q72" s="277">
        <v>2400</v>
      </c>
      <c r="R72" s="277">
        <f>+P72+Q72</f>
        <v>68278.427419999993</v>
      </c>
      <c r="S72" s="277">
        <f t="shared" si="75"/>
        <v>3597.5074199999945</v>
      </c>
      <c r="T72" s="277">
        <f t="shared" si="76"/>
        <v>5039.6996976299997</v>
      </c>
      <c r="U72" s="277">
        <f t="shared" si="77"/>
        <v>42</v>
      </c>
      <c r="V72" s="277">
        <f>IF(P72&gt;$V$6,$V$6*$V$7,+P72*$V$7)</f>
        <v>355.74350806799998</v>
      </c>
      <c r="W72" s="277">
        <f>$W$5*I72</f>
        <v>1570.8854199999998</v>
      </c>
      <c r="X72" s="277">
        <f>+T72+U72+W72+V72</f>
        <v>7008.3286256979991</v>
      </c>
    </row>
    <row r="73" spans="1:25">
      <c r="A73" s="624" t="s">
        <v>968</v>
      </c>
      <c r="B73" s="2" t="s">
        <v>76</v>
      </c>
      <c r="C73" s="2" t="s">
        <v>78</v>
      </c>
      <c r="D73" s="638" t="s">
        <v>963</v>
      </c>
      <c r="E73" s="638">
        <v>24</v>
      </c>
      <c r="F73" s="638"/>
      <c r="G73" s="638"/>
      <c r="I73" s="277"/>
      <c r="J73" s="277"/>
      <c r="K73" s="277">
        <f>1015.8/(0.5)</f>
        <v>2031.6</v>
      </c>
      <c r="M73" s="622">
        <f>+E73</f>
        <v>24</v>
      </c>
      <c r="N73" s="2">
        <f t="shared" ref="N73" si="79">(IF(K73&gt;2080,2080*M73,K73*M73))</f>
        <v>48758.399999999994</v>
      </c>
      <c r="O73" s="2">
        <f t="shared" ref="O73" si="80">IF(K73&gt;2080,(+K73-2080)*1.5*M73,0)</f>
        <v>0</v>
      </c>
      <c r="P73" s="277">
        <f t="shared" ref="P73" si="81">+N73+O73</f>
        <v>48758.399999999994</v>
      </c>
      <c r="Q73" s="277">
        <v>2400</v>
      </c>
      <c r="R73" s="277">
        <f>+P73+Q73</f>
        <v>51158.399999999994</v>
      </c>
      <c r="S73" s="277">
        <f t="shared" si="75"/>
        <v>51158.399999999994</v>
      </c>
      <c r="T73" s="277">
        <f t="shared" ref="T73" si="82">P73*0.0765</f>
        <v>3730.0175999999997</v>
      </c>
      <c r="U73" s="277">
        <f t="shared" ref="U73" si="83">IF(P73&gt;7000,7000*0.006,P73*0.006)</f>
        <v>42</v>
      </c>
      <c r="V73" s="277">
        <f>IF(P73&gt;$V$6,$V$6*$V$7,+P73*$V$7)</f>
        <v>263.29535999999996</v>
      </c>
      <c r="W73" s="277">
        <f>$W$5*K73</f>
        <v>1547.8760399999999</v>
      </c>
      <c r="X73" s="277">
        <f>+T73+U73+W73+V73</f>
        <v>5583.1889999999994</v>
      </c>
    </row>
    <row r="74" spans="1:25">
      <c r="A74" s="287" t="str">
        <f>+'WP-2 - Labor Analysis'!A69</f>
        <v>MECHANICS</v>
      </c>
      <c r="D74" s="638"/>
      <c r="E74" s="638"/>
      <c r="F74" s="638"/>
      <c r="G74" s="638"/>
      <c r="I74" s="688">
        <f>SUM(I69:I72)</f>
        <v>8574.4499999999989</v>
      </c>
      <c r="J74" s="688">
        <f>SUM(J69:J72)</f>
        <v>276037.55</v>
      </c>
      <c r="K74" s="277"/>
      <c r="M74" s="622"/>
      <c r="N74" s="730"/>
      <c r="O74" s="730"/>
      <c r="P74" s="687">
        <f>SUM(P69:P73)</f>
        <v>279249.58294600004</v>
      </c>
      <c r="Q74" s="742"/>
      <c r="R74" s="687">
        <f>SUM(R69:R73)</f>
        <v>288849.58294600004</v>
      </c>
      <c r="S74" s="687">
        <f t="shared" ref="S74:X74" si="84">SUM(S69:S73)</f>
        <v>12812.032946000021</v>
      </c>
      <c r="T74" s="687">
        <f t="shared" si="84"/>
        <v>21362.593095369</v>
      </c>
      <c r="U74" s="687">
        <f t="shared" si="84"/>
        <v>168</v>
      </c>
      <c r="V74" s="687">
        <f>SUM(V69:V73)</f>
        <v>1349.1188680680002</v>
      </c>
      <c r="W74" s="687">
        <f t="shared" si="84"/>
        <v>6473.1938280000004</v>
      </c>
      <c r="X74" s="687">
        <f t="shared" si="84"/>
        <v>29352.905791436999</v>
      </c>
      <c r="Y74" s="1">
        <f>+X74*'WP -11 Non-Regulated'!$K$29</f>
        <v>13800.202279372254</v>
      </c>
    </row>
    <row r="75" spans="1:25">
      <c r="A75" s="276"/>
      <c r="D75" s="638"/>
      <c r="E75" s="638"/>
      <c r="F75" s="638"/>
      <c r="G75" s="638"/>
      <c r="I75" s="277"/>
      <c r="J75" s="277"/>
      <c r="K75" s="277"/>
      <c r="M75" s="622"/>
      <c r="N75" s="2"/>
      <c r="O75" s="2"/>
      <c r="P75" s="277"/>
      <c r="Q75" s="277"/>
      <c r="R75" s="277"/>
      <c r="S75" s="277"/>
      <c r="T75" s="277"/>
      <c r="U75" s="277"/>
      <c r="V75" s="277"/>
      <c r="W75" s="277"/>
      <c r="X75" s="277"/>
    </row>
    <row r="76" spans="1:25">
      <c r="A76" s="287"/>
      <c r="D76" s="638"/>
      <c r="E76" s="638"/>
      <c r="F76" s="638"/>
      <c r="G76" s="638"/>
      <c r="I76" s="277"/>
      <c r="J76" s="277"/>
      <c r="K76" s="277"/>
      <c r="M76" s="622"/>
      <c r="N76" s="730"/>
      <c r="O76" s="730"/>
      <c r="P76" s="277"/>
      <c r="Q76" s="277"/>
      <c r="R76" s="277"/>
      <c r="S76" s="277"/>
      <c r="T76" s="277"/>
      <c r="U76" s="277"/>
      <c r="V76" s="277"/>
      <c r="W76" s="277"/>
      <c r="X76" s="277"/>
    </row>
    <row r="77" spans="1:25">
      <c r="A77" s="624"/>
      <c r="D77" s="638"/>
      <c r="E77" s="638"/>
      <c r="F77" s="638"/>
      <c r="G77" s="638"/>
      <c r="I77" s="1"/>
      <c r="J77" s="1"/>
      <c r="K77" s="1"/>
      <c r="M77" s="2"/>
      <c r="N77" s="2"/>
      <c r="O77" s="2"/>
      <c r="P77" s="1"/>
      <c r="Q77" s="1"/>
      <c r="R77" s="1"/>
    </row>
    <row r="78" spans="1:25">
      <c r="B78" s="4"/>
      <c r="C78" s="4"/>
      <c r="D78" s="638"/>
      <c r="E78" s="638"/>
      <c r="F78" s="638"/>
      <c r="G78" s="639"/>
      <c r="H78" s="4"/>
      <c r="I78" s="294"/>
      <c r="J78" s="294"/>
      <c r="K78" s="1"/>
      <c r="M78" s="2"/>
      <c r="N78" s="2"/>
      <c r="O78" s="2"/>
      <c r="P78" s="294"/>
      <c r="Q78" s="294"/>
      <c r="R78" s="294"/>
      <c r="S78" s="294"/>
      <c r="T78" s="294"/>
      <c r="U78" s="294"/>
      <c r="V78" s="294"/>
      <c r="W78" s="294"/>
      <c r="X78" s="294"/>
      <c r="Y78" s="626"/>
    </row>
    <row r="79" spans="1:25">
      <c r="D79" s="622"/>
      <c r="E79" s="622"/>
      <c r="F79" s="622"/>
      <c r="I79" s="277"/>
      <c r="J79" s="277"/>
      <c r="K79" s="1"/>
      <c r="M79" s="2"/>
      <c r="N79" s="2"/>
      <c r="O79" s="2"/>
      <c r="P79" s="277"/>
      <c r="Q79" s="277"/>
      <c r="R79" s="277"/>
      <c r="S79" s="277"/>
      <c r="T79" s="277"/>
      <c r="U79" s="277"/>
      <c r="V79" s="277"/>
      <c r="W79" s="277"/>
      <c r="X79" s="277"/>
    </row>
    <row r="80" spans="1:25">
      <c r="D80" s="622"/>
      <c r="E80" s="622"/>
      <c r="F80" s="622"/>
      <c r="I80" s="277"/>
      <c r="J80" s="277"/>
      <c r="K80" s="277"/>
      <c r="M80" s="622"/>
      <c r="N80" s="2"/>
      <c r="O80" s="2"/>
      <c r="P80" s="277"/>
      <c r="Q80" s="277"/>
      <c r="R80" s="277"/>
      <c r="S80" s="277"/>
      <c r="T80" s="277"/>
      <c r="U80" s="277"/>
      <c r="V80" s="277"/>
      <c r="W80" s="277"/>
      <c r="X80" s="277"/>
    </row>
    <row r="81" spans="1:29">
      <c r="A81" s="287" t="s">
        <v>171</v>
      </c>
      <c r="D81" s="622"/>
      <c r="E81" s="622"/>
      <c r="F81" s="622"/>
      <c r="I81" s="277">
        <f>+I12+I27+I55+I67+I74+I21</f>
        <v>93817.760000000009</v>
      </c>
      <c r="J81" s="277">
        <f>+J12+J27+J55+J67+J74+J21</f>
        <v>2644762.48</v>
      </c>
      <c r="K81" s="277"/>
      <c r="M81" s="622"/>
      <c r="N81" s="2"/>
      <c r="O81" s="2"/>
      <c r="P81" s="277">
        <f>+P12+P27+P55+P67+P74+P21</f>
        <v>2753675.7580895</v>
      </c>
      <c r="Q81" s="277"/>
      <c r="R81" s="277">
        <f>+R12+R27+R55+R67+R74+R21</f>
        <v>2847875.7580895</v>
      </c>
      <c r="S81" s="277">
        <f>+S12+S27+S55+S67+S74+S21</f>
        <v>203113.27808950012</v>
      </c>
      <c r="T81" s="277">
        <f t="shared" ref="T81:W81" si="85">+T12+T27+T55+T67+T74+T21</f>
        <v>210656.19549384672</v>
      </c>
      <c r="U81" s="277">
        <f t="shared" si="85"/>
        <v>1806</v>
      </c>
      <c r="V81" s="277">
        <f t="shared" si="85"/>
        <v>13066.775569990801</v>
      </c>
      <c r="W81" s="277">
        <f t="shared" si="85"/>
        <v>86276.246693600013</v>
      </c>
      <c r="X81" s="277">
        <f>+X12+X27+X55+X67+X74+X21</f>
        <v>311805.21775743749</v>
      </c>
      <c r="Y81" s="277">
        <f>+Y12+Y27+Y55+Y67+Y74+Y21</f>
        <v>155034.82650504611</v>
      </c>
      <c r="Z81" s="277"/>
    </row>
    <row r="82" spans="1:29">
      <c r="A82" s="3"/>
      <c r="D82" s="622"/>
      <c r="E82" s="622"/>
      <c r="F82" s="622"/>
      <c r="G82" s="631"/>
      <c r="I82" s="277"/>
      <c r="J82" s="277"/>
      <c r="K82" s="277"/>
      <c r="M82" s="622"/>
      <c r="N82" s="2"/>
      <c r="O82" s="2"/>
      <c r="P82" s="277"/>
      <c r="Q82" s="277"/>
      <c r="R82" s="277"/>
      <c r="S82" s="277"/>
      <c r="T82" s="277"/>
      <c r="U82" s="277"/>
      <c r="V82" s="277"/>
      <c r="W82" s="277"/>
      <c r="X82" s="277"/>
    </row>
    <row r="83" spans="1:29" ht="16.5" thickBot="1">
      <c r="A83" s="625" t="s">
        <v>207</v>
      </c>
      <c r="G83" s="631"/>
      <c r="I83" s="607">
        <f>+I81</f>
        <v>93817.760000000009</v>
      </c>
      <c r="J83" s="607">
        <f>+J81</f>
        <v>2644762.48</v>
      </c>
      <c r="K83" s="277"/>
      <c r="M83" s="730"/>
      <c r="N83" s="730"/>
      <c r="O83" s="730"/>
      <c r="P83" s="277"/>
      <c r="Q83" s="277"/>
      <c r="R83" s="277"/>
      <c r="S83" s="277"/>
      <c r="T83" s="277"/>
      <c r="U83" s="277"/>
      <c r="V83" s="277"/>
      <c r="W83" s="277"/>
      <c r="X83" s="277"/>
    </row>
    <row r="84" spans="1:29" ht="16.5" thickTop="1">
      <c r="A84" s="1" t="s">
        <v>399</v>
      </c>
      <c r="I84" s="1"/>
      <c r="J84" s="1">
        <f>+J83</f>
        <v>2644762.48</v>
      </c>
      <c r="K84" s="277"/>
      <c r="M84" s="730"/>
      <c r="N84" s="730"/>
      <c r="O84" s="730"/>
      <c r="P84" s="277"/>
      <c r="Q84" s="277"/>
      <c r="R84" s="277"/>
      <c r="S84" s="277"/>
      <c r="T84" s="277"/>
      <c r="U84" s="277"/>
      <c r="V84" s="277"/>
      <c r="W84" s="277"/>
      <c r="X84" s="277"/>
    </row>
    <row r="85" spans="1:29" s="2" customFormat="1" ht="16.5" thickBot="1">
      <c r="A85" s="1" t="s">
        <v>980</v>
      </c>
      <c r="I85" s="1"/>
      <c r="J85" s="1"/>
      <c r="K85" s="277"/>
      <c r="L85" s="1"/>
      <c r="M85" s="730"/>
      <c r="N85" s="730"/>
      <c r="O85" s="730"/>
      <c r="P85" s="607">
        <f>+P81</f>
        <v>2753675.7580895</v>
      </c>
      <c r="Q85" s="607"/>
      <c r="R85" s="607">
        <f>+R81</f>
        <v>2847875.7580895</v>
      </c>
      <c r="S85" s="607">
        <f>+S81</f>
        <v>203113.27808950012</v>
      </c>
      <c r="T85" s="607">
        <f>+T81</f>
        <v>210656.19549384672</v>
      </c>
      <c r="U85" s="607">
        <f t="shared" ref="U85:X85" si="86">+U81</f>
        <v>1806</v>
      </c>
      <c r="V85" s="607">
        <f t="shared" si="86"/>
        <v>13066.775569990801</v>
      </c>
      <c r="W85" s="607">
        <f t="shared" si="86"/>
        <v>86276.246693600013</v>
      </c>
      <c r="X85" s="607">
        <f t="shared" si="86"/>
        <v>311805.21775743749</v>
      </c>
      <c r="Y85" s="607">
        <f t="shared" ref="Y85" si="87">+Y81</f>
        <v>155034.82650504611</v>
      </c>
      <c r="Z85" s="277"/>
    </row>
    <row r="86" spans="1:29" ht="17.25" customHeight="1" thickTop="1">
      <c r="A86" s="1" t="s">
        <v>230</v>
      </c>
      <c r="B86" s="733"/>
      <c r="C86" s="733"/>
      <c r="D86" s="733"/>
      <c r="E86" s="733"/>
      <c r="F86" s="733"/>
      <c r="G86" s="733"/>
      <c r="I86" s="1"/>
      <c r="J86" s="1"/>
      <c r="K86" s="1"/>
      <c r="M86" s="730"/>
      <c r="N86" s="730"/>
      <c r="O86" s="730"/>
      <c r="P86" s="1"/>
      <c r="Q86" s="1"/>
      <c r="R86" s="1"/>
      <c r="T86" s="623"/>
      <c r="W86" s="277"/>
      <c r="X86" s="277"/>
      <c r="Y86" s="277"/>
      <c r="Z86" s="277"/>
      <c r="AB86" s="623"/>
    </row>
    <row r="87" spans="1:29">
      <c r="A87" s="1" t="s">
        <v>1075</v>
      </c>
      <c r="C87" s="630"/>
      <c r="D87" s="631"/>
      <c r="E87" s="631"/>
      <c r="F87" s="631"/>
      <c r="I87" s="1"/>
      <c r="J87" s="1"/>
      <c r="K87" s="1"/>
      <c r="M87" s="730"/>
      <c r="N87" s="730"/>
      <c r="O87" s="730"/>
      <c r="P87" s="1"/>
      <c r="Q87" s="1"/>
      <c r="R87" s="1"/>
      <c r="T87" s="277"/>
      <c r="U87" s="277"/>
      <c r="V87" s="277"/>
      <c r="W87" s="277"/>
      <c r="X87" s="621" t="s">
        <v>1141</v>
      </c>
      <c r="Y87" s="1">
        <f>+Operations!E51</f>
        <v>120444.929134089</v>
      </c>
    </row>
    <row r="88" spans="1:29">
      <c r="C88" s="502"/>
      <c r="D88" s="631"/>
      <c r="E88" s="631"/>
      <c r="F88" s="631"/>
      <c r="J88" s="621"/>
      <c r="K88" s="1"/>
      <c r="M88" s="2"/>
      <c r="N88" s="2"/>
      <c r="O88" s="2"/>
      <c r="P88" s="1"/>
      <c r="Q88" s="1"/>
      <c r="R88" s="1"/>
      <c r="V88" s="304"/>
      <c r="W88" s="277"/>
      <c r="X88" s="621" t="s">
        <v>1142</v>
      </c>
      <c r="Y88" s="2">
        <f>+Y85-Y87</f>
        <v>34589.8973709571</v>
      </c>
      <c r="AC88" s="2"/>
    </row>
    <row r="89" spans="1:29">
      <c r="I89" s="1"/>
      <c r="J89" s="1"/>
      <c r="K89" s="1"/>
      <c r="M89" s="2"/>
      <c r="N89" s="2"/>
      <c r="O89" s="2"/>
      <c r="P89" s="1"/>
      <c r="Q89" s="1"/>
      <c r="R89" s="1"/>
      <c r="U89" s="277"/>
      <c r="V89" s="277"/>
      <c r="W89" s="277"/>
      <c r="X89" s="277"/>
      <c r="Y89" s="277"/>
      <c r="Z89" s="277"/>
      <c r="AA89" s="745"/>
    </row>
    <row r="90" spans="1:29">
      <c r="I90" s="1"/>
      <c r="J90" s="1"/>
      <c r="K90" s="621"/>
      <c r="L90" s="2"/>
      <c r="M90" s="2"/>
      <c r="N90" s="2"/>
      <c r="O90" s="2"/>
      <c r="S90" s="2"/>
      <c r="T90" s="2"/>
      <c r="U90" s="2"/>
      <c r="V90" s="277"/>
      <c r="W90" s="2"/>
      <c r="X90" s="2"/>
      <c r="Y90" s="2"/>
      <c r="Z90" s="746"/>
      <c r="AA90" s="2"/>
    </row>
    <row r="91" spans="1:29" ht="20.25">
      <c r="I91" s="1"/>
      <c r="J91" s="1"/>
      <c r="K91" s="1"/>
      <c r="M91" s="2"/>
      <c r="N91" s="2"/>
      <c r="O91" s="2"/>
      <c r="P91" s="1"/>
      <c r="Q91" s="1"/>
      <c r="R91" s="1"/>
      <c r="W91" s="768" t="s">
        <v>1143</v>
      </c>
      <c r="X91" s="1" t="s">
        <v>0</v>
      </c>
      <c r="Y91" s="1" t="s">
        <v>1045</v>
      </c>
    </row>
    <row r="92" spans="1:29">
      <c r="I92" s="1"/>
      <c r="J92" s="1"/>
      <c r="K92" s="1"/>
      <c r="M92" s="2"/>
      <c r="N92" s="2"/>
      <c r="O92" s="2"/>
      <c r="P92" s="277"/>
      <c r="Q92" s="277"/>
      <c r="R92" s="277"/>
      <c r="S92" s="277"/>
      <c r="T92" s="744"/>
      <c r="W92" s="621" t="s">
        <v>10</v>
      </c>
      <c r="X92" s="1">
        <f>+S55</f>
        <v>171654.56211050003</v>
      </c>
      <c r="Y92" s="1">
        <f>+X92*'WP -11 Non-Regulated'!$K$29</f>
        <v>80703.004197731876</v>
      </c>
    </row>
    <row r="93" spans="1:29">
      <c r="I93" s="1"/>
      <c r="J93" s="1"/>
      <c r="K93" s="1"/>
      <c r="M93" s="2"/>
      <c r="N93" s="2"/>
      <c r="O93" s="2"/>
      <c r="P93" s="277"/>
      <c r="Q93" s="277"/>
      <c r="R93" s="277"/>
      <c r="S93" s="277"/>
      <c r="W93" s="621" t="s">
        <v>11</v>
      </c>
      <c r="X93" s="1">
        <f>+S74</f>
        <v>12812.032946000021</v>
      </c>
      <c r="Y93" s="1">
        <f>+X93*'WP -11 Non-Regulated'!$K$29</f>
        <v>6023.5483165132337</v>
      </c>
    </row>
    <row r="94" spans="1:29">
      <c r="I94" s="1"/>
      <c r="J94" s="1"/>
      <c r="K94" s="1"/>
      <c r="M94" s="2"/>
      <c r="N94" s="2"/>
      <c r="O94" s="2"/>
      <c r="P94" s="1"/>
      <c r="Q94" s="1"/>
      <c r="R94" s="1"/>
      <c r="U94" s="621"/>
      <c r="W94" s="621" t="s">
        <v>387</v>
      </c>
      <c r="X94" s="1">
        <f>+S21</f>
        <v>37042.507133000036</v>
      </c>
      <c r="Y94" s="1">
        <f>+X94*0.8</f>
        <v>29634.005706400028</v>
      </c>
    </row>
    <row r="95" spans="1:29">
      <c r="I95" s="1"/>
      <c r="J95" s="1"/>
      <c r="K95" s="1"/>
      <c r="M95" s="2"/>
      <c r="N95" s="2"/>
      <c r="O95" s="2"/>
      <c r="P95" s="1"/>
      <c r="Q95" s="1"/>
      <c r="R95" s="1"/>
      <c r="U95" s="621"/>
      <c r="W95" s="621" t="s">
        <v>416</v>
      </c>
      <c r="X95" s="1">
        <f>+S12</f>
        <v>0.10399999999208376</v>
      </c>
      <c r="Y95" s="1">
        <f>+X95*'WP -11 Non-Regulated'!$K$29</f>
        <v>4.8895364811348922E-2</v>
      </c>
    </row>
    <row r="96" spans="1:29">
      <c r="I96" s="1"/>
      <c r="J96" s="1"/>
      <c r="K96" s="1"/>
      <c r="M96" s="2"/>
      <c r="N96" s="2"/>
      <c r="O96" s="2"/>
      <c r="P96" s="1"/>
      <c r="Q96" s="1"/>
      <c r="R96" s="1"/>
      <c r="U96" s="621"/>
      <c r="W96" s="621" t="s">
        <v>1100</v>
      </c>
      <c r="X96" s="1">
        <f>+S67</f>
        <v>12053.939600000012</v>
      </c>
      <c r="Y96" s="1">
        <f>+X96*'WP-9 - Disposal'!S20</f>
        <v>2792.885678745376</v>
      </c>
    </row>
    <row r="97" spans="9:25">
      <c r="I97" s="1"/>
      <c r="J97" s="1"/>
      <c r="K97" s="1"/>
      <c r="M97" s="2"/>
      <c r="N97" s="2"/>
      <c r="O97" s="2"/>
      <c r="P97" s="1"/>
      <c r="Q97" s="1"/>
      <c r="R97" s="1"/>
      <c r="U97" s="621"/>
      <c r="W97" s="621" t="s">
        <v>1138</v>
      </c>
      <c r="X97" s="1">
        <f>+S27</f>
        <v>-30449.867699999981</v>
      </c>
      <c r="Y97" s="1">
        <f>+X97*'WP -11 Non-Regulated'!$K$29</f>
        <v>-14315.936440020554</v>
      </c>
    </row>
    <row r="98" spans="9:25">
      <c r="I98" s="1"/>
      <c r="J98" s="1"/>
      <c r="K98" s="1"/>
      <c r="M98" s="2"/>
      <c r="N98" s="2"/>
      <c r="O98" s="2"/>
      <c r="P98" s="1"/>
      <c r="Q98" s="1"/>
      <c r="R98" s="1"/>
      <c r="U98" s="621"/>
      <c r="W98" s="621"/>
      <c r="X98" s="626"/>
    </row>
    <row r="99" spans="9:25">
      <c r="I99" s="1"/>
      <c r="J99" s="1"/>
      <c r="K99" s="1"/>
      <c r="M99" s="2"/>
      <c r="N99" s="2"/>
      <c r="O99" s="2"/>
      <c r="P99" s="1"/>
      <c r="Q99" s="1"/>
      <c r="R99" s="1"/>
      <c r="U99" s="621"/>
      <c r="X99" s="1">
        <f>SUM(X91:X98)</f>
        <v>203113.27808950012</v>
      </c>
    </row>
    <row r="100" spans="9:25">
      <c r="I100" s="1"/>
      <c r="J100" s="1"/>
      <c r="K100" s="1"/>
      <c r="M100" s="2"/>
      <c r="N100" s="2"/>
      <c r="O100" s="2"/>
      <c r="P100" s="1"/>
      <c r="Q100" s="1"/>
      <c r="R100" s="1"/>
      <c r="U100" s="621"/>
      <c r="X100" s="626">
        <f>+S85</f>
        <v>203113.27808950012</v>
      </c>
    </row>
    <row r="101" spans="9:25">
      <c r="I101" s="1"/>
      <c r="J101" s="1"/>
      <c r="K101" s="1"/>
      <c r="M101" s="2"/>
      <c r="N101" s="2"/>
      <c r="O101" s="2"/>
      <c r="P101" s="1"/>
      <c r="Q101" s="1"/>
      <c r="R101" s="1"/>
      <c r="U101" s="621"/>
      <c r="W101" s="1" t="s">
        <v>1104</v>
      </c>
      <c r="X101" s="1">
        <f>+X99-X100</f>
        <v>0</v>
      </c>
    </row>
    <row r="102" spans="9:25">
      <c r="I102" s="1"/>
      <c r="J102" s="1"/>
      <c r="K102" s="1"/>
      <c r="M102" s="2"/>
      <c r="N102" s="2"/>
      <c r="O102" s="2"/>
      <c r="P102" s="1"/>
      <c r="Q102" s="1"/>
      <c r="R102" s="1"/>
      <c r="U102" s="621"/>
    </row>
    <row r="103" spans="9:25">
      <c r="I103" s="1"/>
      <c r="J103" s="1"/>
      <c r="K103" s="1"/>
      <c r="M103" s="2"/>
      <c r="N103" s="2"/>
      <c r="O103" s="2"/>
      <c r="P103" s="1"/>
      <c r="Q103" s="1"/>
      <c r="R103" s="1"/>
      <c r="U103" s="621"/>
    </row>
    <row r="104" spans="9:25">
      <c r="I104" s="1"/>
      <c r="J104" s="1"/>
      <c r="K104" s="1"/>
      <c r="M104" s="2"/>
      <c r="N104" s="2"/>
      <c r="O104" s="2"/>
      <c r="P104" s="1"/>
      <c r="Q104" s="1"/>
      <c r="R104" s="1"/>
      <c r="U104" s="621"/>
      <c r="X104" s="3"/>
    </row>
    <row r="105" spans="9:25" ht="15.6" customHeight="1">
      <c r="I105" s="1"/>
      <c r="J105" s="1"/>
      <c r="K105" s="1"/>
      <c r="M105" s="2"/>
      <c r="N105" s="2"/>
      <c r="O105" s="2"/>
      <c r="P105" s="1"/>
      <c r="Q105" s="1"/>
      <c r="R105" s="1"/>
      <c r="U105" s="621"/>
      <c r="X105" s="3"/>
    </row>
    <row r="106" spans="9:25">
      <c r="I106" s="1"/>
      <c r="J106" s="1"/>
      <c r="K106" s="1"/>
      <c r="M106" s="2"/>
      <c r="N106" s="2"/>
      <c r="O106" s="2"/>
      <c r="P106" s="1"/>
      <c r="Q106" s="1"/>
      <c r="R106" s="1"/>
      <c r="X106" s="784"/>
    </row>
    <row r="107" spans="9:25">
      <c r="I107" s="1"/>
      <c r="J107" s="1"/>
      <c r="K107" s="1"/>
      <c r="M107" s="2"/>
      <c r="N107" s="2"/>
      <c r="O107" s="2"/>
      <c r="P107" s="1"/>
      <c r="Q107" s="1"/>
      <c r="R107" s="1"/>
      <c r="X107" s="3"/>
    </row>
    <row r="108" spans="9:25">
      <c r="I108" s="1"/>
      <c r="J108" s="1"/>
      <c r="K108" s="1"/>
      <c r="M108" s="2"/>
      <c r="N108" s="2"/>
      <c r="O108" s="2"/>
      <c r="P108" s="1"/>
      <c r="Q108" s="1"/>
      <c r="R108" s="1"/>
    </row>
    <row r="109" spans="9:25">
      <c r="I109" s="1"/>
      <c r="J109" s="1"/>
      <c r="K109" s="1"/>
      <c r="M109" s="2"/>
      <c r="N109" s="2"/>
      <c r="O109" s="2"/>
      <c r="P109" s="1"/>
      <c r="Q109" s="1"/>
      <c r="R109" s="1"/>
    </row>
    <row r="110" spans="9:25">
      <c r="I110" s="1"/>
      <c r="J110" s="1"/>
      <c r="K110" s="1"/>
      <c r="M110" s="2"/>
      <c r="N110" s="2"/>
      <c r="O110" s="2"/>
      <c r="P110" s="1"/>
      <c r="Q110" s="1"/>
      <c r="R110" s="1"/>
    </row>
    <row r="111" spans="9:25">
      <c r="I111" s="1"/>
      <c r="J111" s="1"/>
      <c r="K111" s="1"/>
      <c r="M111" s="2"/>
      <c r="N111" s="2"/>
      <c r="O111" s="2"/>
      <c r="P111" s="1"/>
      <c r="Q111" s="1"/>
      <c r="R111" s="1"/>
    </row>
    <row r="112" spans="9:25">
      <c r="I112" s="1"/>
      <c r="J112" s="1"/>
      <c r="K112" s="1"/>
      <c r="M112" s="2"/>
      <c r="N112" s="2"/>
      <c r="O112" s="2"/>
      <c r="P112" s="1"/>
      <c r="Q112" s="1"/>
      <c r="R112" s="1"/>
    </row>
    <row r="113" spans="9:18">
      <c r="I113" s="1"/>
      <c r="J113" s="1"/>
      <c r="K113" s="1"/>
      <c r="M113" s="2"/>
      <c r="N113" s="2"/>
      <c r="O113" s="2"/>
      <c r="P113" s="1"/>
      <c r="Q113" s="1"/>
      <c r="R113" s="1"/>
    </row>
    <row r="114" spans="9:18">
      <c r="I114" s="1"/>
      <c r="J114" s="1"/>
      <c r="K114" s="1"/>
      <c r="M114" s="2"/>
      <c r="N114" s="2"/>
      <c r="O114" s="2"/>
      <c r="P114" s="1"/>
      <c r="Q114" s="1"/>
      <c r="R114" s="1"/>
    </row>
    <row r="115" spans="9:18">
      <c r="I115" s="1"/>
      <c r="J115" s="1"/>
      <c r="K115" s="1"/>
      <c r="M115" s="2"/>
      <c r="N115" s="2"/>
      <c r="O115" s="2"/>
      <c r="P115" s="1"/>
      <c r="Q115" s="1"/>
      <c r="R115" s="1"/>
    </row>
    <row r="116" spans="9:18">
      <c r="I116" s="1"/>
      <c r="J116" s="1"/>
      <c r="K116" s="1"/>
      <c r="M116" s="2"/>
      <c r="N116" s="2"/>
      <c r="O116" s="2"/>
      <c r="P116" s="1"/>
      <c r="Q116" s="1"/>
      <c r="R116" s="1"/>
    </row>
    <row r="117" spans="9:18">
      <c r="I117" s="1"/>
      <c r="J117" s="1"/>
      <c r="K117" s="1"/>
      <c r="M117" s="2"/>
      <c r="N117" s="2"/>
      <c r="O117" s="2"/>
      <c r="P117" s="1"/>
      <c r="Q117" s="1"/>
      <c r="R117" s="1"/>
    </row>
  </sheetData>
  <mergeCells count="11">
    <mergeCell ref="S1:AF1"/>
    <mergeCell ref="A3:Q3"/>
    <mergeCell ref="A5:Q5"/>
    <mergeCell ref="U4:V4"/>
    <mergeCell ref="W4:X4"/>
    <mergeCell ref="U3:X3"/>
    <mergeCell ref="I8:J8"/>
    <mergeCell ref="I9:J9"/>
    <mergeCell ref="E7:G8"/>
    <mergeCell ref="M6:N6"/>
    <mergeCell ref="A1:Q1"/>
  </mergeCells>
  <pageMargins left="0.5" right="0.5" top="0.75" bottom="0.5" header="0" footer="0.25"/>
  <pageSetup scale="30" fitToWidth="2" orientation="landscape" horizontalDpi="300" verticalDpi="300"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codeName="Sheet25"/>
  <dimension ref="A1:U95"/>
  <sheetViews>
    <sheetView zoomScale="55" zoomScaleNormal="55" zoomScaleSheetLayoutView="40" workbookViewId="0">
      <pane xSplit="1" ySplit="1" topLeftCell="B26" activePane="bottomRight" state="frozen"/>
      <selection pane="topRight" activeCell="B1" sqref="B1"/>
      <selection pane="bottomLeft" activeCell="A2" sqref="A2"/>
      <selection pane="bottomRight" activeCell="K88" sqref="K88"/>
    </sheetView>
  </sheetViews>
  <sheetFormatPr defaultColWidth="9.88671875" defaultRowHeight="15.75"/>
  <cols>
    <col min="1" max="1" width="30.6640625" style="1" customWidth="1"/>
    <col min="2" max="2" width="18.6640625" style="1" bestFit="1" customWidth="1"/>
    <col min="3" max="12" width="15.6640625" style="1" customWidth="1"/>
    <col min="13" max="13" width="9.88671875" style="1" bestFit="1" customWidth="1"/>
    <col min="14" max="14" width="1.44140625" style="1" customWidth="1"/>
    <col min="15" max="15" width="1.44140625" style="302" customWidth="1"/>
    <col min="16" max="16" width="20.21875" style="302" customWidth="1"/>
    <col min="17" max="17" width="11.6640625" style="1" bestFit="1" customWidth="1"/>
    <col min="18" max="18" width="19.33203125" style="1" customWidth="1"/>
    <col min="19" max="19" width="15.109375" style="1" customWidth="1"/>
    <col min="20" max="20" width="15.6640625" style="1" bestFit="1" customWidth="1"/>
    <col min="21" max="16384" width="9.88671875" style="1"/>
  </cols>
  <sheetData>
    <row r="1" spans="1:21" ht="16.5">
      <c r="A1" s="856" t="str">
        <f>+'WP-2, pg 2 - Labor Increase'!A1:Q1</f>
        <v>Consolidated Disposal Services, Inc.</v>
      </c>
      <c r="B1" s="856"/>
      <c r="C1" s="856"/>
      <c r="D1" s="856"/>
      <c r="E1" s="856"/>
      <c r="F1" s="856"/>
      <c r="G1" s="856"/>
      <c r="H1" s="856"/>
      <c r="I1" s="856"/>
      <c r="J1" s="856"/>
      <c r="K1" s="856"/>
      <c r="L1" s="856"/>
      <c r="M1" s="856"/>
    </row>
    <row r="2" spans="1:21" ht="13.5" customHeight="1">
      <c r="A2" s="279"/>
    </row>
    <row r="3" spans="1:21" ht="16.5">
      <c r="A3" s="856" t="s">
        <v>212</v>
      </c>
      <c r="B3" s="856"/>
      <c r="C3" s="856"/>
      <c r="D3" s="856"/>
      <c r="E3" s="856"/>
      <c r="F3" s="856"/>
      <c r="G3" s="856"/>
      <c r="H3" s="856"/>
      <c r="I3" s="856"/>
      <c r="J3" s="856"/>
      <c r="K3" s="856"/>
      <c r="L3" s="856"/>
      <c r="M3" s="856"/>
    </row>
    <row r="4" spans="1:21">
      <c r="A4" s="315"/>
      <c r="B4" s="315"/>
      <c r="C4" s="315"/>
      <c r="D4" s="315"/>
      <c r="E4" s="315"/>
      <c r="G4" s="315"/>
      <c r="H4" s="315"/>
      <c r="I4" s="315"/>
      <c r="J4" s="315"/>
      <c r="K4" s="315"/>
      <c r="L4" s="315"/>
      <c r="M4" s="315"/>
    </row>
    <row r="5" spans="1:21">
      <c r="A5" s="857" t="str">
        <f>+'WP-1 - Summary Depr'!A5</f>
        <v>In Support of Tariff 7 effective April 1, 2023</v>
      </c>
      <c r="B5" s="857"/>
      <c r="C5" s="857"/>
      <c r="D5" s="857"/>
      <c r="E5" s="857"/>
      <c r="F5" s="857"/>
      <c r="G5" s="857"/>
      <c r="H5" s="857"/>
      <c r="I5" s="857"/>
      <c r="J5" s="857"/>
      <c r="K5" s="857"/>
      <c r="L5" s="857"/>
      <c r="M5" s="857"/>
    </row>
    <row r="6" spans="1:21">
      <c r="A6" s="289"/>
      <c r="B6" s="604"/>
      <c r="C6" s="604"/>
      <c r="D6" s="604"/>
      <c r="E6" s="604"/>
      <c r="F6" s="604"/>
      <c r="G6" s="604"/>
    </row>
    <row r="7" spans="1:21">
      <c r="A7" s="289"/>
      <c r="B7" s="867" t="s">
        <v>146</v>
      </c>
      <c r="C7" s="867"/>
      <c r="D7" s="867"/>
      <c r="E7" s="867"/>
      <c r="F7" s="867"/>
      <c r="G7" s="867"/>
      <c r="H7" s="866" t="s">
        <v>234</v>
      </c>
      <c r="I7" s="867"/>
      <c r="J7" s="867"/>
      <c r="K7" s="867"/>
      <c r="L7" s="867"/>
      <c r="M7" s="867"/>
    </row>
    <row r="8" spans="1:21">
      <c r="A8" s="619"/>
      <c r="B8" s="870" t="s">
        <v>970</v>
      </c>
      <c r="C8" s="870"/>
      <c r="D8" s="870"/>
      <c r="E8" s="870"/>
      <c r="F8" s="870"/>
      <c r="G8" s="871"/>
      <c r="H8" s="868" t="s">
        <v>1144</v>
      </c>
      <c r="I8" s="869"/>
      <c r="J8" s="869"/>
      <c r="K8" s="869"/>
      <c r="L8" s="869"/>
      <c r="M8" s="869"/>
      <c r="O8" s="1"/>
      <c r="P8" s="3" t="s">
        <v>145</v>
      </c>
      <c r="Q8" s="772"/>
      <c r="R8" s="787" t="s">
        <v>22</v>
      </c>
    </row>
    <row r="9" spans="1:21">
      <c r="B9" s="785"/>
      <c r="C9" s="785"/>
      <c r="D9" s="785"/>
      <c r="E9" s="785"/>
      <c r="F9" s="785"/>
      <c r="G9" s="786"/>
      <c r="O9" s="1"/>
      <c r="P9" s="771" t="s">
        <v>1153</v>
      </c>
      <c r="Q9" s="772" t="s">
        <v>1045</v>
      </c>
      <c r="R9" s="771" t="s">
        <v>1153</v>
      </c>
      <c r="S9" s="772" t="s">
        <v>1045</v>
      </c>
    </row>
    <row r="10" spans="1:21">
      <c r="A10" s="3"/>
      <c r="B10" s="785"/>
      <c r="C10" s="785"/>
      <c r="D10" s="785"/>
      <c r="E10" s="785"/>
      <c r="F10" s="785"/>
      <c r="G10" s="786"/>
      <c r="H10" s="774">
        <v>44927</v>
      </c>
      <c r="I10" s="618"/>
      <c r="J10" s="618"/>
      <c r="K10" s="618"/>
      <c r="L10" s="618"/>
      <c r="M10" s="618"/>
      <c r="O10" s="1"/>
      <c r="P10" s="770"/>
      <c r="Q10" s="608"/>
      <c r="R10" s="310"/>
    </row>
    <row r="11" spans="1:21">
      <c r="A11" s="4" t="s">
        <v>1</v>
      </c>
      <c r="B11" s="605" t="s">
        <v>966</v>
      </c>
      <c r="C11" s="605" t="s">
        <v>964</v>
      </c>
      <c r="D11" s="605" t="s">
        <v>965</v>
      </c>
      <c r="E11" s="605" t="s">
        <v>977</v>
      </c>
      <c r="F11" s="605" t="s">
        <v>978</v>
      </c>
      <c r="G11" s="605" t="s">
        <v>0</v>
      </c>
      <c r="H11" s="775" t="s">
        <v>1145</v>
      </c>
      <c r="I11" s="605" t="s">
        <v>1146</v>
      </c>
      <c r="J11" s="605" t="s">
        <v>1137</v>
      </c>
      <c r="K11" s="605" t="s">
        <v>1150</v>
      </c>
      <c r="L11" s="605" t="s">
        <v>977</v>
      </c>
      <c r="M11" s="605" t="s">
        <v>0</v>
      </c>
      <c r="O11" s="1"/>
      <c r="P11" s="277" t="s">
        <v>1151</v>
      </c>
      <c r="Q11" s="302"/>
      <c r="R11" s="302"/>
    </row>
    <row r="12" spans="1:21">
      <c r="A12" s="276" t="str">
        <f>+'WP-2, pg 2 - Labor Increase'!A11</f>
        <v>Michael R. Dietrich</v>
      </c>
      <c r="B12" s="277">
        <v>22982.22</v>
      </c>
      <c r="C12" s="277">
        <v>2091</v>
      </c>
      <c r="D12" s="277">
        <f>23.44*11</f>
        <v>257.84000000000003</v>
      </c>
      <c r="E12" s="277">
        <v>5831.8</v>
      </c>
      <c r="F12" s="277">
        <v>2750</v>
      </c>
      <c r="G12" s="778"/>
      <c r="H12" s="277">
        <f>2125.63*12</f>
        <v>25507.56</v>
      </c>
      <c r="I12" s="777">
        <f>178.15*12</f>
        <v>2137.8000000000002</v>
      </c>
      <c r="J12" s="277">
        <f>14.24*12</f>
        <v>170.88</v>
      </c>
      <c r="K12" s="277">
        <v>3000</v>
      </c>
      <c r="L12" s="277">
        <f>+'WP-2, pg 2 - Labor Increase'!R11*0.04</f>
        <v>5832.0121600000002</v>
      </c>
      <c r="M12" s="277"/>
      <c r="N12" s="277"/>
      <c r="O12" s="277"/>
      <c r="P12" s="277">
        <f>+G13</f>
        <v>33912.86</v>
      </c>
      <c r="Q12" s="609">
        <f>+'WP -11 Non-Regulated'!$K$29*P12</f>
        <v>15944.054438677109</v>
      </c>
      <c r="R12" s="310">
        <f>+M13</f>
        <v>36648.252160000004</v>
      </c>
      <c r="S12" s="609">
        <f>+'WP -11 Non-Regulated'!$K$29*R12</f>
        <v>17230.09287690292</v>
      </c>
      <c r="T12" s="277"/>
      <c r="U12" s="277"/>
    </row>
    <row r="13" spans="1:21">
      <c r="A13" s="602" t="str">
        <f>+'WP-2, pg 2 - Labor Increase'!A12</f>
        <v>OFFICERS</v>
      </c>
      <c r="B13" s="606">
        <f t="shared" ref="B13:L13" si="0">SUM(B12:B12)</f>
        <v>22982.22</v>
      </c>
      <c r="C13" s="606">
        <f t="shared" si="0"/>
        <v>2091</v>
      </c>
      <c r="D13" s="606">
        <f t="shared" si="0"/>
        <v>257.84000000000003</v>
      </c>
      <c r="E13" s="606">
        <f t="shared" si="0"/>
        <v>5831.8</v>
      </c>
      <c r="F13" s="606">
        <f t="shared" si="0"/>
        <v>2750</v>
      </c>
      <c r="G13" s="779">
        <f>SUM(B13:F13)</f>
        <v>33912.86</v>
      </c>
      <c r="H13" s="296">
        <f t="shared" si="0"/>
        <v>25507.56</v>
      </c>
      <c r="I13" s="296">
        <f t="shared" si="0"/>
        <v>2137.8000000000002</v>
      </c>
      <c r="J13" s="296">
        <f t="shared" si="0"/>
        <v>170.88</v>
      </c>
      <c r="K13" s="296">
        <f t="shared" si="0"/>
        <v>3000</v>
      </c>
      <c r="L13" s="296">
        <f t="shared" si="0"/>
        <v>5832.0121600000002</v>
      </c>
      <c r="M13" s="687">
        <f>SUM(H13:L13)</f>
        <v>36648.252160000004</v>
      </c>
      <c r="N13" s="277"/>
      <c r="O13" s="307"/>
      <c r="P13" s="307"/>
      <c r="Q13" s="302"/>
      <c r="R13" s="302"/>
      <c r="S13" s="277"/>
      <c r="T13" s="277"/>
      <c r="U13" s="277"/>
    </row>
    <row r="14" spans="1:21">
      <c r="A14" s="276"/>
      <c r="B14" s="277"/>
      <c r="C14" s="277"/>
      <c r="D14" s="277"/>
      <c r="E14" s="277"/>
      <c r="F14" s="277"/>
      <c r="G14" s="277"/>
      <c r="H14" s="776"/>
      <c r="I14" s="277"/>
      <c r="J14" s="277"/>
      <c r="K14" s="277"/>
      <c r="L14" s="277"/>
      <c r="M14" s="277"/>
      <c r="N14" s="277"/>
      <c r="O14" s="307"/>
      <c r="P14" s="307"/>
      <c r="Q14" s="302"/>
      <c r="R14" s="302"/>
      <c r="S14" s="277"/>
      <c r="T14" s="277"/>
      <c r="U14" s="277"/>
    </row>
    <row r="15" spans="1:21">
      <c r="A15" s="276" t="str">
        <f>+'WP-2, pg 2 - Labor Increase'!A14</f>
        <v>Jeremy B. Dahl</v>
      </c>
      <c r="B15" s="277">
        <v>6663.74</v>
      </c>
      <c r="C15" s="277">
        <v>639</v>
      </c>
      <c r="D15" s="277">
        <f>8.9*11</f>
        <v>97.9</v>
      </c>
      <c r="E15" s="277">
        <v>3578.64</v>
      </c>
      <c r="F15" s="277">
        <v>1500</v>
      </c>
      <c r="G15" s="277"/>
      <c r="H15" s="776">
        <f>600.52*12</f>
        <v>7206.24</v>
      </c>
      <c r="I15" s="777">
        <f>54.45*12</f>
        <v>653.40000000000009</v>
      </c>
      <c r="J15" s="277">
        <f>8.9*12</f>
        <v>106.80000000000001</v>
      </c>
      <c r="K15" s="277">
        <v>1500</v>
      </c>
      <c r="L15" s="277">
        <f>+'WP-2, pg 2 - Labor Increase'!R14*0.04</f>
        <v>3785.4532697600007</v>
      </c>
      <c r="M15" s="277"/>
      <c r="N15" s="277"/>
      <c r="O15" s="307"/>
      <c r="P15" s="307"/>
      <c r="Q15" s="302"/>
      <c r="R15" s="302"/>
      <c r="S15" s="277"/>
      <c r="T15" s="277"/>
      <c r="U15" s="277"/>
    </row>
    <row r="16" spans="1:21">
      <c r="A16" s="276" t="str">
        <f>+'WP-2, pg 2 - Labor Increase'!A15</f>
        <v>Autumn A. Dietrich</v>
      </c>
      <c r="B16" s="277">
        <v>0</v>
      </c>
      <c r="C16" s="277">
        <v>0</v>
      </c>
      <c r="D16" s="277"/>
      <c r="E16" s="277">
        <v>1716.44</v>
      </c>
      <c r="F16" s="277">
        <v>0</v>
      </c>
      <c r="G16" s="277"/>
      <c r="H16" s="776">
        <v>0</v>
      </c>
      <c r="I16" s="277">
        <v>0</v>
      </c>
      <c r="J16" s="277"/>
      <c r="K16" s="277">
        <v>0</v>
      </c>
      <c r="L16" s="277">
        <f>+'WP-2, pg 2 - Labor Increase'!R15*0.04</f>
        <v>2115.7668480000002</v>
      </c>
      <c r="M16" s="277"/>
      <c r="N16" s="277"/>
      <c r="O16" s="307"/>
      <c r="P16" s="307"/>
      <c r="Q16" s="302"/>
      <c r="R16" s="302"/>
      <c r="S16" s="277"/>
      <c r="T16" s="277"/>
      <c r="U16" s="277"/>
    </row>
    <row r="17" spans="1:21">
      <c r="A17" s="276" t="str">
        <f>+'WP-2, pg 2 - Labor Increase'!A16</f>
        <v>Julie C. Farmer</v>
      </c>
      <c r="B17" s="277">
        <v>6663.74</v>
      </c>
      <c r="C17" s="277">
        <v>639</v>
      </c>
      <c r="D17" s="277">
        <f t="shared" ref="D17:D18" si="1">8.9*11</f>
        <v>97.9</v>
      </c>
      <c r="E17" s="277">
        <v>2400.7600000000002</v>
      </c>
      <c r="F17" s="277">
        <v>0</v>
      </c>
      <c r="G17" s="277"/>
      <c r="H17" s="776">
        <f t="shared" ref="H17:H18" si="2">600.52*12</f>
        <v>7206.24</v>
      </c>
      <c r="I17" s="277">
        <f t="shared" ref="I17:I18" si="3">54.45*12</f>
        <v>653.40000000000009</v>
      </c>
      <c r="J17" s="277">
        <f t="shared" ref="J17:J18" si="4">8.9*12</f>
        <v>106.80000000000001</v>
      </c>
      <c r="K17" s="277">
        <v>0</v>
      </c>
      <c r="L17" s="277">
        <f>+'WP-2, pg 2 - Labor Increase'!R16*0.04</f>
        <v>2573.9068979200001</v>
      </c>
      <c r="M17" s="277"/>
      <c r="N17" s="277"/>
      <c r="O17" s="307"/>
      <c r="P17" s="307"/>
      <c r="Q17" s="302"/>
      <c r="R17" s="302"/>
      <c r="S17" s="277"/>
      <c r="T17" s="277"/>
      <c r="U17" s="277"/>
    </row>
    <row r="18" spans="1:21">
      <c r="A18" s="276" t="str">
        <f>+'WP-2, pg 2 - Labor Increase'!A17</f>
        <v>Macayla J. Tudor</v>
      </c>
      <c r="B18" s="277">
        <v>6663.74</v>
      </c>
      <c r="C18" s="277">
        <v>0</v>
      </c>
      <c r="D18" s="277">
        <f t="shared" si="1"/>
        <v>97.9</v>
      </c>
      <c r="E18" s="277">
        <v>1245.17</v>
      </c>
      <c r="F18" s="277">
        <v>1500</v>
      </c>
      <c r="G18" s="277"/>
      <c r="H18" s="776">
        <f t="shared" si="2"/>
        <v>7206.24</v>
      </c>
      <c r="I18" s="777">
        <f t="shared" si="3"/>
        <v>653.40000000000009</v>
      </c>
      <c r="J18" s="277">
        <f t="shared" si="4"/>
        <v>106.80000000000001</v>
      </c>
      <c r="K18" s="277">
        <v>1500</v>
      </c>
      <c r="L18" s="277">
        <f>+'WP-2, pg 2 - Labor Increase'!R17*0.04</f>
        <v>1597.8009880000004</v>
      </c>
      <c r="M18" s="277"/>
      <c r="N18" s="277"/>
      <c r="O18" s="307"/>
      <c r="P18" s="307"/>
      <c r="Q18" s="302"/>
      <c r="R18" s="302"/>
      <c r="S18" s="277"/>
      <c r="T18" s="277"/>
      <c r="U18" s="277"/>
    </row>
    <row r="19" spans="1:21">
      <c r="A19" s="276" t="str">
        <f>+'WP-2, pg 2 - Labor Increase'!A18</f>
        <v>Katherine M. Wash</v>
      </c>
      <c r="B19" s="277">
        <v>0</v>
      </c>
      <c r="C19" s="277">
        <v>0</v>
      </c>
      <c r="D19" s="277"/>
      <c r="E19" s="277">
        <v>3049.93</v>
      </c>
      <c r="F19" s="277">
        <v>0</v>
      </c>
      <c r="G19" s="277"/>
      <c r="H19" s="776">
        <v>0</v>
      </c>
      <c r="I19" s="277">
        <v>0</v>
      </c>
      <c r="J19" s="277"/>
      <c r="K19" s="277">
        <v>0</v>
      </c>
      <c r="L19" s="277">
        <f>+'WP-2, pg 2 - Labor Increase'!R18*0.04</f>
        <v>3228.17989618</v>
      </c>
      <c r="M19" s="277"/>
      <c r="N19" s="277"/>
      <c r="O19" s="307"/>
      <c r="P19" s="307"/>
      <c r="Q19" s="302"/>
      <c r="R19" s="302"/>
      <c r="S19" s="277"/>
      <c r="T19" s="277"/>
      <c r="U19" s="277"/>
    </row>
    <row r="20" spans="1:21">
      <c r="A20" s="276" t="str">
        <f>+'WP-2, pg 2 - Labor Increase'!A19</f>
        <v>Mark D. Wash</v>
      </c>
      <c r="B20" s="277">
        <v>13327.48</v>
      </c>
      <c r="C20" s="277">
        <v>1333.8</v>
      </c>
      <c r="D20" s="277">
        <f>14.24*12</f>
        <v>170.88</v>
      </c>
      <c r="E20" s="277">
        <v>5667.96</v>
      </c>
      <c r="F20" s="277">
        <v>2750</v>
      </c>
      <c r="G20" s="277"/>
      <c r="H20" s="776">
        <f>1201.04*12</f>
        <v>14412.48</v>
      </c>
      <c r="I20" s="277">
        <f>113.65*12</f>
        <v>1363.8000000000002</v>
      </c>
      <c r="J20" s="277">
        <f>14.24*12</f>
        <v>170.88</v>
      </c>
      <c r="K20" s="277">
        <v>3000</v>
      </c>
      <c r="L20" s="277">
        <f>+'WP-2, pg 2 - Labor Increase'!R19*0.04</f>
        <v>5741.5357681000005</v>
      </c>
      <c r="M20" s="277"/>
      <c r="N20" s="610"/>
      <c r="O20" s="307"/>
      <c r="P20" s="307"/>
      <c r="Q20" s="302"/>
      <c r="R20" s="302"/>
      <c r="S20" s="277"/>
      <c r="T20" s="277"/>
      <c r="U20" s="277"/>
    </row>
    <row r="21" spans="1:21">
      <c r="A21" s="276" t="str">
        <f>+'WP-2, pg 2 - Labor Increase'!A20</f>
        <v>Debra L. Wyman</v>
      </c>
      <c r="B21" s="277">
        <v>6663.74</v>
      </c>
      <c r="C21" s="277">
        <v>639</v>
      </c>
      <c r="D21" s="277">
        <f>8.9*11</f>
        <v>97.9</v>
      </c>
      <c r="E21" s="277">
        <v>2229.08</v>
      </c>
      <c r="F21" s="277">
        <v>1500</v>
      </c>
      <c r="G21" s="277"/>
      <c r="H21" s="776">
        <f>600.52*12</f>
        <v>7206.24</v>
      </c>
      <c r="I21" s="277">
        <f>54.45*12</f>
        <v>653.40000000000009</v>
      </c>
      <c r="J21" s="277">
        <f>8.9*12</f>
        <v>106.80000000000001</v>
      </c>
      <c r="K21" s="277">
        <v>1500</v>
      </c>
      <c r="L21" s="277">
        <f>+'WP-2, pg 2 - Labor Increase'!R20*0.04</f>
        <v>2404.2906173600009</v>
      </c>
      <c r="M21" s="277"/>
      <c r="N21" s="277"/>
      <c r="O21" s="307"/>
      <c r="P21" s="307"/>
      <c r="Q21" s="302"/>
      <c r="R21" s="302"/>
      <c r="S21" s="277"/>
      <c r="T21" s="277"/>
      <c r="U21" s="277"/>
    </row>
    <row r="22" spans="1:21">
      <c r="A22" s="602" t="s">
        <v>1149</v>
      </c>
      <c r="B22" s="296">
        <f>SUM(B15:B21)</f>
        <v>39982.439999999995</v>
      </c>
      <c r="C22" s="296">
        <f t="shared" ref="C22:F22" si="5">SUM(C15:C21)</f>
        <v>3250.8</v>
      </c>
      <c r="D22" s="296">
        <f t="shared" si="5"/>
        <v>562.48</v>
      </c>
      <c r="E22" s="296">
        <f t="shared" si="5"/>
        <v>19887.980000000003</v>
      </c>
      <c r="F22" s="296">
        <f t="shared" si="5"/>
        <v>7250</v>
      </c>
      <c r="G22" s="779">
        <f>SUM(B22:F22)</f>
        <v>70933.700000000012</v>
      </c>
      <c r="H22" s="296">
        <f>SUM(H15:H21)</f>
        <v>43237.439999999995</v>
      </c>
      <c r="I22" s="296">
        <f t="shared" ref="I22:L22" si="6">SUM(I15:I21)</f>
        <v>3977.4000000000005</v>
      </c>
      <c r="J22" s="296">
        <f t="shared" si="6"/>
        <v>598.08000000000004</v>
      </c>
      <c r="K22" s="296">
        <f t="shared" si="6"/>
        <v>7500</v>
      </c>
      <c r="L22" s="296">
        <f t="shared" si="6"/>
        <v>21446.934285320003</v>
      </c>
      <c r="M22" s="296">
        <f>SUM(H22:L22)</f>
        <v>76759.854285320005</v>
      </c>
      <c r="N22" s="277"/>
      <c r="O22" s="307"/>
      <c r="P22" s="277">
        <f>+G22</f>
        <v>70933.700000000012</v>
      </c>
      <c r="Q22" s="302">
        <f>+P22*0.8</f>
        <v>56746.960000000014</v>
      </c>
      <c r="R22" s="310">
        <f>+M22</f>
        <v>76759.854285320005</v>
      </c>
      <c r="S22" s="302">
        <f>+R22*0.8</f>
        <v>61407.883428256006</v>
      </c>
      <c r="T22" s="277"/>
      <c r="U22" s="277"/>
    </row>
    <row r="23" spans="1:21">
      <c r="A23" s="603"/>
      <c r="B23" s="277"/>
      <c r="C23" s="277"/>
      <c r="D23" s="277"/>
      <c r="E23" s="277"/>
      <c r="F23" s="277"/>
      <c r="G23" s="277"/>
      <c r="H23" s="776"/>
      <c r="I23" s="277"/>
      <c r="J23" s="277"/>
      <c r="K23" s="277"/>
      <c r="L23" s="277"/>
      <c r="M23" s="277"/>
      <c r="N23" s="277"/>
      <c r="O23" s="307"/>
      <c r="P23" s="307"/>
      <c r="Q23" s="302"/>
      <c r="R23" s="302"/>
      <c r="S23" s="277"/>
      <c r="T23" s="277"/>
      <c r="U23" s="277"/>
    </row>
    <row r="24" spans="1:21">
      <c r="A24" s="276" t="str">
        <f>+'WP-2, pg 2 - Labor Increase'!A24</f>
        <v>Andrew A. Piper</v>
      </c>
      <c r="B24" s="277">
        <v>6663.74</v>
      </c>
      <c r="C24" s="277">
        <v>639</v>
      </c>
      <c r="D24" s="277">
        <f t="shared" ref="D24:D25" si="7">8.9*11</f>
        <v>97.9</v>
      </c>
      <c r="E24" s="277">
        <v>1575.19</v>
      </c>
      <c r="F24" s="277">
        <v>0</v>
      </c>
      <c r="G24" s="277"/>
      <c r="H24" s="776">
        <v>0</v>
      </c>
      <c r="I24" s="747">
        <v>0</v>
      </c>
      <c r="J24" s="277"/>
      <c r="K24" s="277">
        <v>0</v>
      </c>
      <c r="L24" s="277">
        <v>0</v>
      </c>
      <c r="M24" s="277"/>
      <c r="N24" s="277"/>
      <c r="O24" s="307"/>
      <c r="P24" s="307"/>
      <c r="Q24" s="302"/>
      <c r="R24" s="302"/>
      <c r="S24" s="277"/>
      <c r="T24" s="277"/>
      <c r="U24" s="277"/>
    </row>
    <row r="25" spans="1:21">
      <c r="A25" s="276" t="str">
        <f>+'WP-2, pg 2 - Labor Increase'!A25</f>
        <v>Jansen L. Quick</v>
      </c>
      <c r="B25" s="277">
        <v>6663.74</v>
      </c>
      <c r="C25" s="277">
        <v>639</v>
      </c>
      <c r="D25" s="277">
        <f t="shared" si="7"/>
        <v>97.9</v>
      </c>
      <c r="E25" s="277">
        <v>2190.5100000000002</v>
      </c>
      <c r="F25" s="277">
        <v>1500</v>
      </c>
      <c r="G25" s="277"/>
      <c r="H25" s="776">
        <f>600.52*12</f>
        <v>7206.24</v>
      </c>
      <c r="I25" s="777">
        <f>54.45*12</f>
        <v>653.40000000000009</v>
      </c>
      <c r="J25" s="277">
        <f>8.9*12</f>
        <v>106.80000000000001</v>
      </c>
      <c r="K25" s="277">
        <v>1500</v>
      </c>
      <c r="L25" s="277">
        <f>+'WP-2, pg 2 - Labor Increase'!$R$25*0.04</f>
        <v>2363.2045760000001</v>
      </c>
      <c r="M25" s="277"/>
      <c r="N25" s="277"/>
      <c r="O25" s="307"/>
      <c r="P25" s="307"/>
      <c r="Q25" s="302"/>
      <c r="R25" s="302"/>
      <c r="S25" s="277"/>
      <c r="T25" s="277"/>
      <c r="U25" s="277"/>
    </row>
    <row r="26" spans="1:21">
      <c r="A26" s="276" t="str">
        <f>+'WP-2, pg 2 - Labor Increase'!A26</f>
        <v>Richard C. Schmidt</v>
      </c>
      <c r="B26" s="277">
        <v>6663.74</v>
      </c>
      <c r="C26" s="277">
        <v>1333.8</v>
      </c>
      <c r="D26" s="277">
        <f>14.54*12</f>
        <v>174.48</v>
      </c>
      <c r="E26" s="277">
        <v>1122.5</v>
      </c>
      <c r="F26" s="277">
        <v>1500</v>
      </c>
      <c r="G26" s="277"/>
      <c r="H26" s="776">
        <f>600.52*12</f>
        <v>7206.24</v>
      </c>
      <c r="I26" s="277">
        <f>(113.65*12)-740.64</f>
        <v>623.1600000000002</v>
      </c>
      <c r="J26" s="277">
        <f>14.24*12</f>
        <v>170.88</v>
      </c>
      <c r="K26" s="277">
        <v>1500</v>
      </c>
      <c r="L26" s="277">
        <f>+'WP-2, pg 2 - Labor Increase'!$R$26*0.04</f>
        <v>2341.5571160000004</v>
      </c>
      <c r="M26" s="277"/>
      <c r="N26" s="277"/>
      <c r="O26" s="307"/>
      <c r="P26" s="307"/>
      <c r="Q26" s="302"/>
      <c r="R26" s="302"/>
      <c r="S26" s="277"/>
      <c r="T26" s="277"/>
      <c r="U26" s="277"/>
    </row>
    <row r="27" spans="1:21">
      <c r="A27" s="602" t="str">
        <f>+'WP-2, pg 2 - Labor Increase'!A27</f>
        <v>HELPERS</v>
      </c>
      <c r="B27" s="296">
        <f>SUM(B24:B26)</f>
        <v>19991.22</v>
      </c>
      <c r="C27" s="296">
        <f t="shared" ref="C27:F27" si="8">SUM(C24:C26)</f>
        <v>2611.8000000000002</v>
      </c>
      <c r="D27" s="296">
        <f t="shared" si="8"/>
        <v>370.28</v>
      </c>
      <c r="E27" s="296">
        <f t="shared" si="8"/>
        <v>4888.2000000000007</v>
      </c>
      <c r="F27" s="296">
        <f t="shared" si="8"/>
        <v>3000</v>
      </c>
      <c r="G27" s="779">
        <f>SUM(B27:F27)</f>
        <v>30861.5</v>
      </c>
      <c r="H27" s="296">
        <f>SUM(H24:H26)</f>
        <v>14412.48</v>
      </c>
      <c r="I27" s="296">
        <f t="shared" ref="I27:L27" si="9">SUM(I24:I26)</f>
        <v>1276.5600000000004</v>
      </c>
      <c r="J27" s="296">
        <f t="shared" si="9"/>
        <v>277.68</v>
      </c>
      <c r="K27" s="296">
        <f t="shared" si="9"/>
        <v>3000</v>
      </c>
      <c r="L27" s="296">
        <f t="shared" si="9"/>
        <v>4704.761692</v>
      </c>
      <c r="M27" s="742">
        <f>SUM(H27:L27)</f>
        <v>23671.481692000001</v>
      </c>
      <c r="N27" s="277"/>
      <c r="O27" s="307"/>
      <c r="P27" s="277">
        <f>+G27</f>
        <v>30861.5</v>
      </c>
      <c r="Q27" s="609">
        <f>+'WP -11 Non-Regulated'!$K$29*P27</f>
        <v>14509.464435002934</v>
      </c>
      <c r="R27" s="310">
        <f>+M27</f>
        <v>23671.481692000001</v>
      </c>
      <c r="S27" s="609">
        <f>+'WP -11 Non-Regulated'!$K$29*R27</f>
        <v>11129.093586957766</v>
      </c>
      <c r="T27" s="277"/>
      <c r="U27" s="277"/>
    </row>
    <row r="28" spans="1:21">
      <c r="A28" s="276"/>
      <c r="B28" s="277"/>
      <c r="C28" s="277"/>
      <c r="D28" s="277"/>
      <c r="E28" s="277"/>
      <c r="F28" s="277"/>
      <c r="G28" s="277"/>
      <c r="H28" s="776"/>
      <c r="I28" s="277"/>
      <c r="J28" s="277"/>
      <c r="K28" s="277"/>
      <c r="L28" s="277"/>
      <c r="M28" s="277"/>
      <c r="N28" s="277"/>
      <c r="O28" s="307"/>
      <c r="P28" s="307"/>
      <c r="Q28" s="302"/>
      <c r="R28" s="302"/>
      <c r="S28" s="277"/>
      <c r="T28" s="277"/>
      <c r="U28" s="277"/>
    </row>
    <row r="29" spans="1:21">
      <c r="A29" s="276" t="str">
        <f>+'WP-2, pg 2 - Labor Increase'!A29</f>
        <v>Kenneth C. Bellows</v>
      </c>
      <c r="B29" s="277">
        <v>6663.74</v>
      </c>
      <c r="C29" s="277">
        <v>639</v>
      </c>
      <c r="D29" s="277">
        <f t="shared" ref="D29:D32" si="10">8.9*11</f>
        <v>97.9</v>
      </c>
      <c r="E29" s="277">
        <v>2422.1799999999998</v>
      </c>
      <c r="F29" s="277">
        <v>1500</v>
      </c>
      <c r="G29" s="277"/>
      <c r="H29" s="776">
        <f t="shared" ref="H29:H33" si="11">600.52*12</f>
        <v>7206.24</v>
      </c>
      <c r="I29" s="777">
        <f>54.45*12</f>
        <v>653.40000000000009</v>
      </c>
      <c r="J29" s="277">
        <f t="shared" ref="J29:J33" si="12">8.9*12</f>
        <v>106.80000000000001</v>
      </c>
      <c r="K29" s="277">
        <v>1500</v>
      </c>
      <c r="L29" s="277">
        <f>+'WP-2, pg 2 - Labor Increase'!R29*0.04</f>
        <v>2595.9691616000005</v>
      </c>
      <c r="M29" s="277"/>
      <c r="N29" s="277"/>
      <c r="O29" s="307"/>
      <c r="P29" s="307"/>
      <c r="Q29" s="302"/>
      <c r="R29" s="302"/>
      <c r="S29" s="277"/>
      <c r="T29" s="277"/>
      <c r="U29" s="277"/>
    </row>
    <row r="30" spans="1:21">
      <c r="A30" s="276" t="str">
        <f>+'WP-2, pg 2 - Labor Increase'!A30</f>
        <v>Mario H. Cruz Jr</v>
      </c>
      <c r="B30" s="277">
        <v>6663.74</v>
      </c>
      <c r="C30" s="277">
        <v>639</v>
      </c>
      <c r="D30" s="277">
        <f t="shared" si="10"/>
        <v>97.9</v>
      </c>
      <c r="E30" s="277">
        <v>2244.13</v>
      </c>
      <c r="F30" s="277">
        <v>1500</v>
      </c>
      <c r="G30" s="277"/>
      <c r="H30" s="776">
        <f t="shared" si="11"/>
        <v>7206.24</v>
      </c>
      <c r="I30" s="777">
        <f t="shared" ref="I30:I33" si="13">54.45*12</f>
        <v>653.40000000000009</v>
      </c>
      <c r="J30" s="277">
        <f t="shared" si="12"/>
        <v>106.80000000000001</v>
      </c>
      <c r="K30" s="277">
        <v>1500</v>
      </c>
      <c r="L30" s="277">
        <f>+'WP-2, pg 2 - Labor Increase'!R30*0.04</f>
        <v>2438.7142724800001</v>
      </c>
      <c r="M30" s="277"/>
      <c r="N30" s="277"/>
      <c r="O30" s="307"/>
      <c r="P30" s="307"/>
      <c r="Q30" s="302"/>
      <c r="R30" s="302"/>
      <c r="S30" s="277"/>
      <c r="T30" s="277"/>
      <c r="U30" s="277"/>
    </row>
    <row r="31" spans="1:21">
      <c r="A31" s="276" t="str">
        <f>+'WP-2, pg 2 - Labor Increase'!A31</f>
        <v>Christopher M. Dahl</v>
      </c>
      <c r="B31" s="277">
        <v>6663.74</v>
      </c>
      <c r="C31" s="277">
        <v>639</v>
      </c>
      <c r="D31" s="277">
        <f t="shared" si="10"/>
        <v>97.9</v>
      </c>
      <c r="E31" s="277">
        <v>2707.38</v>
      </c>
      <c r="F31" s="277">
        <v>1500</v>
      </c>
      <c r="G31" s="277"/>
      <c r="H31" s="776">
        <f t="shared" si="11"/>
        <v>7206.24</v>
      </c>
      <c r="I31" s="777">
        <f t="shared" si="13"/>
        <v>653.40000000000009</v>
      </c>
      <c r="J31" s="277">
        <f t="shared" si="12"/>
        <v>106.80000000000001</v>
      </c>
      <c r="K31" s="277">
        <v>1500</v>
      </c>
      <c r="L31" s="277">
        <f>+'WP-2, pg 2 - Labor Increase'!R31*0.04</f>
        <v>2941.03089976</v>
      </c>
      <c r="M31" s="277"/>
      <c r="N31" s="277"/>
      <c r="O31" s="307"/>
      <c r="P31" s="307"/>
      <c r="Q31" s="302"/>
      <c r="R31" s="302"/>
      <c r="S31" s="277"/>
      <c r="T31" s="277"/>
      <c r="U31" s="277"/>
    </row>
    <row r="32" spans="1:21">
      <c r="A32" s="276" t="str">
        <f>+'WP-2, pg 2 - Labor Increase'!A32</f>
        <v>Corey J. Everett</v>
      </c>
      <c r="B32" s="277">
        <v>6663.74</v>
      </c>
      <c r="C32" s="277">
        <v>639</v>
      </c>
      <c r="D32" s="277">
        <f t="shared" si="10"/>
        <v>97.9</v>
      </c>
      <c r="E32" s="277">
        <v>3329.85</v>
      </c>
      <c r="F32" s="277">
        <v>1500</v>
      </c>
      <c r="G32" s="277"/>
      <c r="H32" s="776">
        <f t="shared" si="11"/>
        <v>7206.24</v>
      </c>
      <c r="I32" s="777">
        <f t="shared" si="13"/>
        <v>653.40000000000009</v>
      </c>
      <c r="J32" s="277">
        <f t="shared" si="12"/>
        <v>106.80000000000001</v>
      </c>
      <c r="K32" s="277">
        <v>1500</v>
      </c>
      <c r="L32" s="277">
        <f>+'WP-2, pg 2 - Labor Increase'!R32*0.04</f>
        <v>3529.5602399199997</v>
      </c>
      <c r="M32" s="277"/>
      <c r="N32" s="277"/>
      <c r="O32" s="307"/>
      <c r="P32" s="307"/>
      <c r="Q32" s="302"/>
      <c r="R32" s="302"/>
      <c r="S32" s="277"/>
      <c r="T32" s="277"/>
      <c r="U32" s="277"/>
    </row>
    <row r="33" spans="1:21">
      <c r="A33" s="276" t="str">
        <f>+'WP-2, pg 2 - Labor Increase'!A33</f>
        <v>James I. Fleishman</v>
      </c>
      <c r="B33" s="277">
        <v>6107.39</v>
      </c>
      <c r="C33" s="277">
        <v>532.5</v>
      </c>
      <c r="D33" s="277">
        <f>8.9*9</f>
        <v>80.100000000000009</v>
      </c>
      <c r="E33" s="277">
        <v>2997.57</v>
      </c>
      <c r="F33" s="277">
        <v>1375</v>
      </c>
      <c r="G33" s="277"/>
      <c r="H33" s="776">
        <f t="shared" si="11"/>
        <v>7206.24</v>
      </c>
      <c r="I33" s="777">
        <f t="shared" si="13"/>
        <v>653.40000000000009</v>
      </c>
      <c r="J33" s="277">
        <f t="shared" si="12"/>
        <v>106.80000000000001</v>
      </c>
      <c r="K33" s="277">
        <v>1500</v>
      </c>
      <c r="L33" s="277">
        <f>+'WP-2, pg 2 - Labor Increase'!R33*0.04</f>
        <v>3253.9552253000006</v>
      </c>
      <c r="M33" s="277"/>
      <c r="N33" s="277"/>
      <c r="O33" s="307"/>
      <c r="P33" s="307"/>
      <c r="Q33" s="302"/>
      <c r="R33" s="302"/>
      <c r="S33" s="277"/>
      <c r="T33" s="277"/>
      <c r="U33" s="277"/>
    </row>
    <row r="34" spans="1:21">
      <c r="A34" s="276" t="str">
        <f>+'WP-2, pg 2 - Labor Increase'!A34</f>
        <v>Nathanael James Fleishman</v>
      </c>
      <c r="B34" s="277">
        <v>0</v>
      </c>
      <c r="C34" s="277">
        <v>0</v>
      </c>
      <c r="D34" s="277"/>
      <c r="E34" s="277">
        <v>0</v>
      </c>
      <c r="F34" s="277">
        <v>0</v>
      </c>
      <c r="G34" s="277"/>
      <c r="H34" s="776">
        <v>0</v>
      </c>
      <c r="I34" s="777">
        <v>0</v>
      </c>
      <c r="J34" s="777"/>
      <c r="K34" s="777"/>
      <c r="L34" s="777"/>
      <c r="M34" s="277"/>
      <c r="N34" s="277"/>
      <c r="O34" s="307"/>
      <c r="P34" s="307"/>
      <c r="Q34" s="302"/>
      <c r="R34" s="302"/>
      <c r="S34" s="277"/>
      <c r="T34" s="277"/>
      <c r="U34" s="277"/>
    </row>
    <row r="35" spans="1:21">
      <c r="A35" s="276" t="str">
        <f>+'WP-2, pg 2 - Labor Increase'!A35</f>
        <v>William M. Fortner</v>
      </c>
      <c r="B35" s="277">
        <v>6663.74</v>
      </c>
      <c r="C35" s="277">
        <v>639</v>
      </c>
      <c r="D35" s="277">
        <f t="shared" ref="D35:D52" si="14">8.9*11</f>
        <v>97.9</v>
      </c>
      <c r="E35" s="277">
        <v>2706.63</v>
      </c>
      <c r="F35" s="277">
        <v>1500</v>
      </c>
      <c r="G35" s="277"/>
      <c r="H35" s="776">
        <f t="shared" ref="H35:H47" si="15">600.52*12</f>
        <v>7206.24</v>
      </c>
      <c r="I35" s="777">
        <f t="shared" ref="I35:I47" si="16">54.45*12</f>
        <v>653.40000000000009</v>
      </c>
      <c r="J35" s="277">
        <f t="shared" ref="J35:J47" si="17">8.9*12</f>
        <v>106.80000000000001</v>
      </c>
      <c r="K35" s="277">
        <v>1500</v>
      </c>
      <c r="L35" s="277">
        <f>+'WP-2, pg 2 - Labor Increase'!R35*0.04</f>
        <v>2914.6974021599999</v>
      </c>
      <c r="M35" s="277"/>
      <c r="N35" s="277"/>
      <c r="O35" s="307"/>
      <c r="P35" s="307"/>
      <c r="Q35" s="302"/>
      <c r="R35" s="302"/>
      <c r="S35" s="277"/>
      <c r="T35" s="277"/>
      <c r="U35" s="277"/>
    </row>
    <row r="36" spans="1:21">
      <c r="A36" s="276" t="str">
        <f>+'WP-2, pg 2 - Labor Increase'!A36</f>
        <v>Emmanuel Gonzalez Castaneda</v>
      </c>
      <c r="B36" s="277">
        <v>6663.74</v>
      </c>
      <c r="C36" s="277">
        <v>639</v>
      </c>
      <c r="D36" s="277">
        <f t="shared" si="14"/>
        <v>97.9</v>
      </c>
      <c r="E36" s="277">
        <v>1325.59</v>
      </c>
      <c r="F36" s="277">
        <v>1500</v>
      </c>
      <c r="G36" s="277"/>
      <c r="H36" s="776">
        <f t="shared" si="15"/>
        <v>7206.24</v>
      </c>
      <c r="I36" s="777">
        <f t="shared" si="16"/>
        <v>653.40000000000009</v>
      </c>
      <c r="J36" s="277">
        <f t="shared" si="17"/>
        <v>106.80000000000001</v>
      </c>
      <c r="K36" s="277">
        <v>1500</v>
      </c>
      <c r="L36" s="277">
        <f>+'WP-2, pg 2 - Labor Increase'!R36*0.04</f>
        <v>2666.7441054200003</v>
      </c>
      <c r="M36" s="277"/>
      <c r="N36" s="277"/>
      <c r="O36" s="307"/>
      <c r="P36" s="307"/>
      <c r="Q36" s="302"/>
      <c r="R36" s="302"/>
      <c r="S36" s="277"/>
      <c r="T36" s="277"/>
      <c r="U36" s="277"/>
    </row>
    <row r="37" spans="1:21">
      <c r="A37" s="276" t="str">
        <f>+'WP-2, pg 2 - Labor Increase'!A37</f>
        <v>Jeffrey E. Graves</v>
      </c>
      <c r="B37" s="277">
        <v>6663.74</v>
      </c>
      <c r="C37" s="277">
        <v>585.75</v>
      </c>
      <c r="D37" s="277">
        <f t="shared" si="14"/>
        <v>97.9</v>
      </c>
      <c r="E37" s="277">
        <v>1100.5899999999999</v>
      </c>
      <c r="F37" s="277">
        <v>1500</v>
      </c>
      <c r="G37" s="277"/>
      <c r="H37" s="776">
        <f t="shared" si="15"/>
        <v>7206.24</v>
      </c>
      <c r="I37" s="777">
        <f t="shared" si="16"/>
        <v>653.40000000000009</v>
      </c>
      <c r="J37" s="277">
        <f t="shared" si="17"/>
        <v>106.80000000000001</v>
      </c>
      <c r="K37" s="277">
        <v>1500</v>
      </c>
      <c r="L37" s="277">
        <f>+'WP-2, pg 2 - Labor Increase'!R37*0.04</f>
        <v>2299.4475310000003</v>
      </c>
      <c r="M37" s="277"/>
      <c r="N37" s="277"/>
      <c r="O37" s="307"/>
      <c r="P37" s="307"/>
      <c r="Q37" s="302"/>
      <c r="R37" s="302"/>
      <c r="S37" s="277"/>
      <c r="T37" s="277"/>
      <c r="U37" s="277"/>
    </row>
    <row r="38" spans="1:21">
      <c r="A38" s="276" t="str">
        <f>+'WP-2, pg 2 - Labor Increase'!A38</f>
        <v>Clint A. Ho-Gland</v>
      </c>
      <c r="B38" s="277">
        <v>6663.74</v>
      </c>
      <c r="C38" s="277">
        <v>639</v>
      </c>
      <c r="D38" s="277">
        <f t="shared" si="14"/>
        <v>97.9</v>
      </c>
      <c r="E38" s="277">
        <v>2381.54</v>
      </c>
      <c r="F38" s="277">
        <v>1500</v>
      </c>
      <c r="G38" s="277"/>
      <c r="H38" s="776">
        <f t="shared" si="15"/>
        <v>7206.24</v>
      </c>
      <c r="I38" s="777">
        <f t="shared" si="16"/>
        <v>653.40000000000009</v>
      </c>
      <c r="J38" s="277">
        <f t="shared" si="17"/>
        <v>106.80000000000001</v>
      </c>
      <c r="K38" s="277">
        <v>1500</v>
      </c>
      <c r="L38" s="277">
        <f>+'WP-2, pg 2 - Labor Increase'!R38*0.04</f>
        <v>2574.83026432</v>
      </c>
      <c r="M38" s="277"/>
      <c r="N38" s="277"/>
      <c r="O38" s="307"/>
      <c r="P38" s="307"/>
      <c r="Q38" s="302"/>
      <c r="R38" s="302"/>
      <c r="S38" s="277"/>
      <c r="T38" s="277"/>
      <c r="U38" s="277"/>
    </row>
    <row r="39" spans="1:21">
      <c r="A39" s="276" t="str">
        <f>+'WP-2, pg 2 - Labor Increase'!A39</f>
        <v>Patrick A. Hoyt</v>
      </c>
      <c r="B39" s="277">
        <v>6663.74</v>
      </c>
      <c r="C39" s="277">
        <v>639</v>
      </c>
      <c r="D39" s="277">
        <f t="shared" si="14"/>
        <v>97.9</v>
      </c>
      <c r="E39" s="277">
        <v>946.07</v>
      </c>
      <c r="F39" s="277">
        <v>1500</v>
      </c>
      <c r="G39" s="277"/>
      <c r="H39" s="776">
        <f t="shared" si="15"/>
        <v>7206.24</v>
      </c>
      <c r="I39" s="777">
        <f t="shared" si="16"/>
        <v>653.40000000000009</v>
      </c>
      <c r="J39" s="277">
        <f t="shared" si="17"/>
        <v>106.80000000000001</v>
      </c>
      <c r="K39" s="277">
        <v>1500</v>
      </c>
      <c r="L39" s="277">
        <f>+'WP-2, pg 2 - Labor Increase'!R39*0.04</f>
        <v>2045.8691940600004</v>
      </c>
      <c r="M39" s="277"/>
      <c r="N39" s="277"/>
      <c r="O39" s="307"/>
      <c r="P39" s="307"/>
      <c r="Q39" s="302"/>
      <c r="R39" s="302"/>
      <c r="S39" s="277"/>
      <c r="T39" s="277"/>
      <c r="U39" s="277"/>
    </row>
    <row r="40" spans="1:21">
      <c r="A40" s="276" t="str">
        <f>+'WP-2, pg 2 - Labor Increase'!A40</f>
        <v>Michael P. Hughes</v>
      </c>
      <c r="B40" s="277">
        <v>6663.74</v>
      </c>
      <c r="C40" s="277">
        <v>639</v>
      </c>
      <c r="D40" s="277">
        <f t="shared" si="14"/>
        <v>97.9</v>
      </c>
      <c r="E40" s="277">
        <v>2374.8200000000002</v>
      </c>
      <c r="F40" s="277">
        <v>1500</v>
      </c>
      <c r="G40" s="277"/>
      <c r="H40" s="776">
        <f t="shared" si="15"/>
        <v>7206.24</v>
      </c>
      <c r="I40" s="777">
        <f t="shared" si="16"/>
        <v>653.40000000000009</v>
      </c>
      <c r="J40" s="277">
        <f t="shared" si="17"/>
        <v>106.80000000000001</v>
      </c>
      <c r="K40" s="277">
        <v>1500</v>
      </c>
      <c r="L40" s="277">
        <f>+'WP-2, pg 2 - Labor Increase'!R40*0.04</f>
        <v>2552.0526143800003</v>
      </c>
      <c r="M40" s="277"/>
      <c r="N40" s="277"/>
      <c r="O40" s="307"/>
      <c r="P40" s="307"/>
      <c r="Q40" s="302"/>
      <c r="R40" s="302"/>
      <c r="S40" s="277"/>
      <c r="T40" s="277"/>
      <c r="U40" s="277"/>
    </row>
    <row r="41" spans="1:21">
      <c r="A41" s="276" t="str">
        <f>+'WP-2, pg 2 - Labor Increase'!A41</f>
        <v>Joseph E. Mack Jr</v>
      </c>
      <c r="B41" s="277">
        <v>6663.74</v>
      </c>
      <c r="C41" s="277">
        <v>639</v>
      </c>
      <c r="D41" s="277">
        <f t="shared" si="14"/>
        <v>97.9</v>
      </c>
      <c r="E41" s="277">
        <v>1113.68</v>
      </c>
      <c r="F41" s="277">
        <v>1500</v>
      </c>
      <c r="G41" s="277"/>
      <c r="H41" s="776">
        <f t="shared" si="15"/>
        <v>7206.24</v>
      </c>
      <c r="I41" s="777">
        <f t="shared" si="16"/>
        <v>653.40000000000009</v>
      </c>
      <c r="J41" s="277">
        <f t="shared" si="17"/>
        <v>106.80000000000001</v>
      </c>
      <c r="K41" s="277">
        <v>1500</v>
      </c>
      <c r="L41" s="277">
        <f>+'WP-2, pg 2 - Labor Increase'!R41*0.04</f>
        <v>2287.5533299000008</v>
      </c>
      <c r="M41" s="277"/>
      <c r="N41" s="277"/>
      <c r="O41" s="307"/>
      <c r="P41" s="307"/>
      <c r="Q41" s="302"/>
      <c r="R41" s="302"/>
      <c r="S41" s="277"/>
      <c r="T41" s="277"/>
      <c r="U41" s="277"/>
    </row>
    <row r="42" spans="1:21">
      <c r="A42" s="276" t="str">
        <f>+'WP-2, pg 2 - Labor Increase'!A42</f>
        <v>Lester R. Mather</v>
      </c>
      <c r="B42" s="277">
        <v>6663.74</v>
      </c>
      <c r="C42" s="277">
        <v>639</v>
      </c>
      <c r="D42" s="277">
        <f t="shared" si="14"/>
        <v>97.9</v>
      </c>
      <c r="E42" s="277">
        <v>1884.14</v>
      </c>
      <c r="F42" s="277">
        <v>1500</v>
      </c>
      <c r="G42" s="277"/>
      <c r="H42" s="776">
        <f t="shared" si="15"/>
        <v>7206.24</v>
      </c>
      <c r="I42" s="777">
        <f t="shared" si="16"/>
        <v>653.40000000000009</v>
      </c>
      <c r="J42" s="277">
        <f t="shared" si="17"/>
        <v>106.80000000000001</v>
      </c>
      <c r="K42" s="277">
        <v>1500</v>
      </c>
      <c r="L42" s="277">
        <f>+'WP-2, pg 2 - Labor Increase'!R42*0.04</f>
        <v>2209.7404999999999</v>
      </c>
      <c r="M42" s="277"/>
      <c r="N42" s="277"/>
      <c r="O42" s="307"/>
      <c r="P42" s="307"/>
      <c r="Q42" s="302"/>
      <c r="R42" s="302"/>
      <c r="S42" s="277"/>
      <c r="T42" s="277"/>
      <c r="U42" s="277"/>
    </row>
    <row r="43" spans="1:21">
      <c r="A43" s="276" t="str">
        <f>+'WP-2, pg 2 - Labor Increase'!A43</f>
        <v>Josh M. Nations</v>
      </c>
      <c r="B43" s="277">
        <v>6663.74</v>
      </c>
      <c r="C43" s="277">
        <v>639</v>
      </c>
      <c r="D43" s="277">
        <f t="shared" si="14"/>
        <v>97.9</v>
      </c>
      <c r="E43" s="277">
        <v>2638.87</v>
      </c>
      <c r="F43" s="277">
        <v>1500</v>
      </c>
      <c r="G43" s="277"/>
      <c r="H43" s="776">
        <f t="shared" si="15"/>
        <v>7206.24</v>
      </c>
      <c r="I43" s="777">
        <f t="shared" si="16"/>
        <v>653.40000000000009</v>
      </c>
      <c r="J43" s="277">
        <f t="shared" si="17"/>
        <v>106.80000000000001</v>
      </c>
      <c r="K43" s="277">
        <v>1500</v>
      </c>
      <c r="L43" s="277">
        <f>+'WP-2, pg 2 - Labor Increase'!R43*0.04</f>
        <v>2939.8094883999997</v>
      </c>
      <c r="M43" s="277"/>
      <c r="N43" s="277"/>
      <c r="O43" s="307"/>
      <c r="P43" s="307"/>
      <c r="Q43" s="302"/>
      <c r="R43" s="302"/>
      <c r="S43" s="277"/>
      <c r="T43" s="277"/>
      <c r="U43" s="277"/>
    </row>
    <row r="44" spans="1:21">
      <c r="A44" s="276" t="str">
        <f>+'WP-2, pg 2 - Labor Increase'!A44</f>
        <v>Adan Nava</v>
      </c>
      <c r="B44" s="277">
        <v>6663.74</v>
      </c>
      <c r="C44" s="277">
        <v>639</v>
      </c>
      <c r="D44" s="277">
        <f t="shared" si="14"/>
        <v>97.9</v>
      </c>
      <c r="E44" s="277">
        <v>2082.4299999999998</v>
      </c>
      <c r="F44" s="277">
        <v>1500</v>
      </c>
      <c r="G44" s="277"/>
      <c r="H44" s="776">
        <f t="shared" si="15"/>
        <v>7206.24</v>
      </c>
      <c r="I44" s="777">
        <f t="shared" si="16"/>
        <v>653.40000000000009</v>
      </c>
      <c r="J44" s="277">
        <f t="shared" si="17"/>
        <v>106.80000000000001</v>
      </c>
      <c r="K44" s="277">
        <v>1500</v>
      </c>
      <c r="L44" s="277">
        <f>+'WP-2, pg 2 - Labor Increase'!R44*0.04</f>
        <v>2362.9851759400008</v>
      </c>
      <c r="M44" s="277"/>
      <c r="N44" s="277"/>
      <c r="O44" s="307"/>
      <c r="P44" s="307"/>
      <c r="Q44" s="302"/>
      <c r="R44" s="302"/>
      <c r="S44" s="277"/>
      <c r="T44" s="277"/>
      <c r="U44" s="277"/>
    </row>
    <row r="45" spans="1:21">
      <c r="A45" s="276" t="str">
        <f>+'WP-2, pg 2 - Labor Increase'!A45</f>
        <v>Mark W. Perry</v>
      </c>
      <c r="B45" s="277">
        <v>6663.74</v>
      </c>
      <c r="C45" s="277">
        <v>639</v>
      </c>
      <c r="D45" s="277">
        <f t="shared" si="14"/>
        <v>97.9</v>
      </c>
      <c r="E45" s="277">
        <v>2625.88</v>
      </c>
      <c r="F45" s="277">
        <v>1500</v>
      </c>
      <c r="G45" s="277"/>
      <c r="H45" s="776">
        <f t="shared" si="15"/>
        <v>7206.24</v>
      </c>
      <c r="I45" s="777">
        <f t="shared" si="16"/>
        <v>653.40000000000009</v>
      </c>
      <c r="J45" s="277">
        <f t="shared" si="17"/>
        <v>106.80000000000001</v>
      </c>
      <c r="K45" s="277">
        <v>1500</v>
      </c>
      <c r="L45" s="277">
        <f>+'WP-2, pg 2 - Labor Increase'!R45*0.04</f>
        <v>2845.6635731600009</v>
      </c>
      <c r="M45" s="277"/>
      <c r="N45" s="277"/>
      <c r="O45" s="307"/>
      <c r="P45" s="307"/>
      <c r="Q45" s="302"/>
      <c r="R45" s="302"/>
      <c r="S45" s="277"/>
      <c r="T45" s="277"/>
      <c r="U45" s="277"/>
    </row>
    <row r="46" spans="1:21">
      <c r="A46" s="276" t="str">
        <f>+'WP-2, pg 2 - Labor Increase'!A46</f>
        <v>Kevin T. Ray</v>
      </c>
      <c r="B46" s="277">
        <v>6663.74</v>
      </c>
      <c r="C46" s="277">
        <v>639</v>
      </c>
      <c r="D46" s="277">
        <f t="shared" si="14"/>
        <v>97.9</v>
      </c>
      <c r="E46" s="277">
        <v>2176.19</v>
      </c>
      <c r="F46" s="277">
        <v>1500</v>
      </c>
      <c r="G46" s="277"/>
      <c r="H46" s="776">
        <f t="shared" si="15"/>
        <v>7206.24</v>
      </c>
      <c r="I46" s="777">
        <f t="shared" si="16"/>
        <v>653.40000000000009</v>
      </c>
      <c r="J46" s="277">
        <f t="shared" si="17"/>
        <v>106.80000000000001</v>
      </c>
      <c r="K46" s="277">
        <v>1500</v>
      </c>
      <c r="L46" s="277">
        <f>+'WP-2, pg 2 - Labor Increase'!R46*0.04</f>
        <v>2324.2367187199998</v>
      </c>
      <c r="M46" s="277"/>
      <c r="N46" s="277"/>
      <c r="O46" s="307"/>
      <c r="P46" s="307"/>
      <c r="Q46" s="302"/>
      <c r="R46" s="302"/>
      <c r="S46" s="277"/>
      <c r="T46" s="277"/>
      <c r="U46" s="277"/>
    </row>
    <row r="47" spans="1:21">
      <c r="A47" s="276" t="str">
        <f>+'WP-2, pg 2 - Labor Increase'!A47</f>
        <v>Brent E. Tilson</v>
      </c>
      <c r="B47" s="277">
        <v>6663.74</v>
      </c>
      <c r="C47" s="277">
        <v>639</v>
      </c>
      <c r="D47" s="277">
        <f t="shared" si="14"/>
        <v>97.9</v>
      </c>
      <c r="E47" s="277">
        <v>2272.1999999999998</v>
      </c>
      <c r="F47" s="277">
        <v>1500</v>
      </c>
      <c r="G47" s="277"/>
      <c r="H47" s="776">
        <f t="shared" si="15"/>
        <v>7206.24</v>
      </c>
      <c r="I47" s="777">
        <f t="shared" si="16"/>
        <v>653.40000000000009</v>
      </c>
      <c r="J47" s="277">
        <f t="shared" si="17"/>
        <v>106.80000000000001</v>
      </c>
      <c r="K47" s="277">
        <v>1500</v>
      </c>
      <c r="L47" s="277">
        <f>+'WP-2, pg 2 - Labor Increase'!R47*0.04</f>
        <v>2456.1132602999996</v>
      </c>
      <c r="M47" s="277"/>
      <c r="N47" s="277"/>
      <c r="O47" s="307"/>
      <c r="P47" s="307"/>
      <c r="Q47" s="302"/>
      <c r="R47" s="302"/>
      <c r="S47" s="277"/>
      <c r="T47" s="277"/>
      <c r="U47" s="277"/>
    </row>
    <row r="48" spans="1:21">
      <c r="A48" s="276" t="str">
        <f>+'WP-2, pg 2 - Labor Increase'!A48</f>
        <v>Jerry Thomas Trumble</v>
      </c>
      <c r="B48" s="277">
        <v>5551.04</v>
      </c>
      <c r="C48" s="277">
        <v>639</v>
      </c>
      <c r="D48" s="277">
        <f t="shared" si="14"/>
        <v>97.9</v>
      </c>
      <c r="E48" s="277">
        <v>1719.58</v>
      </c>
      <c r="F48" s="277">
        <v>0</v>
      </c>
      <c r="G48" s="277"/>
      <c r="H48" s="776">
        <v>0</v>
      </c>
      <c r="I48" s="777">
        <v>0</v>
      </c>
      <c r="J48" s="777"/>
      <c r="K48" s="777"/>
      <c r="L48" s="777"/>
      <c r="M48" s="277"/>
      <c r="N48" s="277"/>
      <c r="O48" s="307"/>
      <c r="P48" s="307"/>
      <c r="Q48" s="302"/>
      <c r="R48" s="302"/>
      <c r="S48" s="277"/>
      <c r="T48" s="277"/>
      <c r="U48" s="277"/>
    </row>
    <row r="49" spans="1:21">
      <c r="A49" s="276" t="str">
        <f>+'WP-2, pg 2 - Labor Increase'!A49</f>
        <v>Dennys Valverde</v>
      </c>
      <c r="B49" s="277">
        <v>6663.74</v>
      </c>
      <c r="C49" s="277">
        <v>639</v>
      </c>
      <c r="D49" s="277">
        <f t="shared" si="14"/>
        <v>97.9</v>
      </c>
      <c r="E49" s="277">
        <v>2106.5100000000002</v>
      </c>
      <c r="F49" s="277">
        <v>1500</v>
      </c>
      <c r="G49" s="277"/>
      <c r="H49" s="776">
        <f t="shared" ref="H49:H53" si="18">600.52*12</f>
        <v>7206.24</v>
      </c>
      <c r="I49" s="777">
        <f t="shared" ref="I49:I53" si="19">54.45*12</f>
        <v>653.40000000000009</v>
      </c>
      <c r="J49" s="277">
        <f t="shared" ref="J49:J53" si="20">8.9*12</f>
        <v>106.80000000000001</v>
      </c>
      <c r="K49" s="277">
        <v>1500</v>
      </c>
      <c r="L49" s="277">
        <f>+'WP-2, pg 2 - Labor Increase'!R49*0.04</f>
        <v>2383.2692809</v>
      </c>
      <c r="M49" s="277"/>
      <c r="N49" s="277"/>
      <c r="O49" s="307"/>
      <c r="P49" s="307"/>
      <c r="Q49" s="302"/>
      <c r="R49" s="302"/>
      <c r="S49" s="277"/>
      <c r="T49" s="277"/>
      <c r="U49" s="277"/>
    </row>
    <row r="50" spans="1:21">
      <c r="A50" s="276" t="str">
        <f>+'WP-2, pg 2 - Labor Increase'!A50</f>
        <v>Scott R. Webb</v>
      </c>
      <c r="B50" s="277">
        <v>6663.74</v>
      </c>
      <c r="C50" s="277">
        <v>639</v>
      </c>
      <c r="D50" s="277">
        <f t="shared" si="14"/>
        <v>97.9</v>
      </c>
      <c r="E50" s="277">
        <v>2795.04</v>
      </c>
      <c r="F50" s="277">
        <v>1500</v>
      </c>
      <c r="G50" s="277"/>
      <c r="H50" s="776">
        <f t="shared" si="18"/>
        <v>7206.24</v>
      </c>
      <c r="I50" s="777">
        <f t="shared" si="19"/>
        <v>653.40000000000009</v>
      </c>
      <c r="J50" s="277">
        <f t="shared" si="20"/>
        <v>106.80000000000001</v>
      </c>
      <c r="K50" s="277">
        <v>1500</v>
      </c>
      <c r="L50" s="277">
        <f>+'WP-2, pg 2 - Labor Increase'!R50*0.04</f>
        <v>2949.5030278000008</v>
      </c>
      <c r="M50" s="277"/>
      <c r="N50" s="277"/>
      <c r="O50" s="307"/>
      <c r="P50" s="307"/>
      <c r="Q50" s="302"/>
      <c r="R50" s="302"/>
      <c r="S50" s="277"/>
      <c r="T50" s="277"/>
      <c r="U50" s="277"/>
    </row>
    <row r="51" spans="1:21">
      <c r="A51" s="276" t="str">
        <f>+'WP-2, pg 2 - Labor Increase'!A51</f>
        <v>Anthony J. Williamson</v>
      </c>
      <c r="B51" s="277">
        <v>6511.87</v>
      </c>
      <c r="C51" s="277">
        <v>639</v>
      </c>
      <c r="D51" s="277">
        <f t="shared" si="14"/>
        <v>97.9</v>
      </c>
      <c r="E51" s="277">
        <v>2776.11</v>
      </c>
      <c r="F51" s="277">
        <v>1500</v>
      </c>
      <c r="G51" s="277"/>
      <c r="H51" s="776">
        <f t="shared" si="18"/>
        <v>7206.24</v>
      </c>
      <c r="I51" s="777">
        <f t="shared" si="19"/>
        <v>653.40000000000009</v>
      </c>
      <c r="J51" s="277">
        <f t="shared" si="20"/>
        <v>106.80000000000001</v>
      </c>
      <c r="K51" s="277">
        <v>1500</v>
      </c>
      <c r="L51" s="277">
        <f>+'WP-2, pg 2 - Labor Increase'!R51*0.04</f>
        <v>3018.1890039200002</v>
      </c>
      <c r="M51" s="277"/>
      <c r="N51" s="277"/>
      <c r="O51" s="307"/>
      <c r="P51" s="307"/>
      <c r="Q51" s="302"/>
      <c r="R51" s="302"/>
      <c r="S51" s="277"/>
      <c r="T51" s="277"/>
      <c r="U51" s="277"/>
    </row>
    <row r="52" spans="1:21">
      <c r="A52" s="276" t="str">
        <f>+'WP-2, pg 2 - Labor Increase'!A52</f>
        <v>Nathan F. Winter</v>
      </c>
      <c r="B52" s="277">
        <v>6663.74</v>
      </c>
      <c r="C52" s="277">
        <v>639</v>
      </c>
      <c r="D52" s="277">
        <f t="shared" si="14"/>
        <v>97.9</v>
      </c>
      <c r="E52" s="277">
        <v>1970.71</v>
      </c>
      <c r="F52" s="277">
        <v>1500</v>
      </c>
      <c r="G52" s="277"/>
      <c r="H52" s="776">
        <f t="shared" si="18"/>
        <v>7206.24</v>
      </c>
      <c r="I52" s="277">
        <f t="shared" si="19"/>
        <v>653.40000000000009</v>
      </c>
      <c r="J52" s="277">
        <f t="shared" si="20"/>
        <v>106.80000000000001</v>
      </c>
      <c r="K52" s="277">
        <v>1500</v>
      </c>
      <c r="L52" s="277">
        <f>+'WP-2, pg 2 - Labor Increase'!R52*0.04</f>
        <v>2160.4698149800006</v>
      </c>
      <c r="M52" s="277"/>
      <c r="N52" s="277"/>
      <c r="O52" s="307"/>
      <c r="P52" s="307"/>
      <c r="Q52" s="302"/>
      <c r="R52" s="302"/>
      <c r="S52" s="277"/>
      <c r="T52" s="277"/>
      <c r="U52" s="277"/>
    </row>
    <row r="53" spans="1:21">
      <c r="A53" s="624" t="str">
        <f>+'WP-2, pg 2 - Labor Increase'!A53</f>
        <v>Elizabeth L Hernandez</v>
      </c>
      <c r="B53" s="277"/>
      <c r="C53" s="277"/>
      <c r="D53" s="277"/>
      <c r="E53" s="277"/>
      <c r="F53" s="277"/>
      <c r="G53" s="277"/>
      <c r="H53" s="776">
        <f t="shared" si="18"/>
        <v>7206.24</v>
      </c>
      <c r="I53" s="777">
        <f t="shared" si="19"/>
        <v>653.40000000000009</v>
      </c>
      <c r="J53" s="277">
        <f t="shared" si="20"/>
        <v>106.80000000000001</v>
      </c>
      <c r="K53" s="277">
        <v>1500</v>
      </c>
      <c r="L53" s="277"/>
      <c r="M53" s="277"/>
      <c r="N53" s="277"/>
      <c r="O53" s="307"/>
      <c r="P53" s="307"/>
      <c r="Q53" s="302"/>
      <c r="R53" s="302"/>
      <c r="S53" s="277"/>
      <c r="T53" s="277"/>
      <c r="U53" s="277"/>
    </row>
    <row r="54" spans="1:21">
      <c r="A54" s="624" t="str">
        <f>+'WP-2, pg 2 - Labor Increase'!A54</f>
        <v>Joel S Johnson</v>
      </c>
      <c r="B54" s="277"/>
      <c r="C54" s="277"/>
      <c r="D54" s="277"/>
      <c r="E54" s="277"/>
      <c r="F54" s="277"/>
      <c r="G54" s="778"/>
      <c r="H54" s="277"/>
      <c r="I54" s="277"/>
      <c r="J54" s="277"/>
      <c r="K54" s="277">
        <v>1500</v>
      </c>
      <c r="L54" s="277"/>
      <c r="M54" s="277"/>
      <c r="N54" s="277"/>
      <c r="O54" s="307"/>
      <c r="P54" s="307"/>
      <c r="Q54" s="302"/>
      <c r="R54" s="302"/>
      <c r="S54" s="277"/>
      <c r="T54" s="277"/>
      <c r="U54" s="277"/>
    </row>
    <row r="55" spans="1:21">
      <c r="A55" s="602" t="str">
        <f>+'WP-2, pg 2 - Labor Increase'!A55</f>
        <v>DRIVERS</v>
      </c>
      <c r="B55" s="606">
        <f>SUM(B29:B54)</f>
        <v>151445.1</v>
      </c>
      <c r="C55" s="606">
        <f t="shared" ref="C55:F55" si="21">SUM(C29:C54)</f>
        <v>14537.25</v>
      </c>
      <c r="D55" s="606">
        <f t="shared" si="21"/>
        <v>2233.900000000001</v>
      </c>
      <c r="E55" s="606">
        <f t="shared" si="21"/>
        <v>50697.69</v>
      </c>
      <c r="F55" s="606">
        <f t="shared" si="21"/>
        <v>32875</v>
      </c>
      <c r="G55" s="779">
        <f>SUM(B55:F55)</f>
        <v>251788.94</v>
      </c>
      <c r="H55" s="296">
        <f>SUM(H29:H54)</f>
        <v>165743.51999999999</v>
      </c>
      <c r="I55" s="296">
        <f t="shared" ref="I55:L55" si="22">SUM(I29:I54)</f>
        <v>15028.199999999995</v>
      </c>
      <c r="J55" s="296">
        <f t="shared" si="22"/>
        <v>2456.4</v>
      </c>
      <c r="K55" s="296">
        <f t="shared" si="22"/>
        <v>36000</v>
      </c>
      <c r="L55" s="296">
        <f t="shared" si="22"/>
        <v>57750.404084420021</v>
      </c>
      <c r="M55" s="296">
        <f>SUM(H55:L55)</f>
        <v>276978.52408442</v>
      </c>
      <c r="N55" s="277"/>
      <c r="O55" s="307"/>
      <c r="P55" s="277">
        <f>+G55</f>
        <v>251788.94</v>
      </c>
      <c r="Q55" s="609">
        <f>+'WP -11 Non-Regulated'!$K$29*P55</f>
        <v>118378.00074711494</v>
      </c>
      <c r="R55" s="310">
        <f>+M55</f>
        <v>276978.52408442</v>
      </c>
      <c r="S55" s="609">
        <f>+'WP -11 Non-Regulated'!$K$29*R55</f>
        <v>130220.82674084201</v>
      </c>
      <c r="T55" s="277"/>
      <c r="U55" s="277"/>
    </row>
    <row r="56" spans="1:21">
      <c r="A56" s="276"/>
      <c r="B56" s="277"/>
      <c r="C56" s="277"/>
      <c r="D56" s="277"/>
      <c r="E56" s="277"/>
      <c r="F56" s="277"/>
      <c r="G56" s="277"/>
      <c r="H56" s="776"/>
      <c r="I56" s="277"/>
      <c r="J56" s="277"/>
      <c r="K56" s="277"/>
      <c r="L56" s="277"/>
      <c r="M56" s="277"/>
      <c r="N56" s="277"/>
      <c r="O56" s="307"/>
      <c r="P56" s="307"/>
      <c r="Q56" s="302"/>
      <c r="R56" s="302"/>
      <c r="S56" s="277"/>
      <c r="T56" s="277"/>
      <c r="U56" s="277"/>
    </row>
    <row r="57" spans="1:21">
      <c r="A57" s="276" t="str">
        <f>+'WP-2, pg 2 - Labor Increase'!A57</f>
        <v>Darren M. Bryant</v>
      </c>
      <c r="B57" s="277">
        <v>1100.24</v>
      </c>
      <c r="C57" s="277">
        <v>213</v>
      </c>
      <c r="D57" s="277">
        <f>8.9*4</f>
        <v>35.6</v>
      </c>
      <c r="E57" s="277">
        <v>0</v>
      </c>
      <c r="F57" s="277">
        <v>0</v>
      </c>
      <c r="G57" s="277"/>
      <c r="H57" s="776"/>
      <c r="I57" s="277"/>
      <c r="J57" s="277"/>
      <c r="K57" s="277">
        <v>0</v>
      </c>
      <c r="L57" s="277"/>
      <c r="M57" s="277"/>
      <c r="N57" s="277"/>
      <c r="O57" s="307"/>
      <c r="P57" s="307"/>
      <c r="Q57" s="302"/>
      <c r="R57" s="302"/>
      <c r="S57" s="277"/>
      <c r="T57" s="277"/>
      <c r="U57" s="277"/>
    </row>
    <row r="58" spans="1:21">
      <c r="A58" s="276" t="str">
        <f>+'WP-2, pg 2 - Labor Increase'!A58</f>
        <v>Anthony E. Bunney</v>
      </c>
      <c r="B58" s="277">
        <v>6663.74</v>
      </c>
      <c r="C58" s="277">
        <v>639</v>
      </c>
      <c r="D58" s="277">
        <f t="shared" ref="D58:D65" si="23">8.9*11</f>
        <v>97.9</v>
      </c>
      <c r="E58" s="277">
        <v>2266.48</v>
      </c>
      <c r="F58" s="277">
        <v>1500</v>
      </c>
      <c r="G58" s="277"/>
      <c r="H58" s="776">
        <f>600.52*12</f>
        <v>7206.24</v>
      </c>
      <c r="I58" s="777">
        <f>54.45*12</f>
        <v>653.40000000000009</v>
      </c>
      <c r="J58" s="277">
        <f>8.9*12</f>
        <v>106.80000000000001</v>
      </c>
      <c r="K58" s="277">
        <v>1500</v>
      </c>
      <c r="L58" s="277">
        <f>+'WP-2, pg 2 - Labor Increase'!R58*0.04</f>
        <v>2443.8163680000002</v>
      </c>
      <c r="M58" s="277"/>
      <c r="N58" s="277"/>
      <c r="O58" s="307"/>
      <c r="P58" s="307"/>
      <c r="Q58" s="302"/>
      <c r="R58" s="302"/>
      <c r="S58" s="277"/>
      <c r="T58" s="277"/>
      <c r="U58" s="277"/>
    </row>
    <row r="59" spans="1:21">
      <c r="A59" s="276" t="str">
        <f>+'WP-2, pg 2 - Labor Increase'!A59</f>
        <v>Bailey B. Bunney</v>
      </c>
      <c r="B59" s="277">
        <v>5007</v>
      </c>
      <c r="C59" s="277">
        <v>426</v>
      </c>
      <c r="D59" s="277">
        <f>8.9*9</f>
        <v>80.100000000000009</v>
      </c>
      <c r="E59" s="277">
        <v>172.71</v>
      </c>
      <c r="F59" s="277">
        <v>1000</v>
      </c>
      <c r="G59" s="277"/>
      <c r="H59" s="776"/>
      <c r="I59" s="777"/>
      <c r="J59" s="277"/>
      <c r="K59" s="277">
        <v>0</v>
      </c>
      <c r="L59" s="277"/>
      <c r="M59" s="277"/>
      <c r="N59" s="277"/>
      <c r="O59" s="307"/>
      <c r="P59" s="307"/>
      <c r="Q59" s="302"/>
      <c r="R59" s="302"/>
      <c r="S59" s="277"/>
      <c r="T59" s="277"/>
      <c r="U59" s="277"/>
    </row>
    <row r="60" spans="1:21">
      <c r="A60" s="276" t="str">
        <f>+'WP-2, pg 2 - Labor Increase'!A60</f>
        <v>Cameron O. Bunney</v>
      </c>
      <c r="B60" s="277">
        <v>2630</v>
      </c>
      <c r="C60" s="277">
        <v>426</v>
      </c>
      <c r="D60" s="277">
        <f>8.9*9</f>
        <v>80.100000000000009</v>
      </c>
      <c r="E60" s="277">
        <v>175.3</v>
      </c>
      <c r="F60" s="277">
        <v>1000</v>
      </c>
      <c r="G60" s="277"/>
      <c r="H60" s="776">
        <f>324.07*12</f>
        <v>3888.84</v>
      </c>
      <c r="I60" s="777">
        <f>54.45*12</f>
        <v>653.40000000000009</v>
      </c>
      <c r="J60" s="277">
        <f t="shared" ref="J60:J63" si="24">8.9*12</f>
        <v>106.80000000000001</v>
      </c>
      <c r="K60" s="277">
        <v>1500</v>
      </c>
      <c r="L60" s="277">
        <f>+'WP-2, pg 2 - Labor Increase'!R60*0.04</f>
        <v>1499.2072000000001</v>
      </c>
      <c r="M60" s="277"/>
      <c r="N60" s="277"/>
      <c r="O60" s="307"/>
      <c r="P60" s="307"/>
      <c r="Q60" s="302"/>
      <c r="R60" s="302"/>
      <c r="S60" s="277"/>
      <c r="T60" s="277"/>
      <c r="U60" s="277"/>
    </row>
    <row r="61" spans="1:21">
      <c r="A61" s="624" t="str">
        <f>+'WP-2, pg 2 - Labor Increase'!A61</f>
        <v>Anthony J Bunney</v>
      </c>
      <c r="B61" s="277"/>
      <c r="C61" s="277"/>
      <c r="D61" s="277"/>
      <c r="E61" s="277"/>
      <c r="F61" s="277"/>
      <c r="G61" s="277"/>
      <c r="H61" s="776">
        <v>0</v>
      </c>
      <c r="I61" s="777">
        <v>0</v>
      </c>
      <c r="J61" s="277">
        <v>0</v>
      </c>
      <c r="K61" s="277">
        <v>1500</v>
      </c>
      <c r="L61" s="277"/>
      <c r="M61" s="277"/>
      <c r="N61" s="277"/>
      <c r="O61" s="307"/>
      <c r="P61" s="307"/>
      <c r="Q61" s="302"/>
      <c r="R61" s="302"/>
      <c r="S61" s="277"/>
      <c r="T61" s="277"/>
      <c r="U61" s="277"/>
    </row>
    <row r="62" spans="1:21">
      <c r="A62" s="276" t="str">
        <f>+'WP-2, pg 2 - Labor Increase'!A62</f>
        <v>Samantha Jo Gausin</v>
      </c>
      <c r="B62" s="277">
        <v>6663.74</v>
      </c>
      <c r="C62" s="277">
        <v>639</v>
      </c>
      <c r="D62" s="277">
        <f t="shared" si="23"/>
        <v>97.9</v>
      </c>
      <c r="E62" s="277">
        <v>590.4</v>
      </c>
      <c r="F62" s="277">
        <v>1875</v>
      </c>
      <c r="G62" s="277"/>
      <c r="H62" s="776"/>
      <c r="I62" s="777"/>
      <c r="J62" s="277"/>
      <c r="K62" s="277">
        <v>0</v>
      </c>
      <c r="L62" s="277"/>
      <c r="M62" s="277"/>
      <c r="N62" s="277"/>
      <c r="O62" s="307"/>
      <c r="P62" s="307"/>
      <c r="Q62" s="302"/>
      <c r="R62" s="302"/>
      <c r="S62" s="277"/>
      <c r="T62" s="277"/>
      <c r="U62" s="277"/>
    </row>
    <row r="63" spans="1:21">
      <c r="A63" s="276" t="str">
        <f>+'WP-2, pg 2 - Labor Increase'!A63</f>
        <v>William J. Langendorf</v>
      </c>
      <c r="B63" s="277">
        <v>6663.74</v>
      </c>
      <c r="C63" s="277">
        <v>639</v>
      </c>
      <c r="D63" s="277">
        <f t="shared" si="23"/>
        <v>97.9</v>
      </c>
      <c r="E63" s="277">
        <v>1925.53</v>
      </c>
      <c r="F63" s="277">
        <v>1500</v>
      </c>
      <c r="G63" s="277"/>
      <c r="H63" s="776">
        <f>600.52*12</f>
        <v>7206.24</v>
      </c>
      <c r="I63" s="777">
        <f>54.45*12</f>
        <v>653.40000000000009</v>
      </c>
      <c r="J63" s="277">
        <f t="shared" si="24"/>
        <v>106.80000000000001</v>
      </c>
      <c r="K63" s="277">
        <v>1500</v>
      </c>
      <c r="L63" s="277">
        <f>+'WP-2, pg 2 - Labor Increase'!R63*0.04</f>
        <v>1952.0492160000006</v>
      </c>
      <c r="M63" s="277"/>
      <c r="N63" s="277"/>
      <c r="O63" s="307"/>
      <c r="P63" s="307"/>
      <c r="Q63" s="302"/>
      <c r="R63" s="302"/>
      <c r="S63" s="277"/>
      <c r="T63" s="277"/>
      <c r="U63" s="277"/>
    </row>
    <row r="64" spans="1:21">
      <c r="A64" s="276" t="str">
        <f>+'WP-2, pg 2 - Labor Increase'!A64</f>
        <v>Nicholas L. Piper</v>
      </c>
      <c r="B64" s="277">
        <v>2769.29</v>
      </c>
      <c r="C64" s="277">
        <v>372.75</v>
      </c>
      <c r="D64" s="277">
        <f>8.9*4</f>
        <v>35.6</v>
      </c>
      <c r="E64" s="277">
        <v>70.5</v>
      </c>
      <c r="F64" s="277">
        <v>0</v>
      </c>
      <c r="G64" s="277"/>
      <c r="H64" s="776"/>
      <c r="I64" s="777"/>
      <c r="J64" s="277"/>
      <c r="K64" s="277">
        <v>0</v>
      </c>
      <c r="L64" s="277"/>
      <c r="M64" s="277"/>
      <c r="N64" s="277"/>
      <c r="O64" s="307"/>
      <c r="P64" s="307"/>
      <c r="Q64" s="302"/>
      <c r="R64" s="302"/>
      <c r="S64" s="277"/>
      <c r="T64" s="277"/>
      <c r="U64" s="277"/>
    </row>
    <row r="65" spans="1:21">
      <c r="A65" s="276" t="str">
        <f>+'WP-2, pg 2 - Labor Increase'!A65</f>
        <v>Kyle D. Zeigler</v>
      </c>
      <c r="B65" s="277">
        <v>1100.24</v>
      </c>
      <c r="C65" s="277">
        <v>213</v>
      </c>
      <c r="D65" s="277">
        <f t="shared" si="23"/>
        <v>97.9</v>
      </c>
      <c r="E65" s="277">
        <v>0</v>
      </c>
      <c r="F65" s="277">
        <v>0</v>
      </c>
      <c r="G65" s="277"/>
      <c r="H65" s="776"/>
      <c r="I65" s="277"/>
      <c r="J65" s="277"/>
      <c r="K65" s="277">
        <v>0</v>
      </c>
      <c r="L65" s="277"/>
      <c r="M65" s="277"/>
      <c r="N65" s="277"/>
      <c r="O65" s="307"/>
      <c r="P65" s="307"/>
      <c r="Q65" s="302"/>
      <c r="R65" s="302"/>
      <c r="S65" s="277"/>
      <c r="T65" s="277"/>
      <c r="U65" s="277"/>
    </row>
    <row r="66" spans="1:21">
      <c r="A66" s="624" t="str">
        <f>+'WP-2, pg 2 - Labor Increase'!A66</f>
        <v>Garrett C Wood</v>
      </c>
      <c r="B66" s="277"/>
      <c r="C66" s="277"/>
      <c r="D66" s="277"/>
      <c r="E66" s="277"/>
      <c r="F66" s="277"/>
      <c r="G66" s="277"/>
      <c r="H66" s="776"/>
      <c r="I66" s="277"/>
      <c r="J66" s="277"/>
      <c r="K66" s="277">
        <v>1500</v>
      </c>
      <c r="L66" s="277"/>
      <c r="M66" s="277"/>
      <c r="N66" s="277"/>
      <c r="O66" s="307"/>
      <c r="P66" s="307"/>
      <c r="Q66" s="302"/>
      <c r="R66" s="302"/>
      <c r="S66" s="277"/>
      <c r="T66" s="277"/>
      <c r="U66" s="277"/>
    </row>
    <row r="67" spans="1:21">
      <c r="A67" s="276"/>
      <c r="B67" s="277"/>
      <c r="C67" s="277"/>
      <c r="D67" s="277"/>
      <c r="E67" s="277"/>
      <c r="F67" s="277"/>
      <c r="G67" s="277"/>
      <c r="H67" s="776"/>
      <c r="I67" s="277"/>
      <c r="J67" s="277"/>
      <c r="K67" s="277"/>
      <c r="L67" s="277"/>
      <c r="M67" s="277"/>
      <c r="N67" s="277"/>
      <c r="O67" s="307"/>
      <c r="P67" s="307"/>
      <c r="Q67" s="302"/>
      <c r="R67" s="302"/>
      <c r="S67" s="277"/>
      <c r="T67" s="277"/>
      <c r="U67" s="277"/>
    </row>
    <row r="68" spans="1:21">
      <c r="A68" s="602" t="str">
        <f>+'WP-2, pg 2 - Labor Increase'!A67</f>
        <v>TRANSFER/RECYCLE</v>
      </c>
      <c r="B68" s="606">
        <f>SUM(B57:B66)</f>
        <v>32597.99</v>
      </c>
      <c r="C68" s="606">
        <f t="shared" ref="C68:F68" si="25">SUM(C57:C66)</f>
        <v>3567.75</v>
      </c>
      <c r="D68" s="606">
        <f t="shared" si="25"/>
        <v>623</v>
      </c>
      <c r="E68" s="606">
        <f t="shared" si="25"/>
        <v>5200.92</v>
      </c>
      <c r="F68" s="606">
        <f t="shared" si="25"/>
        <v>6875</v>
      </c>
      <c r="G68" s="779">
        <f>SUM(B68:F68)</f>
        <v>48864.66</v>
      </c>
      <c r="H68" s="296">
        <f>SUM(H57:H66)</f>
        <v>18301.32</v>
      </c>
      <c r="I68" s="296">
        <f t="shared" ref="I68:L68" si="26">SUM(I57:I66)</f>
        <v>1960.2000000000003</v>
      </c>
      <c r="J68" s="296">
        <f t="shared" si="26"/>
        <v>320.40000000000003</v>
      </c>
      <c r="K68" s="296">
        <f t="shared" si="26"/>
        <v>7500</v>
      </c>
      <c r="L68" s="296">
        <f t="shared" si="26"/>
        <v>5895.0727840000009</v>
      </c>
      <c r="M68" s="296">
        <f>SUM(H68:L68)</f>
        <v>33976.992784000002</v>
      </c>
      <c r="N68" s="277"/>
      <c r="O68" s="307"/>
      <c r="P68" s="277">
        <f>+G68</f>
        <v>48864.66</v>
      </c>
      <c r="Q68" s="302">
        <f>+'WP-9 - Disposal'!$S$20*P68</f>
        <v>11321.892562889721</v>
      </c>
      <c r="R68" s="310">
        <f>+M68</f>
        <v>33976.992784000002</v>
      </c>
      <c r="S68" s="302">
        <f>+'WP-9 - Disposal'!$S$20*R68</f>
        <v>7872.4350463203327</v>
      </c>
      <c r="T68" s="277"/>
    </row>
    <row r="69" spans="1:21">
      <c r="A69" s="602"/>
      <c r="B69" s="277"/>
      <c r="C69" s="277"/>
      <c r="D69" s="277"/>
      <c r="E69" s="277"/>
      <c r="F69" s="277"/>
      <c r="G69" s="277"/>
      <c r="H69" s="776"/>
      <c r="I69" s="277"/>
      <c r="J69" s="277"/>
      <c r="K69" s="277"/>
      <c r="L69" s="277"/>
      <c r="M69" s="277"/>
      <c r="N69" s="277"/>
      <c r="O69" s="307"/>
      <c r="P69" s="277"/>
      <c r="Q69" s="302"/>
      <c r="R69" s="310"/>
      <c r="S69" s="302"/>
      <c r="T69" s="277"/>
    </row>
    <row r="70" spans="1:21">
      <c r="A70" s="276" t="str">
        <f>+'WP-2, pg 2 - Labor Increase'!A69</f>
        <v>Melton R. Langendorf</v>
      </c>
      <c r="B70" s="277">
        <v>6663.74</v>
      </c>
      <c r="C70" s="277">
        <v>639</v>
      </c>
      <c r="D70" s="277">
        <f t="shared" ref="D70:D73" si="27">8.9*11</f>
        <v>97.9</v>
      </c>
      <c r="E70" s="277">
        <v>3378.22</v>
      </c>
      <c r="F70" s="277">
        <v>1500</v>
      </c>
      <c r="G70" s="277"/>
      <c r="H70" s="776">
        <f t="shared" ref="H70:H74" si="28">600.52*12</f>
        <v>7206.24</v>
      </c>
      <c r="I70" s="777">
        <f t="shared" ref="I70:I74" si="29">54.45*12</f>
        <v>653.40000000000009</v>
      </c>
      <c r="J70" s="277">
        <f t="shared" ref="J70:J74" si="30">8.89*12</f>
        <v>106.68</v>
      </c>
      <c r="K70" s="277">
        <v>1500</v>
      </c>
      <c r="L70" s="277">
        <f>+'WP-2, pg 2 - Labor Increase'!R69*0.04</f>
        <v>3555.0557830400003</v>
      </c>
      <c r="M70" s="277"/>
      <c r="N70" s="277"/>
      <c r="O70" s="307"/>
      <c r="P70" s="307"/>
      <c r="Q70" s="302"/>
      <c r="R70" s="302"/>
      <c r="S70" s="277"/>
      <c r="T70" s="277"/>
    </row>
    <row r="71" spans="1:21">
      <c r="A71" s="276" t="str">
        <f>+'WP-2, pg 2 - Labor Increase'!A70</f>
        <v>Aaron K. Larsen</v>
      </c>
      <c r="B71" s="277">
        <v>11339.34</v>
      </c>
      <c r="C71" s="277">
        <v>1396.2</v>
      </c>
      <c r="D71" s="277">
        <f t="shared" si="27"/>
        <v>97.9</v>
      </c>
      <c r="E71" s="277">
        <v>2026.21</v>
      </c>
      <c r="F71" s="277">
        <v>0</v>
      </c>
      <c r="G71" s="277"/>
      <c r="H71" s="776"/>
      <c r="I71" s="777"/>
      <c r="J71" s="277"/>
      <c r="K71" s="277">
        <v>0</v>
      </c>
      <c r="L71" s="277"/>
      <c r="M71" s="277"/>
      <c r="N71" s="277"/>
      <c r="O71" s="307"/>
      <c r="P71" s="307"/>
      <c r="Q71" s="302"/>
      <c r="R71" s="302"/>
      <c r="S71" s="277"/>
      <c r="T71" s="277"/>
    </row>
    <row r="72" spans="1:21">
      <c r="A72" s="276" t="str">
        <f>+'WP-2, pg 2 - Labor Increase'!A71</f>
        <v>Jason Joel Ray</v>
      </c>
      <c r="B72" s="277">
        <v>6663.74</v>
      </c>
      <c r="C72" s="277">
        <v>639</v>
      </c>
      <c r="D72" s="277">
        <f t="shared" si="27"/>
        <v>97.9</v>
      </c>
      <c r="E72" s="277">
        <v>3049.74</v>
      </c>
      <c r="F72" s="277">
        <v>1500</v>
      </c>
      <c r="G72" s="277"/>
      <c r="H72" s="776">
        <f t="shared" ref="H72:H73" si="31">600.52*12</f>
        <v>7206.24</v>
      </c>
      <c r="I72" s="777">
        <f t="shared" ref="I72:I73" si="32">54.45*12</f>
        <v>653.40000000000009</v>
      </c>
      <c r="J72" s="277">
        <f t="shared" ref="J72:J73" si="33">8.89*12</f>
        <v>106.68</v>
      </c>
      <c r="K72" s="277">
        <v>1500</v>
      </c>
      <c r="L72" s="277">
        <f>+'WP-2, pg 2 - Labor Increase'!R71*0.04</f>
        <v>3221.4544380000007</v>
      </c>
      <c r="M72" s="277"/>
      <c r="N72" s="277"/>
      <c r="O72" s="307"/>
      <c r="P72" s="307"/>
      <c r="Q72" s="302"/>
      <c r="R72" s="302"/>
      <c r="S72" s="277"/>
      <c r="T72" s="277"/>
    </row>
    <row r="73" spans="1:21">
      <c r="A73" s="276" t="str">
        <f>+'WP-2, pg 2 - Labor Increase'!A72</f>
        <v>Jason E. Reed</v>
      </c>
      <c r="B73" s="277">
        <v>6663.74</v>
      </c>
      <c r="C73" s="277">
        <v>639</v>
      </c>
      <c r="D73" s="277">
        <f t="shared" si="27"/>
        <v>97.9</v>
      </c>
      <c r="E73" s="277">
        <v>2580.1999999999998</v>
      </c>
      <c r="F73" s="277">
        <v>1500</v>
      </c>
      <c r="G73" s="277"/>
      <c r="H73" s="776">
        <f t="shared" si="31"/>
        <v>7206.24</v>
      </c>
      <c r="I73" s="777">
        <f t="shared" si="32"/>
        <v>653.40000000000009</v>
      </c>
      <c r="J73" s="277">
        <f t="shared" si="33"/>
        <v>106.68</v>
      </c>
      <c r="K73" s="277">
        <v>1500</v>
      </c>
      <c r="L73" s="277">
        <f>+'WP-2, pg 2 - Labor Increase'!R72*0.04</f>
        <v>2731.1370967999997</v>
      </c>
      <c r="M73" s="277"/>
      <c r="N73" s="277"/>
      <c r="O73" s="307"/>
      <c r="P73" s="307"/>
      <c r="Q73" s="302"/>
      <c r="R73" s="302"/>
      <c r="S73" s="277"/>
      <c r="T73" s="277"/>
    </row>
    <row r="74" spans="1:21" s="619" customFormat="1">
      <c r="A74" s="624" t="s">
        <v>1147</v>
      </c>
      <c r="B74" s="747"/>
      <c r="C74" s="747"/>
      <c r="D74" s="747"/>
      <c r="E74" s="747">
        <v>0</v>
      </c>
      <c r="F74" s="747"/>
      <c r="G74" s="747"/>
      <c r="H74" s="776">
        <f t="shared" si="28"/>
        <v>7206.24</v>
      </c>
      <c r="I74" s="777">
        <f t="shared" si="29"/>
        <v>653.40000000000009</v>
      </c>
      <c r="J74" s="277">
        <f t="shared" si="30"/>
        <v>106.68</v>
      </c>
      <c r="K74" s="277">
        <v>1500</v>
      </c>
      <c r="L74" s="277"/>
      <c r="M74" s="277"/>
      <c r="N74" s="747"/>
      <c r="O74" s="769"/>
      <c r="P74" s="769"/>
      <c r="Q74" s="633"/>
      <c r="R74" s="633"/>
      <c r="S74" s="747"/>
      <c r="T74" s="747"/>
    </row>
    <row r="75" spans="1:21">
      <c r="A75" s="602" t="str">
        <f>+'WP-2, pg 2 - Labor Increase'!A74</f>
        <v>MECHANICS</v>
      </c>
      <c r="B75" s="606">
        <f>SUM(B70:B74)</f>
        <v>31330.559999999998</v>
      </c>
      <c r="C75" s="606">
        <f t="shared" ref="C75:F75" si="34">SUM(C70:C74)</f>
        <v>3313.2</v>
      </c>
      <c r="D75" s="606">
        <f t="shared" si="34"/>
        <v>391.6</v>
      </c>
      <c r="E75" s="606">
        <f t="shared" si="34"/>
        <v>11034.369999999999</v>
      </c>
      <c r="F75" s="606">
        <f t="shared" si="34"/>
        <v>4500</v>
      </c>
      <c r="G75" s="779">
        <f>SUM(B75:F75)</f>
        <v>50569.729999999996</v>
      </c>
      <c r="H75" s="296">
        <f>SUM(H70:H74)</f>
        <v>28824.959999999999</v>
      </c>
      <c r="I75" s="296">
        <f t="shared" ref="I75:L75" si="35">SUM(I70:I74)</f>
        <v>2613.6000000000004</v>
      </c>
      <c r="J75" s="296">
        <f t="shared" si="35"/>
        <v>426.72</v>
      </c>
      <c r="K75" s="296">
        <f t="shared" si="35"/>
        <v>6000</v>
      </c>
      <c r="L75" s="296">
        <f t="shared" si="35"/>
        <v>9507.6473178400011</v>
      </c>
      <c r="M75" s="296">
        <f>SUM(H75:L75)</f>
        <v>47372.927317840004</v>
      </c>
      <c r="N75" s="277"/>
      <c r="O75" s="307"/>
      <c r="P75" s="277">
        <f>+G75</f>
        <v>50569.729999999996</v>
      </c>
      <c r="Q75" s="609">
        <f>+'WP -11 Non-Regulated'!$K$29*P75</f>
        <v>23775.244201438712</v>
      </c>
      <c r="R75" s="310">
        <f>+M75</f>
        <v>47372.927317840004</v>
      </c>
      <c r="S75" s="609">
        <f>+'WP -11 Non-Regulated'!$K$29*R75</f>
        <v>22272.27464965016</v>
      </c>
      <c r="T75" s="277"/>
    </row>
    <row r="76" spans="1:21">
      <c r="A76" s="276"/>
      <c r="B76" s="277"/>
      <c r="C76" s="277"/>
      <c r="D76" s="277"/>
      <c r="E76" s="277"/>
      <c r="F76" s="277"/>
      <c r="G76" s="778"/>
      <c r="H76" s="277"/>
      <c r="I76" s="277"/>
      <c r="J76" s="277"/>
      <c r="K76" s="277"/>
      <c r="L76" s="277"/>
      <c r="M76" s="277">
        <f>H76+I76+J76</f>
        <v>0</v>
      </c>
      <c r="N76" s="277"/>
      <c r="O76" s="307"/>
      <c r="P76" s="307"/>
      <c r="Q76" s="302"/>
      <c r="R76" s="302"/>
      <c r="S76" s="277"/>
      <c r="T76" s="277"/>
    </row>
    <row r="77" spans="1:21">
      <c r="A77" s="629"/>
      <c r="B77" s="277"/>
      <c r="C77" s="277"/>
      <c r="D77" s="277"/>
      <c r="E77" s="277"/>
      <c r="F77" s="277"/>
      <c r="G77" s="277"/>
      <c r="H77" s="776"/>
      <c r="I77" s="277"/>
      <c r="J77" s="277"/>
      <c r="K77" s="277"/>
      <c r="L77" s="277"/>
      <c r="M77" s="277">
        <f>H77+I77+J77</f>
        <v>0</v>
      </c>
      <c r="N77" s="277"/>
      <c r="O77" s="307"/>
      <c r="P77" s="307"/>
      <c r="Q77" s="302"/>
      <c r="R77" s="302"/>
      <c r="S77" s="277"/>
      <c r="T77" s="277"/>
    </row>
    <row r="78" spans="1:21">
      <c r="A78" s="629"/>
      <c r="B78" s="277"/>
      <c r="C78" s="277"/>
      <c r="D78" s="277"/>
      <c r="E78" s="277"/>
      <c r="F78" s="277"/>
      <c r="G78" s="277"/>
      <c r="H78" s="776"/>
      <c r="I78" s="277"/>
      <c r="J78" s="277"/>
      <c r="K78" s="277"/>
      <c r="L78" s="277"/>
      <c r="M78" s="277"/>
      <c r="N78" s="277"/>
      <c r="O78" s="307"/>
      <c r="P78" s="307"/>
      <c r="Q78" s="302"/>
      <c r="R78" s="302"/>
      <c r="S78" s="277"/>
      <c r="T78" s="277"/>
    </row>
    <row r="79" spans="1:21">
      <c r="B79" s="606">
        <f>+B75+B68+B55+B27+B22+B13</f>
        <v>298329.53000000003</v>
      </c>
      <c r="C79" s="606">
        <f t="shared" ref="C79:F79" si="36">+C75+C68+C55+C27+C22+C13</f>
        <v>29371.8</v>
      </c>
      <c r="D79" s="606">
        <f t="shared" si="36"/>
        <v>4439.1000000000004</v>
      </c>
      <c r="E79" s="606">
        <f t="shared" si="36"/>
        <v>97540.96</v>
      </c>
      <c r="F79" s="606">
        <f t="shared" si="36"/>
        <v>57250</v>
      </c>
      <c r="G79" s="779">
        <f t="shared" ref="G79:M79" si="37">+G75+G68+G55+G27+G22+G13</f>
        <v>486931.39</v>
      </c>
      <c r="H79" s="742">
        <f t="shared" si="37"/>
        <v>296027.27999999997</v>
      </c>
      <c r="I79" s="606">
        <f t="shared" si="37"/>
        <v>26993.759999999998</v>
      </c>
      <c r="J79" s="606">
        <f t="shared" si="37"/>
        <v>4250.16</v>
      </c>
      <c r="K79" s="606">
        <f t="shared" si="37"/>
        <v>63000</v>
      </c>
      <c r="L79" s="606">
        <f t="shared" si="37"/>
        <v>105136.83232358002</v>
      </c>
      <c r="M79" s="606">
        <f t="shared" si="37"/>
        <v>495408.03232358</v>
      </c>
      <c r="N79" s="277"/>
      <c r="O79" s="307"/>
      <c r="P79" s="307"/>
      <c r="Q79" s="302"/>
      <c r="R79" s="302"/>
      <c r="S79" s="277"/>
      <c r="T79" s="277"/>
    </row>
    <row r="80" spans="1:21">
      <c r="A80" s="276"/>
      <c r="B80" s="277"/>
      <c r="C80" s="277"/>
      <c r="D80" s="277"/>
      <c r="E80" s="277"/>
      <c r="F80" s="277"/>
      <c r="G80" s="778"/>
      <c r="H80" s="277"/>
      <c r="I80" s="277"/>
      <c r="J80" s="277"/>
      <c r="K80" s="277"/>
      <c r="L80" s="277"/>
      <c r="M80" s="277"/>
      <c r="N80" s="277"/>
      <c r="O80" s="307"/>
      <c r="P80" s="781"/>
      <c r="Q80" s="782"/>
      <c r="R80" s="782"/>
      <c r="S80" s="294"/>
      <c r="T80" s="277"/>
    </row>
    <row r="81" spans="1:20" ht="16.5" thickBot="1">
      <c r="A81" s="602" t="str">
        <f>+'WP-2, pg 2 - Labor Increase'!A81</f>
        <v>Subtotal</v>
      </c>
      <c r="B81" s="607">
        <f>+B79</f>
        <v>298329.53000000003</v>
      </c>
      <c r="C81" s="607">
        <f t="shared" ref="C81:G81" si="38">+C79</f>
        <v>29371.8</v>
      </c>
      <c r="D81" s="607">
        <f t="shared" si="38"/>
        <v>4439.1000000000004</v>
      </c>
      <c r="E81" s="607">
        <f t="shared" si="38"/>
        <v>97540.96</v>
      </c>
      <c r="F81" s="607">
        <f t="shared" si="38"/>
        <v>57250</v>
      </c>
      <c r="G81" s="780">
        <f t="shared" si="38"/>
        <v>486931.39</v>
      </c>
      <c r="H81" s="607">
        <f>+H79</f>
        <v>296027.27999999997</v>
      </c>
      <c r="I81" s="607">
        <f t="shared" ref="I81:M81" si="39">+I79</f>
        <v>26993.759999999998</v>
      </c>
      <c r="J81" s="607">
        <f t="shared" si="39"/>
        <v>4250.16</v>
      </c>
      <c r="K81" s="607">
        <f t="shared" si="39"/>
        <v>63000</v>
      </c>
      <c r="L81" s="607">
        <f t="shared" si="39"/>
        <v>105136.83232358002</v>
      </c>
      <c r="M81" s="607">
        <f t="shared" si="39"/>
        <v>495408.03232358</v>
      </c>
      <c r="N81" s="277"/>
      <c r="O81" s="307"/>
      <c r="P81" s="277">
        <f>SUM(P12:P80)</f>
        <v>486931.39</v>
      </c>
      <c r="Q81" s="277">
        <f>SUM(Q11:Q79)</f>
        <v>240675.61638512343</v>
      </c>
      <c r="R81" s="277">
        <f>SUM(R11:R79)</f>
        <v>495408.03232358</v>
      </c>
      <c r="S81" s="773">
        <f>SUM(S11:S79)</f>
        <v>250132.60632892919</v>
      </c>
      <c r="T81" s="277"/>
    </row>
    <row r="82" spans="1:20" ht="16.5" thickTop="1">
      <c r="A82" s="602"/>
      <c r="B82" s="277"/>
      <c r="C82" s="278" t="s">
        <v>1190</v>
      </c>
      <c r="D82" s="278">
        <v>4396</v>
      </c>
      <c r="E82" s="278"/>
      <c r="F82" s="278"/>
      <c r="G82" s="278"/>
      <c r="H82" s="278"/>
      <c r="I82" s="278"/>
      <c r="J82" s="278"/>
      <c r="K82" s="278"/>
      <c r="L82" s="278"/>
      <c r="M82" s="278"/>
      <c r="N82" s="277"/>
      <c r="O82" s="307"/>
      <c r="P82" s="307"/>
      <c r="Q82" s="302"/>
      <c r="R82" s="302"/>
      <c r="S82" s="277"/>
      <c r="T82" s="277"/>
    </row>
    <row r="83" spans="1:20">
      <c r="A83" s="602"/>
      <c r="B83" s="747"/>
      <c r="C83" s="812" t="s">
        <v>1111</v>
      </c>
      <c r="D83" s="812">
        <f>+D81-D82</f>
        <v>43.100000000000364</v>
      </c>
      <c r="E83" s="619"/>
      <c r="F83" s="619"/>
      <c r="O83" s="621" t="s">
        <v>112</v>
      </c>
      <c r="P83" s="1">
        <f>+'Sch 4 - 12 Months'!S29</f>
        <v>537038.31999999995</v>
      </c>
    </row>
    <row r="84" spans="1:20">
      <c r="A84" s="602"/>
      <c r="B84" s="619"/>
      <c r="C84" s="619"/>
      <c r="D84" s="619"/>
      <c r="E84" s="619"/>
      <c r="F84" s="619"/>
      <c r="O84" s="621" t="s">
        <v>864</v>
      </c>
      <c r="P84" s="1">
        <f>+P81-P83</f>
        <v>-50106.929999999935</v>
      </c>
      <c r="Q84" s="302"/>
      <c r="R84" s="302"/>
    </row>
    <row r="85" spans="1:20">
      <c r="A85" s="276"/>
      <c r="B85" s="278"/>
      <c r="E85" s="619"/>
      <c r="F85" s="619"/>
      <c r="O85" s="1"/>
      <c r="P85" s="1"/>
      <c r="Q85" s="302"/>
      <c r="R85" s="302"/>
    </row>
    <row r="86" spans="1:20">
      <c r="A86" s="276"/>
      <c r="E86" s="619"/>
      <c r="F86" s="619"/>
      <c r="I86" s="302"/>
      <c r="O86" s="621" t="s">
        <v>1148</v>
      </c>
      <c r="P86" s="302">
        <f>+P81-Q81</f>
        <v>246255.77361487658</v>
      </c>
      <c r="R86" s="302"/>
      <c r="S86" s="302"/>
    </row>
    <row r="87" spans="1:20">
      <c r="A87" s="276"/>
      <c r="I87" s="302"/>
      <c r="O87" s="1"/>
      <c r="P87" s="1"/>
      <c r="Q87" s="302"/>
      <c r="R87" s="302"/>
    </row>
    <row r="88" spans="1:20">
      <c r="A88" s="276"/>
      <c r="I88" s="302"/>
      <c r="O88" s="621" t="s">
        <v>22</v>
      </c>
      <c r="P88" s="1">
        <f>+S81-Q81</f>
        <v>9456.9899438057619</v>
      </c>
      <c r="Q88" s="302"/>
      <c r="R88" s="302"/>
    </row>
    <row r="89" spans="1:20">
      <c r="A89" s="276"/>
      <c r="I89" s="14"/>
      <c r="O89" s="1"/>
      <c r="P89" s="1"/>
      <c r="Q89" s="302"/>
      <c r="R89" s="302"/>
    </row>
    <row r="90" spans="1:20">
      <c r="A90" s="276"/>
      <c r="I90" s="14"/>
      <c r="O90" s="1"/>
      <c r="P90" s="1"/>
      <c r="Q90" s="302"/>
      <c r="R90" s="302"/>
    </row>
    <row r="91" spans="1:20">
      <c r="A91" s="276"/>
      <c r="I91" s="14"/>
    </row>
    <row r="92" spans="1:20">
      <c r="I92" s="14"/>
    </row>
    <row r="93" spans="1:20">
      <c r="I93" s="14"/>
    </row>
    <row r="94" spans="1:20">
      <c r="I94" s="14"/>
    </row>
    <row r="95" spans="1:20">
      <c r="C95" s="619"/>
    </row>
  </sheetData>
  <mergeCells count="7">
    <mergeCell ref="H7:M7"/>
    <mergeCell ref="H8:M8"/>
    <mergeCell ref="B8:G8"/>
    <mergeCell ref="A1:M1"/>
    <mergeCell ref="A3:M3"/>
    <mergeCell ref="A5:M5"/>
    <mergeCell ref="B7:G7"/>
  </mergeCells>
  <printOptions horizontalCentered="1"/>
  <pageMargins left="0.5" right="0.5" top="0.75" bottom="0.5" header="0" footer="0.25"/>
  <pageSetup scale="36" fitToWidth="0" fitToHeight="0" orientation="landscape" horizontalDpi="300" verticalDpi="300" r:id="rId1"/>
  <headerFooter alignWithMargins="0"/>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7"/>
  <dimension ref="A1:Y51"/>
  <sheetViews>
    <sheetView zoomScaleNormal="100" workbookViewId="0">
      <selection activeCell="K27" sqref="K27"/>
    </sheetView>
  </sheetViews>
  <sheetFormatPr defaultColWidth="10.88671875" defaultRowHeight="15.75"/>
  <cols>
    <col min="1" max="1" width="21.88671875" style="337" customWidth="1"/>
    <col min="2" max="2" width="8" style="337" customWidth="1"/>
    <col min="3" max="3" width="13.21875" style="337" customWidth="1"/>
    <col min="4" max="4" width="0.6640625" style="337" customWidth="1"/>
    <col min="5" max="5" width="13.21875" style="337" customWidth="1"/>
    <col min="6" max="6" width="0.6640625" style="337" customWidth="1"/>
    <col min="7" max="7" width="13.21875" style="337" customWidth="1"/>
    <col min="8" max="8" width="0.6640625" style="337" customWidth="1"/>
    <col min="9" max="9" width="13.21875" style="337" customWidth="1"/>
    <col min="10" max="10" width="0.6640625" style="337" customWidth="1"/>
    <col min="11" max="11" width="11.109375" style="337" customWidth="1"/>
    <col min="12" max="12" width="0.6640625" style="337" customWidth="1"/>
    <col min="13" max="13" width="10.88671875" style="337"/>
    <col min="14" max="14" width="0.6640625" style="337" customWidth="1"/>
    <col min="15" max="15" width="10.88671875" style="337"/>
    <col min="16" max="16" width="0.88671875" style="337" customWidth="1"/>
    <col min="17" max="17" width="7.88671875" style="337" customWidth="1"/>
    <col min="18" max="18" width="0.88671875" style="337" customWidth="1"/>
    <col min="19" max="19" width="9.6640625" style="337" customWidth="1"/>
    <col min="20" max="20" width="0.88671875" style="337" customWidth="1"/>
    <col min="21" max="16384" width="10.88671875" style="337"/>
  </cols>
  <sheetData>
    <row r="1" spans="1:23" ht="16.5" customHeight="1">
      <c r="A1" s="857" t="str">
        <f>+'WP-2, pg 3 - Benefits Analysis'!A1:M1</f>
        <v>Consolidated Disposal Services, Inc.</v>
      </c>
      <c r="B1" s="857"/>
      <c r="C1" s="857"/>
      <c r="D1" s="857"/>
      <c r="E1" s="857"/>
      <c r="F1" s="857"/>
      <c r="G1" s="857"/>
      <c r="H1" s="857"/>
      <c r="I1" s="857"/>
      <c r="J1" s="857"/>
      <c r="K1" s="857"/>
      <c r="L1" s="857"/>
      <c r="M1" s="857"/>
    </row>
    <row r="2" spans="1:23" ht="13.5" customHeight="1">
      <c r="A2" s="297"/>
      <c r="B2" s="297"/>
      <c r="I2" s="338"/>
    </row>
    <row r="3" spans="1:23" ht="16.5" customHeight="1">
      <c r="A3" s="857" t="s">
        <v>860</v>
      </c>
      <c r="B3" s="857"/>
      <c r="C3" s="857"/>
      <c r="D3" s="857"/>
      <c r="E3" s="857"/>
      <c r="F3" s="857"/>
      <c r="G3" s="857"/>
      <c r="H3" s="857"/>
      <c r="I3" s="857"/>
      <c r="J3" s="857"/>
      <c r="K3" s="857"/>
      <c r="L3" s="857"/>
      <c r="M3" s="857"/>
    </row>
    <row r="4" spans="1:23">
      <c r="A4" s="336"/>
      <c r="B4" s="336"/>
      <c r="C4" s="336"/>
      <c r="D4" s="336"/>
      <c r="E4" s="336"/>
      <c r="F4" s="336"/>
      <c r="G4" s="336"/>
      <c r="H4" s="336"/>
      <c r="I4" s="336"/>
    </row>
    <row r="5" spans="1:23">
      <c r="A5" s="857" t="str">
        <f>+'WP-1 - Summary Depr'!A5</f>
        <v>In Support of Tariff 7 effective April 1, 2023</v>
      </c>
      <c r="B5" s="857"/>
      <c r="C5" s="857"/>
      <c r="D5" s="857"/>
      <c r="E5" s="857"/>
      <c r="F5" s="857"/>
      <c r="G5" s="857"/>
      <c r="H5" s="857"/>
      <c r="I5" s="857"/>
      <c r="J5" s="857"/>
      <c r="K5" s="857"/>
      <c r="L5" s="857"/>
      <c r="M5" s="857"/>
    </row>
    <row r="6" spans="1:23">
      <c r="A6" s="297"/>
      <c r="B6" s="297"/>
      <c r="I6" s="338"/>
    </row>
    <row r="7" spans="1:23">
      <c r="A7" s="297"/>
      <c r="B7" s="297"/>
      <c r="I7" s="338"/>
    </row>
    <row r="8" spans="1:23" ht="15" customHeight="1">
      <c r="A8" s="297"/>
      <c r="B8" s="297"/>
      <c r="C8" s="339" t="s">
        <v>117</v>
      </c>
      <c r="D8" s="339"/>
      <c r="E8" s="339" t="s">
        <v>765</v>
      </c>
      <c r="F8" s="339"/>
      <c r="G8" s="339" t="s">
        <v>766</v>
      </c>
      <c r="H8" s="339"/>
      <c r="I8" s="340"/>
      <c r="J8" s="340"/>
      <c r="K8" s="340"/>
      <c r="L8" s="340"/>
      <c r="M8" s="339" t="s">
        <v>1158</v>
      </c>
      <c r="N8" s="340"/>
      <c r="O8" s="340"/>
      <c r="P8" s="340"/>
      <c r="Q8" s="339" t="s">
        <v>1163</v>
      </c>
      <c r="R8" s="339"/>
      <c r="S8" s="339"/>
      <c r="T8" s="340"/>
      <c r="U8" s="339"/>
      <c r="V8" s="339"/>
      <c r="W8" s="341"/>
    </row>
    <row r="9" spans="1:23" ht="15" customHeight="1">
      <c r="C9" s="339" t="s">
        <v>118</v>
      </c>
      <c r="D9" s="339"/>
      <c r="E9" s="339" t="s">
        <v>356</v>
      </c>
      <c r="F9" s="339"/>
      <c r="G9" s="339" t="s">
        <v>356</v>
      </c>
      <c r="H9" s="339"/>
      <c r="I9" s="339"/>
      <c r="J9" s="339"/>
      <c r="K9" s="339"/>
      <c r="L9" s="339"/>
      <c r="M9" s="339" t="s">
        <v>1159</v>
      </c>
      <c r="N9" s="339"/>
      <c r="O9" s="339" t="s">
        <v>1162</v>
      </c>
      <c r="P9" s="339"/>
      <c r="Q9" s="339" t="s">
        <v>1164</v>
      </c>
      <c r="R9" s="339"/>
      <c r="S9" s="339"/>
      <c r="T9" s="339"/>
      <c r="U9" s="339"/>
      <c r="V9" s="341"/>
    </row>
    <row r="10" spans="1:23" ht="15" customHeight="1">
      <c r="C10" s="342" t="s">
        <v>72</v>
      </c>
      <c r="D10" s="339"/>
      <c r="E10" s="342" t="s">
        <v>357</v>
      </c>
      <c r="F10" s="339"/>
      <c r="G10" s="342" t="s">
        <v>357</v>
      </c>
      <c r="H10" s="339"/>
      <c r="I10" s="342" t="s">
        <v>767</v>
      </c>
      <c r="J10" s="339"/>
      <c r="K10" s="342" t="s">
        <v>1157</v>
      </c>
      <c r="L10" s="339"/>
      <c r="M10" s="342" t="s">
        <v>1160</v>
      </c>
      <c r="N10" s="339"/>
      <c r="O10" s="342" t="s">
        <v>1161</v>
      </c>
      <c r="P10" s="339"/>
      <c r="Q10" s="342" t="s">
        <v>1165</v>
      </c>
      <c r="R10" s="342"/>
      <c r="S10" s="342" t="s">
        <v>893</v>
      </c>
      <c r="T10" s="339"/>
      <c r="U10" s="343" t="s">
        <v>0</v>
      </c>
      <c r="V10" s="343"/>
    </row>
    <row r="11" spans="1:23" ht="15" customHeight="1">
      <c r="C11" s="342"/>
      <c r="D11" s="339"/>
      <c r="E11" s="339"/>
      <c r="F11" s="339"/>
      <c r="G11" s="339"/>
      <c r="H11" s="339"/>
      <c r="I11" s="342"/>
      <c r="J11" s="339"/>
      <c r="K11" s="339"/>
      <c r="L11" s="339"/>
      <c r="M11" s="339"/>
      <c r="N11" s="339"/>
      <c r="O11" s="339"/>
      <c r="P11" s="339"/>
      <c r="Q11" s="339"/>
      <c r="R11" s="339"/>
      <c r="S11" s="339"/>
      <c r="T11" s="339"/>
      <c r="U11" s="339"/>
      <c r="V11" s="343"/>
    </row>
    <row r="12" spans="1:23" ht="15" customHeight="1">
      <c r="A12" s="344" t="s">
        <v>63</v>
      </c>
      <c r="B12" s="344"/>
      <c r="C12" s="345">
        <v>1450</v>
      </c>
      <c r="D12" s="346"/>
      <c r="E12" s="346"/>
      <c r="F12" s="346"/>
      <c r="G12" s="346">
        <v>350</v>
      </c>
      <c r="H12" s="346"/>
      <c r="I12" s="345"/>
      <c r="J12" s="346"/>
      <c r="K12" s="346"/>
      <c r="L12" s="346"/>
      <c r="M12" s="346"/>
      <c r="N12" s="346"/>
      <c r="O12" s="346"/>
      <c r="P12" s="346"/>
      <c r="Q12" s="346">
        <v>227.5</v>
      </c>
      <c r="R12" s="346"/>
      <c r="S12" s="346"/>
      <c r="T12" s="346"/>
      <c r="U12" s="345">
        <f>SUM(C12:S12)</f>
        <v>2027.5</v>
      </c>
    </row>
    <row r="13" spans="1:23" ht="15" customHeight="1">
      <c r="A13" s="344" t="s">
        <v>64</v>
      </c>
      <c r="B13" s="344"/>
      <c r="C13" s="346">
        <v>1550</v>
      </c>
      <c r="D13" s="346"/>
      <c r="E13" s="346"/>
      <c r="F13" s="346"/>
      <c r="G13" s="346"/>
      <c r="H13" s="346"/>
      <c r="I13" s="346"/>
      <c r="J13" s="346"/>
      <c r="K13" s="346"/>
      <c r="L13" s="346"/>
      <c r="M13" s="346">
        <v>56</v>
      </c>
      <c r="N13" s="346"/>
      <c r="O13" s="346"/>
      <c r="P13" s="346"/>
      <c r="Q13" s="346"/>
      <c r="R13" s="346"/>
      <c r="S13" s="346"/>
      <c r="T13" s="346"/>
      <c r="U13" s="345">
        <f t="shared" ref="U13:U23" si="0">SUM(C13:S13)</f>
        <v>1606</v>
      </c>
    </row>
    <row r="14" spans="1:23" ht="15" customHeight="1">
      <c r="A14" s="344" t="s">
        <v>65</v>
      </c>
      <c r="B14" s="344"/>
      <c r="C14" s="346">
        <v>1550</v>
      </c>
      <c r="D14" s="346"/>
      <c r="E14" s="346"/>
      <c r="F14" s="346"/>
      <c r="G14" s="346"/>
      <c r="H14" s="346"/>
      <c r="I14" s="346"/>
      <c r="J14" s="346"/>
      <c r="K14" s="346"/>
      <c r="L14" s="346"/>
      <c r="M14" s="346"/>
      <c r="N14" s="346"/>
      <c r="O14" s="346">
        <v>2000</v>
      </c>
      <c r="P14" s="346"/>
      <c r="Q14" s="346"/>
      <c r="R14" s="346"/>
      <c r="S14" s="346"/>
      <c r="T14" s="346"/>
      <c r="U14" s="345">
        <f t="shared" si="0"/>
        <v>3550</v>
      </c>
    </row>
    <row r="15" spans="1:23" ht="15" customHeight="1">
      <c r="A15" s="344" t="s">
        <v>66</v>
      </c>
      <c r="B15" s="344"/>
      <c r="C15" s="346">
        <v>1550</v>
      </c>
      <c r="D15" s="346"/>
      <c r="E15" s="346"/>
      <c r="F15" s="346"/>
      <c r="G15" s="346"/>
      <c r="H15" s="346"/>
      <c r="I15" s="346"/>
      <c r="J15" s="346"/>
      <c r="K15" s="346"/>
      <c r="L15" s="346"/>
      <c r="M15" s="346">
        <v>168</v>
      </c>
      <c r="N15" s="346"/>
      <c r="O15" s="346"/>
      <c r="P15" s="346"/>
      <c r="Q15" s="346"/>
      <c r="R15" s="346"/>
      <c r="S15" s="346"/>
      <c r="T15" s="346"/>
      <c r="U15" s="345">
        <f t="shared" si="0"/>
        <v>1718</v>
      </c>
    </row>
    <row r="16" spans="1:23" ht="15" customHeight="1">
      <c r="A16" s="344" t="s">
        <v>67</v>
      </c>
      <c r="B16" s="344"/>
      <c r="C16" s="346">
        <v>1550</v>
      </c>
      <c r="D16" s="346"/>
      <c r="E16" s="346"/>
      <c r="F16" s="346"/>
      <c r="G16" s="346"/>
      <c r="H16" s="346"/>
      <c r="I16" s="346">
        <v>725</v>
      </c>
      <c r="J16" s="346"/>
      <c r="K16" s="346"/>
      <c r="L16" s="346"/>
      <c r="M16" s="346">
        <v>112</v>
      </c>
      <c r="N16" s="346"/>
      <c r="O16" s="346"/>
      <c r="P16" s="346"/>
      <c r="Q16" s="346"/>
      <c r="R16" s="346"/>
      <c r="S16" s="346"/>
      <c r="T16" s="346"/>
      <c r="U16" s="345">
        <f t="shared" si="0"/>
        <v>2387</v>
      </c>
    </row>
    <row r="17" spans="1:25" ht="15" customHeight="1">
      <c r="A17" s="344" t="s">
        <v>68</v>
      </c>
      <c r="B17" s="344"/>
      <c r="C17" s="346">
        <v>1750</v>
      </c>
      <c r="D17" s="346"/>
      <c r="E17" s="346"/>
      <c r="F17" s="346"/>
      <c r="G17" s="346"/>
      <c r="H17" s="346"/>
      <c r="I17" s="346"/>
      <c r="J17" s="346"/>
      <c r="K17" s="346"/>
      <c r="L17" s="346"/>
      <c r="M17" s="346"/>
      <c r="N17" s="346"/>
      <c r="O17" s="346"/>
      <c r="P17" s="346"/>
      <c r="Q17" s="346">
        <v>35</v>
      </c>
      <c r="R17" s="346"/>
      <c r="S17" s="346"/>
      <c r="T17" s="346"/>
      <c r="U17" s="345">
        <f t="shared" si="0"/>
        <v>1785</v>
      </c>
    </row>
    <row r="18" spans="1:25" ht="15" customHeight="1">
      <c r="A18" s="344" t="s">
        <v>69</v>
      </c>
      <c r="B18" s="344"/>
      <c r="C18" s="346">
        <v>1550</v>
      </c>
      <c r="D18" s="346"/>
      <c r="E18" s="346">
        <v>465</v>
      </c>
      <c r="F18" s="346"/>
      <c r="G18" s="346"/>
      <c r="H18" s="346"/>
      <c r="I18" s="346"/>
      <c r="J18" s="346"/>
      <c r="K18" s="346">
        <v>7000</v>
      </c>
      <c r="L18" s="346"/>
      <c r="M18" s="346"/>
      <c r="N18" s="346"/>
      <c r="O18" s="346"/>
      <c r="P18" s="346"/>
      <c r="Q18" s="346"/>
      <c r="R18" s="346"/>
      <c r="S18" s="346">
        <v>55</v>
      </c>
      <c r="T18" s="346"/>
      <c r="U18" s="345">
        <f t="shared" si="0"/>
        <v>9070</v>
      </c>
    </row>
    <row r="19" spans="1:25" ht="15" customHeight="1">
      <c r="A19" s="344" t="s">
        <v>70</v>
      </c>
      <c r="B19" s="344"/>
      <c r="C19" s="346">
        <v>1550</v>
      </c>
      <c r="D19" s="346"/>
      <c r="E19" s="346"/>
      <c r="F19" s="346"/>
      <c r="G19" s="346"/>
      <c r="H19" s="346"/>
      <c r="I19" s="346"/>
      <c r="J19" s="346"/>
      <c r="K19" s="346"/>
      <c r="L19" s="346"/>
      <c r="M19" s="346"/>
      <c r="N19" s="346"/>
      <c r="O19" s="346"/>
      <c r="P19" s="346"/>
      <c r="Q19" s="346"/>
      <c r="R19" s="346"/>
      <c r="S19" s="346"/>
      <c r="T19" s="346"/>
      <c r="U19" s="345">
        <f t="shared" si="0"/>
        <v>1550</v>
      </c>
    </row>
    <row r="20" spans="1:25" ht="15" customHeight="1">
      <c r="A20" s="344" t="s">
        <v>62</v>
      </c>
      <c r="B20" s="344"/>
      <c r="C20" s="346">
        <v>1550</v>
      </c>
      <c r="D20" s="346"/>
      <c r="E20" s="346"/>
      <c r="F20" s="346"/>
      <c r="G20" s="346"/>
      <c r="H20" s="346"/>
      <c r="I20" s="346"/>
      <c r="J20" s="346"/>
      <c r="K20" s="346"/>
      <c r="L20" s="346"/>
      <c r="M20" s="346"/>
      <c r="N20" s="346"/>
      <c r="O20" s="346"/>
      <c r="P20" s="346"/>
      <c r="Q20" s="346"/>
      <c r="R20" s="346"/>
      <c r="S20" s="346"/>
      <c r="T20" s="346"/>
      <c r="U20" s="345">
        <f t="shared" si="0"/>
        <v>1550</v>
      </c>
    </row>
    <row r="21" spans="1:25" ht="15" customHeight="1">
      <c r="A21" s="344" t="s">
        <v>61</v>
      </c>
      <c r="B21" s="344"/>
      <c r="C21" s="346">
        <v>1550</v>
      </c>
      <c r="D21" s="346"/>
      <c r="E21" s="346"/>
      <c r="F21" s="346"/>
      <c r="G21" s="346"/>
      <c r="H21" s="346"/>
      <c r="I21" s="346"/>
      <c r="J21" s="346"/>
      <c r="K21" s="346"/>
      <c r="L21" s="346"/>
      <c r="M21" s="346">
        <v>102.26</v>
      </c>
      <c r="N21" s="346"/>
      <c r="O21" s="346"/>
      <c r="P21" s="346"/>
      <c r="Q21" s="346"/>
      <c r="R21" s="346"/>
      <c r="S21" s="346"/>
      <c r="T21" s="346"/>
      <c r="U21" s="345">
        <f t="shared" si="0"/>
        <v>1652.26</v>
      </c>
    </row>
    <row r="22" spans="1:25" ht="15" customHeight="1">
      <c r="A22" s="344" t="s">
        <v>60</v>
      </c>
      <c r="B22" s="344"/>
      <c r="C22" s="346">
        <v>1750</v>
      </c>
      <c r="D22" s="346"/>
      <c r="E22" s="346"/>
      <c r="F22" s="346"/>
      <c r="G22" s="346"/>
      <c r="H22" s="346"/>
      <c r="I22" s="346"/>
      <c r="J22" s="346"/>
      <c r="K22" s="346"/>
      <c r="L22" s="346"/>
      <c r="M22" s="346"/>
      <c r="N22" s="346"/>
      <c r="O22" s="346"/>
      <c r="P22" s="346"/>
      <c r="Q22" s="346"/>
      <c r="R22" s="346"/>
      <c r="S22" s="346"/>
      <c r="T22" s="346"/>
      <c r="U22" s="345">
        <f t="shared" si="0"/>
        <v>1750</v>
      </c>
    </row>
    <row r="23" spans="1:25" ht="15" customHeight="1">
      <c r="A23" s="344" t="s">
        <v>59</v>
      </c>
      <c r="B23" s="344"/>
      <c r="C23" s="347">
        <v>1550</v>
      </c>
      <c r="D23" s="346"/>
      <c r="E23" s="348"/>
      <c r="F23" s="346"/>
      <c r="G23" s="348"/>
      <c r="H23" s="346"/>
      <c r="I23" s="347"/>
      <c r="J23" s="347"/>
      <c r="K23" s="347"/>
      <c r="L23" s="347"/>
      <c r="M23" s="347"/>
      <c r="N23" s="347"/>
      <c r="O23" s="347"/>
      <c r="P23" s="347"/>
      <c r="Q23" s="347"/>
      <c r="R23" s="347"/>
      <c r="S23" s="347"/>
      <c r="T23" s="346"/>
      <c r="U23" s="345">
        <f t="shared" si="0"/>
        <v>1550</v>
      </c>
    </row>
    <row r="24" spans="1:25" ht="15" customHeight="1">
      <c r="C24" s="346"/>
      <c r="D24" s="346"/>
      <c r="E24" s="346"/>
      <c r="F24" s="346"/>
      <c r="G24" s="346"/>
      <c r="H24" s="346"/>
      <c r="I24" s="346"/>
      <c r="J24" s="346"/>
      <c r="K24" s="346"/>
      <c r="L24" s="346"/>
      <c r="M24" s="346"/>
      <c r="N24" s="346"/>
      <c r="O24" s="346"/>
      <c r="P24" s="346"/>
      <c r="Q24" s="346"/>
      <c r="R24" s="346"/>
      <c r="S24" s="346"/>
      <c r="T24" s="346"/>
      <c r="U24" s="346"/>
    </row>
    <row r="25" spans="1:25" ht="15" customHeight="1" thickBot="1">
      <c r="C25" s="349">
        <f>SUM(C12:C23)</f>
        <v>18900</v>
      </c>
      <c r="D25" s="345"/>
      <c r="E25" s="349">
        <f t="shared" ref="E25:G25" si="1">SUM(E12:E23)</f>
        <v>465</v>
      </c>
      <c r="F25" s="345"/>
      <c r="G25" s="349">
        <f t="shared" si="1"/>
        <v>350</v>
      </c>
      <c r="H25" s="346"/>
      <c r="I25" s="349">
        <f>SUM(I12:I23)</f>
        <v>725</v>
      </c>
      <c r="J25" s="349">
        <f t="shared" ref="J25:S25" si="2">SUM(J12:J23)</f>
        <v>0</v>
      </c>
      <c r="K25" s="349">
        <f t="shared" si="2"/>
        <v>7000</v>
      </c>
      <c r="L25" s="349">
        <f t="shared" si="2"/>
        <v>0</v>
      </c>
      <c r="M25" s="349">
        <f t="shared" si="2"/>
        <v>438.26</v>
      </c>
      <c r="N25" s="349">
        <f t="shared" si="2"/>
        <v>0</v>
      </c>
      <c r="O25" s="349">
        <f t="shared" si="2"/>
        <v>2000</v>
      </c>
      <c r="P25" s="349">
        <f t="shared" si="2"/>
        <v>0</v>
      </c>
      <c r="Q25" s="349">
        <f t="shared" si="2"/>
        <v>262.5</v>
      </c>
      <c r="R25" s="349">
        <f t="shared" si="2"/>
        <v>0</v>
      </c>
      <c r="S25" s="349">
        <f t="shared" si="2"/>
        <v>55</v>
      </c>
      <c r="T25" s="346"/>
      <c r="U25" s="345">
        <f>SUM(U12:U23)</f>
        <v>30195.759999999998</v>
      </c>
    </row>
    <row r="26" spans="1:25" ht="15" customHeight="1" thickTop="1">
      <c r="C26" s="346"/>
      <c r="D26" s="346"/>
      <c r="E26" s="346"/>
      <c r="F26" s="346"/>
      <c r="G26" s="346"/>
      <c r="H26" s="346"/>
      <c r="I26" s="350"/>
      <c r="J26" s="351"/>
      <c r="K26" s="351"/>
      <c r="L26" s="351"/>
      <c r="M26" s="351"/>
      <c r="N26" s="351"/>
      <c r="Q26" s="354"/>
      <c r="R26" s="354"/>
      <c r="V26" s="346"/>
    </row>
    <row r="27" spans="1:25" ht="15" customHeight="1">
      <c r="A27" s="337" t="s">
        <v>178</v>
      </c>
      <c r="C27" s="352">
        <v>5300</v>
      </c>
      <c r="D27" s="346"/>
      <c r="E27" s="346"/>
      <c r="F27" s="346"/>
      <c r="G27" s="346"/>
      <c r="H27" s="346"/>
      <c r="I27" s="346"/>
      <c r="J27" s="346"/>
      <c r="K27" s="789">
        <f>+K25*0.48</f>
        <v>3360</v>
      </c>
      <c r="L27" s="346"/>
      <c r="M27" s="346"/>
      <c r="N27" s="346"/>
      <c r="S27" s="354"/>
      <c r="T27" s="354" t="s">
        <v>1178</v>
      </c>
      <c r="U27" s="345">
        <f>-C27</f>
        <v>-5300</v>
      </c>
      <c r="W27" s="346"/>
    </row>
    <row r="28" spans="1:25" ht="15" customHeight="1">
      <c r="C28" s="350"/>
      <c r="D28" s="351"/>
      <c r="E28" s="351"/>
      <c r="F28" s="351"/>
      <c r="G28" s="351"/>
      <c r="H28" s="351"/>
      <c r="I28" s="350"/>
      <c r="K28" s="354"/>
      <c r="L28" s="354"/>
      <c r="M28" s="354"/>
      <c r="N28" s="354"/>
      <c r="Q28" s="356"/>
      <c r="R28" s="356"/>
      <c r="U28" s="346"/>
      <c r="Y28" s="338"/>
    </row>
    <row r="29" spans="1:25" ht="15" customHeight="1" thickBot="1">
      <c r="A29" s="872" t="s">
        <v>1177</v>
      </c>
      <c r="B29" s="872"/>
      <c r="C29" s="872"/>
      <c r="D29" s="351"/>
      <c r="E29" s="351"/>
      <c r="F29" s="351"/>
      <c r="G29" s="351"/>
      <c r="H29" s="351"/>
      <c r="S29" s="356"/>
      <c r="T29" s="356" t="s">
        <v>1166</v>
      </c>
      <c r="U29" s="353">
        <f>SUM(U25:U28)</f>
        <v>24895.759999999998</v>
      </c>
    </row>
    <row r="30" spans="1:25" ht="15" customHeight="1" thickTop="1">
      <c r="A30" s="872"/>
      <c r="B30" s="872"/>
      <c r="C30" s="872"/>
      <c r="D30" s="346"/>
      <c r="E30" s="346"/>
      <c r="F30" s="346"/>
      <c r="G30" s="346"/>
      <c r="H30" s="346"/>
      <c r="I30" s="355"/>
      <c r="K30" s="356"/>
      <c r="L30" s="356"/>
      <c r="M30" s="356"/>
      <c r="N30" s="356"/>
      <c r="O30" s="356"/>
    </row>
    <row r="31" spans="1:25" ht="15" customHeight="1">
      <c r="A31" s="872"/>
      <c r="B31" s="872"/>
      <c r="C31" s="872"/>
      <c r="D31" s="346"/>
      <c r="E31" s="346"/>
      <c r="F31" s="346"/>
      <c r="G31" s="346"/>
      <c r="H31" s="346"/>
      <c r="I31" s="344"/>
      <c r="J31" s="346"/>
      <c r="K31" s="346"/>
      <c r="L31" s="346"/>
      <c r="M31" s="346"/>
      <c r="N31" s="346"/>
      <c r="O31" s="346"/>
      <c r="P31" s="346"/>
      <c r="Q31" s="346"/>
      <c r="R31" s="346"/>
      <c r="S31" s="346"/>
      <c r="T31" s="788" t="s">
        <v>1167</v>
      </c>
      <c r="U31" s="346">
        <f>+C25-C27+O25</f>
        <v>15600</v>
      </c>
    </row>
    <row r="32" spans="1:25" ht="15" customHeight="1">
      <c r="A32" s="872"/>
      <c r="B32" s="872"/>
      <c r="C32" s="872"/>
      <c r="J32" s="357"/>
      <c r="K32" s="357"/>
      <c r="L32" s="357"/>
      <c r="M32" s="357"/>
      <c r="N32" s="357"/>
      <c r="O32" s="357"/>
      <c r="P32" s="357"/>
      <c r="Q32" s="357"/>
      <c r="R32" s="357"/>
      <c r="S32" s="357"/>
      <c r="T32" s="354" t="s">
        <v>1180</v>
      </c>
      <c r="U32" s="346">
        <f>+E25+G25+S25</f>
        <v>870</v>
      </c>
    </row>
    <row r="33" spans="11:21" ht="15" customHeight="1">
      <c r="K33" s="346"/>
      <c r="T33" s="354" t="s">
        <v>1168</v>
      </c>
      <c r="U33" s="346">
        <f>+I25+K25+M25+Q25-K27</f>
        <v>5065.76</v>
      </c>
    </row>
    <row r="34" spans="11:21" ht="15" customHeight="1">
      <c r="T34" s="354" t="s">
        <v>1179</v>
      </c>
      <c r="U34" s="346">
        <f>+K27</f>
        <v>3360</v>
      </c>
    </row>
    <row r="35" spans="11:21" ht="15" customHeight="1" thickBot="1">
      <c r="T35" s="357" t="s">
        <v>1169</v>
      </c>
      <c r="U35" s="353">
        <f>+U31+U32+U33+U34</f>
        <v>24895.760000000002</v>
      </c>
    </row>
    <row r="36" spans="11:21" ht="15" customHeight="1" thickTop="1">
      <c r="T36" s="354"/>
      <c r="U36" s="354" t="s">
        <v>1171</v>
      </c>
    </row>
    <row r="37" spans="11:21" ht="15" customHeight="1"/>
    <row r="38" spans="11:21" ht="15" customHeight="1"/>
    <row r="39" spans="11:21" ht="15" customHeight="1"/>
    <row r="40" spans="11:21" ht="15" customHeight="1"/>
    <row r="41" spans="11:21" ht="15" customHeight="1"/>
    <row r="42" spans="11:21" ht="15" customHeight="1"/>
    <row r="43" spans="11:21" ht="15" customHeight="1"/>
    <row r="44" spans="11:21" ht="15" customHeight="1"/>
    <row r="45" spans="11:21" ht="15" customHeight="1"/>
    <row r="46" spans="11:21" ht="15" customHeight="1"/>
    <row r="47" spans="11:21" ht="15" customHeight="1"/>
    <row r="48" spans="11:21" ht="15" customHeight="1"/>
    <row r="49" ht="15" customHeight="1"/>
    <row r="50" ht="15" customHeight="1"/>
    <row r="51" ht="15" customHeight="1"/>
  </sheetData>
  <mergeCells count="4">
    <mergeCell ref="A5:M5"/>
    <mergeCell ref="A3:M3"/>
    <mergeCell ref="A1:M1"/>
    <mergeCell ref="A29:C32"/>
  </mergeCells>
  <printOptions horizontalCentered="1"/>
  <pageMargins left="0.5" right="0.5" top="0.75" bottom="0.5" header="0" footer="0.25"/>
  <pageSetup scale="70" orientation="landscape" horizontalDpi="300" verticalDpi="300" r:id="rId1"/>
  <headerFooter alignWithMargins="0">
    <oddFooter xml:space="preserve">&amp;L&amp;9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8"/>
  <dimension ref="A1:H33"/>
  <sheetViews>
    <sheetView zoomScaleNormal="100" workbookViewId="0">
      <selection activeCell="H17" sqref="H17"/>
    </sheetView>
  </sheetViews>
  <sheetFormatPr defaultColWidth="9.88671875" defaultRowHeight="15.75"/>
  <cols>
    <col min="1" max="1" width="5.44140625" style="337" customWidth="1"/>
    <col min="2" max="2" width="10.88671875" style="337" customWidth="1"/>
    <col min="3" max="3" width="9.88671875" style="337" customWidth="1"/>
    <col min="4" max="4" width="12.33203125" style="337" customWidth="1"/>
    <col min="5" max="5" width="12.109375" style="337" customWidth="1"/>
    <col min="6" max="6" width="12.33203125" style="337" customWidth="1"/>
    <col min="7" max="7" width="12.21875" style="337" customWidth="1"/>
    <col min="8" max="8" width="10.21875" style="337" customWidth="1"/>
    <col min="9" max="16384" width="9.88671875" style="337"/>
  </cols>
  <sheetData>
    <row r="1" spans="1:8" ht="16.5" customHeight="1">
      <c r="A1" s="857" t="str">
        <f>+'WP-4 - Dues &amp; Sub'!A1:I1</f>
        <v>Consolidated Disposal Services, Inc.</v>
      </c>
      <c r="B1" s="857"/>
      <c r="C1" s="857"/>
      <c r="D1" s="857"/>
      <c r="E1" s="857"/>
      <c r="F1" s="857"/>
      <c r="G1" s="857"/>
      <c r="H1" s="857"/>
    </row>
    <row r="2" spans="1:8" ht="13.5" customHeight="1">
      <c r="A2" s="289"/>
    </row>
    <row r="3" spans="1:8" ht="16.5" customHeight="1">
      <c r="A3" s="863" t="s">
        <v>213</v>
      </c>
      <c r="B3" s="863"/>
      <c r="C3" s="863"/>
      <c r="D3" s="863"/>
      <c r="E3" s="863"/>
      <c r="F3" s="863"/>
      <c r="G3" s="863"/>
      <c r="H3" s="863"/>
    </row>
    <row r="4" spans="1:8">
      <c r="A4" s="315"/>
      <c r="B4" s="315"/>
      <c r="C4" s="315"/>
      <c r="D4" s="315"/>
      <c r="E4" s="315"/>
      <c r="F4" s="315"/>
      <c r="G4" s="315"/>
      <c r="H4" s="315"/>
    </row>
    <row r="5" spans="1:8">
      <c r="A5" s="857" t="str">
        <f>+'WP-1 - Summary Depr'!A5</f>
        <v>In Support of Tariff 7 effective April 1, 2023</v>
      </c>
      <c r="B5" s="857"/>
      <c r="C5" s="857"/>
      <c r="D5" s="857"/>
      <c r="E5" s="857"/>
      <c r="F5" s="857"/>
      <c r="G5" s="857"/>
      <c r="H5" s="857"/>
    </row>
    <row r="7" spans="1:8" ht="15" customHeight="1">
      <c r="A7" s="358"/>
      <c r="B7" s="358"/>
      <c r="C7" s="358"/>
      <c r="D7" s="358"/>
      <c r="E7" s="358"/>
      <c r="F7" s="358"/>
      <c r="G7" s="339" t="s">
        <v>89</v>
      </c>
      <c r="H7" s="358"/>
    </row>
    <row r="8" spans="1:8" ht="15" customHeight="1">
      <c r="A8" s="358"/>
      <c r="B8" s="358"/>
      <c r="C8" s="358"/>
      <c r="D8" s="359">
        <v>44196</v>
      </c>
      <c r="E8" s="359">
        <v>44561</v>
      </c>
      <c r="F8" s="342" t="s">
        <v>125</v>
      </c>
      <c r="G8" s="342" t="s">
        <v>90</v>
      </c>
      <c r="H8" s="360" t="s">
        <v>37</v>
      </c>
    </row>
    <row r="9" spans="1:8" ht="15" customHeight="1">
      <c r="B9" s="337" t="s">
        <v>91</v>
      </c>
      <c r="D9" s="345">
        <v>3537792</v>
      </c>
      <c r="E9" s="345">
        <v>3500900</v>
      </c>
      <c r="F9" s="345">
        <f>(+D9+E9)/2</f>
        <v>3519346</v>
      </c>
      <c r="G9" s="345">
        <f>E9</f>
        <v>3500900</v>
      </c>
      <c r="H9" s="361">
        <f>G9/(+$G$9+$G$10)</f>
        <v>0.45326868362534672</v>
      </c>
    </row>
    <row r="10" spans="1:8" ht="15" customHeight="1">
      <c r="B10" s="337" t="s">
        <v>92</v>
      </c>
      <c r="D10" s="362"/>
      <c r="E10" s="362"/>
      <c r="F10" s="362"/>
      <c r="G10" s="362">
        <f>10000+4212775</f>
        <v>4222775</v>
      </c>
      <c r="H10" s="361">
        <f>G10/(+$G$9+$G$10)</f>
        <v>0.54673131637465322</v>
      </c>
    </row>
    <row r="11" spans="1:8" ht="15" customHeight="1">
      <c r="B11" s="337" t="s">
        <v>93</v>
      </c>
      <c r="D11" s="362" t="s">
        <v>94</v>
      </c>
      <c r="E11" s="362"/>
      <c r="F11" s="362">
        <f>+'Sch 4 - 12 Months'!O67</f>
        <v>180540.33</v>
      </c>
      <c r="G11" s="362"/>
    </row>
    <row r="12" spans="1:8" ht="15" customHeight="1">
      <c r="B12" s="337" t="s">
        <v>95</v>
      </c>
      <c r="F12" s="361">
        <f>+F11/F9</f>
        <v>5.1299397672181134E-2</v>
      </c>
      <c r="G12" s="363"/>
    </row>
    <row r="13" spans="1:8" ht="15" customHeight="1">
      <c r="G13" s="364"/>
    </row>
    <row r="14" spans="1:8" ht="15" customHeight="1"/>
    <row r="15" spans="1:8" ht="15" customHeight="1"/>
    <row r="16" spans="1:8" ht="15" customHeight="1">
      <c r="B16" s="363"/>
      <c r="C16" s="363"/>
    </row>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sheetData>
  <mergeCells count="3">
    <mergeCell ref="A1:H1"/>
    <mergeCell ref="A3:H3"/>
    <mergeCell ref="A5:H5"/>
  </mergeCells>
  <printOptions horizontalCentered="1"/>
  <pageMargins left="0.5" right="0.5" top="0.75" bottom="0.5" header="0" footer="0.25"/>
  <pageSetup scale="9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T113"/>
  <sheetViews>
    <sheetView showGridLines="0" tabSelected="1" showOutlineSymbols="0" topLeftCell="A20" zoomScale="120" zoomScaleNormal="120" workbookViewId="0">
      <selection activeCell="J49" sqref="J49"/>
    </sheetView>
  </sheetViews>
  <sheetFormatPr defaultColWidth="13" defaultRowHeight="15"/>
  <cols>
    <col min="1" max="1" width="3.88671875" style="62" customWidth="1"/>
    <col min="2" max="2" width="26.109375" style="208" bestFit="1" customWidth="1"/>
    <col min="3" max="3" width="16.5546875" style="208" customWidth="1"/>
    <col min="4" max="4" width="16.5546875" style="208" hidden="1" customWidth="1"/>
    <col min="5" max="5" width="5.6640625" style="208" customWidth="1"/>
    <col min="6" max="6" width="4.44140625" style="62" customWidth="1"/>
    <col min="7" max="7" width="6.6640625" style="62" customWidth="1"/>
    <col min="8" max="8" width="11.6640625" style="62" customWidth="1"/>
    <col min="9" max="9" width="13.88671875" style="62" customWidth="1"/>
    <col min="10" max="10" width="10.21875" style="62" customWidth="1"/>
    <col min="11" max="11" width="11.88671875" style="62" bestFit="1" customWidth="1"/>
    <col min="12" max="13" width="14.21875" style="62" customWidth="1"/>
    <col min="14" max="14" width="4.88671875" style="62" customWidth="1"/>
    <col min="15" max="15" width="4.88671875" style="208" customWidth="1"/>
    <col min="16" max="16" width="31.44140625" style="208" customWidth="1"/>
    <col min="17" max="17" width="13" style="63"/>
    <col min="18" max="18" width="10.88671875" style="67" customWidth="1"/>
    <col min="19" max="19" width="13" style="62"/>
    <col min="20" max="20" width="10.44140625" style="62" customWidth="1"/>
    <col min="21" max="21" width="12.109375" style="62" customWidth="1"/>
    <col min="22" max="22" width="13" style="62"/>
    <col min="23" max="24" width="13.88671875" style="62" customWidth="1"/>
    <col min="25" max="25" width="12.44140625" style="62" customWidth="1"/>
    <col min="26" max="26" width="13" style="62"/>
    <col min="27" max="27" width="12.21875" style="62" customWidth="1"/>
    <col min="28" max="29" width="13" style="62"/>
    <col min="30" max="30" width="12.88671875" style="62" customWidth="1"/>
    <col min="31" max="31" width="13.44140625" style="62" customWidth="1"/>
    <col min="32" max="32" width="16.109375" style="62" customWidth="1"/>
    <col min="33" max="33" width="14.109375" style="62" customWidth="1"/>
    <col min="34" max="34" width="12.88671875" style="62" customWidth="1"/>
    <col min="35" max="35" width="13" style="62"/>
    <col min="36" max="36" width="10.88671875" style="62" customWidth="1"/>
    <col min="37" max="37" width="12.88671875" style="62" customWidth="1"/>
    <col min="38" max="49" width="11.88671875" style="62" customWidth="1"/>
    <col min="50" max="16384" width="13" style="62"/>
  </cols>
  <sheetData>
    <row r="1" spans="1:35" s="58" customFormat="1" ht="15.75" thickBot="1">
      <c r="A1" s="53"/>
      <c r="B1" s="54"/>
      <c r="C1" s="54"/>
      <c r="D1" s="54"/>
      <c r="E1" s="54"/>
      <c r="F1" s="54"/>
      <c r="G1" s="54"/>
      <c r="H1" s="54"/>
      <c r="I1" s="55"/>
      <c r="J1" s="55"/>
      <c r="K1" s="55"/>
      <c r="L1" s="55"/>
      <c r="M1" s="55"/>
      <c r="N1" s="55"/>
      <c r="O1" s="54"/>
      <c r="P1" s="54"/>
      <c r="Q1" s="56"/>
      <c r="R1" s="57"/>
    </row>
    <row r="2" spans="1:35" ht="19.5" thickBot="1">
      <c r="A2" s="53"/>
      <c r="B2" s="824" t="s">
        <v>235</v>
      </c>
      <c r="C2" s="824"/>
      <c r="D2" s="53"/>
      <c r="E2" s="53"/>
      <c r="F2" s="59" t="s">
        <v>236</v>
      </c>
      <c r="G2" s="60"/>
      <c r="H2" s="60"/>
      <c r="I2" s="61" t="s">
        <v>237</v>
      </c>
      <c r="J2" s="60"/>
      <c r="K2" s="60"/>
      <c r="L2" s="60"/>
      <c r="M2" s="59" t="s">
        <v>236</v>
      </c>
      <c r="O2" s="53"/>
      <c r="P2" s="53"/>
      <c r="R2" s="231" t="s">
        <v>238</v>
      </c>
      <c r="S2" s="230"/>
      <c r="T2" s="229"/>
      <c r="AF2" s="821" t="s">
        <v>239</v>
      </c>
      <c r="AG2" s="822"/>
      <c r="AH2" s="822"/>
      <c r="AI2" s="823"/>
    </row>
    <row r="3" spans="1:35" ht="15.75">
      <c r="A3" s="53"/>
      <c r="B3" s="53"/>
      <c r="C3" s="53"/>
      <c r="D3" s="53"/>
      <c r="E3" s="53"/>
      <c r="F3" s="64"/>
      <c r="G3" s="65"/>
      <c r="K3" s="66" t="s">
        <v>240</v>
      </c>
      <c r="M3" s="66" t="s">
        <v>241</v>
      </c>
      <c r="O3" s="53"/>
      <c r="P3" s="53"/>
      <c r="R3" s="62"/>
      <c r="T3" s="62" t="s">
        <v>242</v>
      </c>
      <c r="V3" s="67" t="s">
        <v>242</v>
      </c>
      <c r="W3" s="67" t="s">
        <v>242</v>
      </c>
      <c r="X3" s="67" t="s">
        <v>242</v>
      </c>
      <c r="Y3" s="67" t="s">
        <v>243</v>
      </c>
      <c r="Z3" s="67" t="s">
        <v>243</v>
      </c>
      <c r="AA3" s="67" t="s">
        <v>243</v>
      </c>
      <c r="AB3" s="67" t="s">
        <v>243</v>
      </c>
      <c r="AC3" s="67" t="s">
        <v>243</v>
      </c>
      <c r="AD3" s="67" t="s">
        <v>243</v>
      </c>
      <c r="AE3" s="67" t="s">
        <v>244</v>
      </c>
      <c r="AF3" s="67" t="s">
        <v>184</v>
      </c>
      <c r="AG3" s="67" t="s">
        <v>245</v>
      </c>
      <c r="AH3" s="67"/>
    </row>
    <row r="4" spans="1:35" ht="19.5" thickBot="1">
      <c r="A4" s="53"/>
      <c r="B4" s="68" t="s">
        <v>246</v>
      </c>
      <c r="C4" s="228"/>
      <c r="D4" s="69"/>
      <c r="E4" s="53"/>
      <c r="F4" s="70"/>
      <c r="G4" s="65"/>
      <c r="H4" s="71" t="s">
        <v>247</v>
      </c>
      <c r="I4" s="71" t="s">
        <v>248</v>
      </c>
      <c r="J4" s="71" t="s">
        <v>249</v>
      </c>
      <c r="K4" s="71" t="s">
        <v>250</v>
      </c>
      <c r="L4" s="71" t="s">
        <v>251</v>
      </c>
      <c r="M4" s="71" t="s">
        <v>252</v>
      </c>
      <c r="O4" s="72"/>
      <c r="P4" s="53"/>
      <c r="R4" s="62"/>
      <c r="T4" s="67" t="s">
        <v>253</v>
      </c>
      <c r="V4" s="67" t="s">
        <v>254</v>
      </c>
      <c r="W4" s="67" t="s">
        <v>255</v>
      </c>
      <c r="X4" s="67" t="s">
        <v>256</v>
      </c>
      <c r="Y4" s="67" t="s">
        <v>257</v>
      </c>
      <c r="Z4" s="67" t="s">
        <v>257</v>
      </c>
      <c r="AA4" s="67" t="s">
        <v>257</v>
      </c>
      <c r="AB4" s="67" t="s">
        <v>255</v>
      </c>
      <c r="AC4" s="67" t="s">
        <v>253</v>
      </c>
      <c r="AD4" s="67" t="s">
        <v>253</v>
      </c>
      <c r="AE4" s="67" t="s">
        <v>258</v>
      </c>
      <c r="AF4" s="67" t="s">
        <v>259</v>
      </c>
      <c r="AG4" s="67" t="s">
        <v>260</v>
      </c>
      <c r="AH4" s="67" t="s">
        <v>261</v>
      </c>
      <c r="AI4" s="67" t="s">
        <v>262</v>
      </c>
    </row>
    <row r="5" spans="1:35" ht="15.75">
      <c r="A5" s="53"/>
      <c r="B5" s="73" t="s">
        <v>263</v>
      </c>
      <c r="C5" s="74">
        <f>+Operations!L26</f>
        <v>6061122.224589929</v>
      </c>
      <c r="D5" s="69"/>
      <c r="E5" s="53"/>
      <c r="F5" s="75" t="s">
        <v>264</v>
      </c>
      <c r="G5" s="76"/>
      <c r="H5" s="76"/>
      <c r="I5" s="71" t="s">
        <v>265</v>
      </c>
      <c r="J5" s="71" t="s">
        <v>184</v>
      </c>
      <c r="K5" s="77" t="s">
        <v>22</v>
      </c>
      <c r="L5" s="77" t="s">
        <v>266</v>
      </c>
      <c r="M5" s="77" t="s">
        <v>184</v>
      </c>
      <c r="O5" s="78"/>
      <c r="P5" s="53"/>
      <c r="R5" s="79"/>
      <c r="T5" s="67" t="s">
        <v>267</v>
      </c>
      <c r="U5" s="67" t="s">
        <v>268</v>
      </c>
      <c r="V5" s="67" t="s">
        <v>269</v>
      </c>
      <c r="W5" s="67" t="s">
        <v>270</v>
      </c>
      <c r="X5" s="67" t="s">
        <v>271</v>
      </c>
      <c r="Y5" s="67" t="s">
        <v>92</v>
      </c>
      <c r="Z5" s="67" t="s">
        <v>272</v>
      </c>
      <c r="AA5" s="67" t="s">
        <v>96</v>
      </c>
      <c r="AB5" s="67" t="s">
        <v>273</v>
      </c>
      <c r="AC5" s="67" t="s">
        <v>267</v>
      </c>
      <c r="AD5" s="67" t="s">
        <v>274</v>
      </c>
      <c r="AE5" s="67" t="s">
        <v>73</v>
      </c>
      <c r="AF5" s="67" t="s">
        <v>275</v>
      </c>
      <c r="AG5" s="67" t="s">
        <v>275</v>
      </c>
      <c r="AH5" s="67" t="s">
        <v>73</v>
      </c>
      <c r="AI5" s="67" t="s">
        <v>244</v>
      </c>
    </row>
    <row r="6" spans="1:35" ht="15.75">
      <c r="A6" s="53"/>
      <c r="B6" s="73" t="s">
        <v>276</v>
      </c>
      <c r="C6" s="227">
        <f>+Operations!L80</f>
        <v>6511934.5996562848</v>
      </c>
      <c r="D6" s="69"/>
      <c r="E6" s="53"/>
      <c r="F6" s="80" t="s">
        <v>277</v>
      </c>
      <c r="G6" s="76"/>
      <c r="H6" s="76"/>
      <c r="I6" s="81"/>
      <c r="J6" s="82" t="s">
        <v>197</v>
      </c>
      <c r="K6" s="83"/>
      <c r="L6" s="82" t="s">
        <v>278</v>
      </c>
      <c r="M6" s="82" t="s">
        <v>279</v>
      </c>
      <c r="O6" s="78"/>
      <c r="P6" s="53"/>
      <c r="R6" s="222">
        <v>1</v>
      </c>
      <c r="S6" s="221">
        <f>Revenue/Investment*100</f>
        <v>106.95243632727831</v>
      </c>
      <c r="T6" s="220">
        <f>EXP(y_inter1-(slope*LN(+S6)))</f>
        <v>12.53131966141361</v>
      </c>
      <c r="U6" s="219">
        <f>(+S6*T6/100)/100</f>
        <v>0.13402551681841099</v>
      </c>
      <c r="V6" s="219">
        <f>regDebt_weighted</f>
        <v>3.5860000000000003E-2</v>
      </c>
      <c r="W6" s="219">
        <f>+U6-V6</f>
        <v>9.8165516818410986E-2</v>
      </c>
      <c r="X6" s="219">
        <f>+((W6*(1-0.34))-Pfd_weighted)/Equity_percent</f>
        <v>0.17034663110509085</v>
      </c>
      <c r="Y6" s="219">
        <f>X6*equityP</f>
        <v>9.3133837864073768E-2</v>
      </c>
      <c r="Z6" s="219">
        <f>+Y6/(1-taxrate)</f>
        <v>0.11789093400515667</v>
      </c>
      <c r="AA6" s="219">
        <f>debtP*Debt_Rate</f>
        <v>2.3252410453642718E-2</v>
      </c>
      <c r="AB6" s="219">
        <f>AA6+Z6</f>
        <v>0.14114334445879939</v>
      </c>
      <c r="AC6" s="219">
        <f>AB6/(S6/100)</f>
        <v>0.13196833032105568</v>
      </c>
      <c r="AD6" s="219">
        <f>1-AC6</f>
        <v>0.8680316696789443</v>
      </c>
      <c r="AE6" s="216">
        <f>expenses/(AD6)</f>
        <v>7501955.0865751598</v>
      </c>
      <c r="AF6" s="218">
        <f>+AE6-Revenue</f>
        <v>1440832.8619852308</v>
      </c>
      <c r="AG6" s="217">
        <f ca="1">+AF6/$J$49</f>
        <v>1670703.1407863158</v>
      </c>
      <c r="AH6" s="217">
        <f ca="1">+AG6*$J$47</f>
        <v>40900.34807097973</v>
      </c>
      <c r="AI6" s="216">
        <f ca="1">ROUND(+AH6+AE6,5)</f>
        <v>7542855.4346500002</v>
      </c>
    </row>
    <row r="7" spans="1:35" ht="15.75">
      <c r="A7" s="53"/>
      <c r="B7" s="73" t="s">
        <v>131</v>
      </c>
      <c r="C7" s="227">
        <f>+'WP-1 - Summary Depr'!P21</f>
        <v>5667119.3595278906</v>
      </c>
      <c r="D7" s="69"/>
      <c r="E7" s="53"/>
      <c r="F7" s="226">
        <v>1</v>
      </c>
      <c r="G7" s="76"/>
      <c r="H7" s="84" t="s">
        <v>263</v>
      </c>
      <c r="I7" s="85">
        <f>IF(A65=TRUE,C5,0)</f>
        <v>6061122.224589929</v>
      </c>
      <c r="J7" s="85">
        <f ca="1">(+$I8/($R51))-I7</f>
        <v>1285954.597424767</v>
      </c>
      <c r="K7" s="85">
        <f ca="1">+I7+J7</f>
        <v>7347076.822014696</v>
      </c>
      <c r="L7" s="85">
        <f ca="1">((+J7/J49*K35)-J7)</f>
        <v>36503.880516495788</v>
      </c>
      <c r="M7" s="85">
        <f ca="1">IFERROR(+K7+L7,0.00001)</f>
        <v>7383580.7025311915</v>
      </c>
      <c r="O7" s="78"/>
      <c r="P7" s="53"/>
      <c r="R7" s="86">
        <v>2</v>
      </c>
      <c r="S7" s="87">
        <f>Revenue/Investment*100</f>
        <v>106.95243632727831</v>
      </c>
      <c r="T7" s="88">
        <f>EXP(y_inter1-(slope*LN(+S7)))</f>
        <v>12.53131966141361</v>
      </c>
      <c r="U7" s="89">
        <f>(+S7*T7/100)/100</f>
        <v>0.13402551681841099</v>
      </c>
      <c r="V7" s="89">
        <f>regDebt_weighted</f>
        <v>3.5860000000000003E-2</v>
      </c>
      <c r="W7" s="89">
        <f>+U7-V7</f>
        <v>9.8165516818410986E-2</v>
      </c>
      <c r="X7" s="89">
        <f>+((W7*(1-0.34))-Pfd_weighted)/Equity_percent</f>
        <v>0.17034663110509085</v>
      </c>
      <c r="Y7" s="89">
        <f>X7*equityP</f>
        <v>9.3133837864073768E-2</v>
      </c>
      <c r="Z7" s="89">
        <f>+Y7/(1-taxrate)</f>
        <v>0.11789093400515667</v>
      </c>
      <c r="AA7" s="89">
        <f>debtP*Debt_Rate</f>
        <v>2.3252410453642718E-2</v>
      </c>
      <c r="AB7" s="89">
        <f>AA7+Z7</f>
        <v>0.14114334445879939</v>
      </c>
      <c r="AC7" s="89">
        <f>AB7/(S7/100)</f>
        <v>0.13196833032105568</v>
      </c>
      <c r="AD7" s="89">
        <f>1-AC7</f>
        <v>0.8680316696789443</v>
      </c>
      <c r="AE7" s="90">
        <f>expenses/(AD7)</f>
        <v>7501955.0865751598</v>
      </c>
      <c r="AF7" s="91">
        <f>+AE7-Revenue</f>
        <v>1440832.8619852308</v>
      </c>
      <c r="AG7" s="92">
        <f ca="1">+AF7/$J$49</f>
        <v>1670703.1407863158</v>
      </c>
      <c r="AH7" s="92">
        <f ca="1">+AG7*$J$47</f>
        <v>40900.34807097973</v>
      </c>
      <c r="AI7" s="90">
        <f ca="1">ROUND(+AH7+AE7,5)</f>
        <v>7542855.4346500002</v>
      </c>
    </row>
    <row r="8" spans="1:35" ht="15.75">
      <c r="A8" s="53"/>
      <c r="B8" s="73" t="s">
        <v>280</v>
      </c>
      <c r="C8" s="225">
        <f>+'WP-5 - Capital Structure'!H9</f>
        <v>0.45326868362534672</v>
      </c>
      <c r="D8" s="69"/>
      <c r="E8" s="53"/>
      <c r="F8" s="93">
        <f t="shared" ref="F8:F49" si="0">+F7+1</f>
        <v>2</v>
      </c>
      <c r="G8" s="76"/>
      <c r="H8" s="84" t="s">
        <v>276</v>
      </c>
      <c r="I8" s="85">
        <f>IF(A65=TRUE,C6,0)</f>
        <v>6511934.5996562848</v>
      </c>
      <c r="J8" s="65"/>
      <c r="K8" s="85">
        <f>+I8</f>
        <v>6511934.5996562848</v>
      </c>
      <c r="L8" s="85">
        <f ca="1">+L7</f>
        <v>36503.880516495788</v>
      </c>
      <c r="M8" s="85">
        <f ca="1">IFERROR(+K8+L8,0.00001)</f>
        <v>6548438.4801727803</v>
      </c>
      <c r="O8" s="78"/>
      <c r="P8" s="53"/>
      <c r="R8" s="94">
        <v>3</v>
      </c>
      <c r="S8" s="87">
        <f>Revenue/Investment*100</f>
        <v>106.95243632727831</v>
      </c>
      <c r="T8" s="88">
        <f>EXP(y_inter1-(slope*LN(+S8)))</f>
        <v>12.53131966141361</v>
      </c>
      <c r="U8" s="89">
        <f>(+S8*T8/100)/100</f>
        <v>0.13402551681841099</v>
      </c>
      <c r="V8" s="89">
        <f>regDebt_weighted</f>
        <v>3.5860000000000003E-2</v>
      </c>
      <c r="W8" s="89">
        <f>+U8-V8</f>
        <v>9.8165516818410986E-2</v>
      </c>
      <c r="X8" s="89">
        <f>+((W8*(1-0.34))-Pfd_weighted)/Equity_percent</f>
        <v>0.17034663110509085</v>
      </c>
      <c r="Y8" s="89">
        <f>X8*equityP</f>
        <v>9.3133837864073768E-2</v>
      </c>
      <c r="Z8" s="89">
        <f>+Y8/(1-taxrate)</f>
        <v>0.11789093400515667</v>
      </c>
      <c r="AA8" s="89">
        <f>debtP*Debt_Rate</f>
        <v>2.3252410453642718E-2</v>
      </c>
      <c r="AB8" s="89">
        <f>AA8+Z8</f>
        <v>0.14114334445879939</v>
      </c>
      <c r="AC8" s="89">
        <f>AB8/(S8/100)</f>
        <v>0.13196833032105568</v>
      </c>
      <c r="AD8" s="89">
        <f>1-AC8</f>
        <v>0.8680316696789443</v>
      </c>
      <c r="AE8" s="90">
        <f>expenses/(AD8)</f>
        <v>7501955.0865751598</v>
      </c>
      <c r="AF8" s="91">
        <f>+AE8-Revenue</f>
        <v>1440832.8619852308</v>
      </c>
      <c r="AG8" s="92">
        <f ca="1">+AF8/$J$49</f>
        <v>1670703.1407863158</v>
      </c>
      <c r="AH8" s="92">
        <f ca="1">+AG8*$J$47</f>
        <v>40900.34807097973</v>
      </c>
      <c r="AI8" s="90">
        <f ca="1">ROUND(+AH8+AE8,5)</f>
        <v>7542855.4346500002</v>
      </c>
    </row>
    <row r="9" spans="1:35" ht="15.75">
      <c r="A9" s="53"/>
      <c r="B9" s="73" t="s">
        <v>281</v>
      </c>
      <c r="C9" s="236">
        <f>+'WP-5 - Capital Structure'!F12</f>
        <v>5.1299397672181134E-2</v>
      </c>
      <c r="D9" s="69"/>
      <c r="E9" s="53"/>
      <c r="F9" s="93">
        <f t="shared" si="0"/>
        <v>3</v>
      </c>
      <c r="G9" s="76"/>
      <c r="H9" s="84" t="s">
        <v>282</v>
      </c>
      <c r="I9" s="224">
        <f>+I7-I8</f>
        <v>-450812.3750663558</v>
      </c>
      <c r="J9" s="65"/>
      <c r="K9" s="224">
        <f ca="1">+K7-K8</f>
        <v>835142.22235841118</v>
      </c>
      <c r="L9" s="76"/>
      <c r="M9" s="223">
        <f ca="1">+M7-M8</f>
        <v>835142.22235841118</v>
      </c>
      <c r="O9" s="78"/>
      <c r="P9" s="53"/>
      <c r="R9" s="95">
        <v>4</v>
      </c>
      <c r="S9" s="87">
        <f>Revenue/Investment*100</f>
        <v>106.95243632727831</v>
      </c>
      <c r="T9" s="88">
        <f>EXP(y_inter1-(slope*LN(+S9)))</f>
        <v>12.53131966141361</v>
      </c>
      <c r="U9" s="89">
        <f>(+S9*T9/100)/100</f>
        <v>0.13402551681841099</v>
      </c>
      <c r="V9" s="89">
        <f>regDebt_weighted</f>
        <v>3.5860000000000003E-2</v>
      </c>
      <c r="W9" s="89">
        <f>+U9-V9</f>
        <v>9.8165516818410986E-2</v>
      </c>
      <c r="X9" s="89">
        <f>+((W9*(1-0.34))-Pfd_weighted)/Equity_percent</f>
        <v>0.17034663110509085</v>
      </c>
      <c r="Y9" s="89">
        <f>X9*equityP</f>
        <v>9.3133837864073768E-2</v>
      </c>
      <c r="Z9" s="89">
        <f>+Y9/(1-taxrate)</f>
        <v>0.11789093400515667</v>
      </c>
      <c r="AA9" s="89">
        <f>debtP*Debt_Rate</f>
        <v>2.3252410453642718E-2</v>
      </c>
      <c r="AB9" s="89">
        <f>AA9+Z9</f>
        <v>0.14114334445879939</v>
      </c>
      <c r="AC9" s="89">
        <f>AB9/(S9/100)</f>
        <v>0.13196833032105568</v>
      </c>
      <c r="AD9" s="89">
        <f>1-AC9</f>
        <v>0.8680316696789443</v>
      </c>
      <c r="AE9" s="90">
        <f>expenses/(AD9)</f>
        <v>7501955.0865751598</v>
      </c>
      <c r="AF9" s="91">
        <f>+AE9-Revenue</f>
        <v>1440832.8619852308</v>
      </c>
      <c r="AG9" s="92">
        <f ca="1">+AF9/$J$49</f>
        <v>1670703.1407863158</v>
      </c>
      <c r="AH9" s="92">
        <f ca="1">+AG9*$J$47</f>
        <v>40900.34807097973</v>
      </c>
      <c r="AI9" s="90">
        <f ca="1">ROUND(+AH9+AE9,5)</f>
        <v>7542855.4346500002</v>
      </c>
    </row>
    <row r="10" spans="1:35" ht="15.75">
      <c r="A10" s="53"/>
      <c r="B10" s="96" t="s">
        <v>283</v>
      </c>
      <c r="C10" s="225">
        <v>0.21</v>
      </c>
      <c r="D10" s="69"/>
      <c r="E10" s="53"/>
      <c r="F10" s="93">
        <f t="shared" si="0"/>
        <v>4</v>
      </c>
      <c r="G10" s="76"/>
      <c r="H10" s="76"/>
      <c r="I10" s="65"/>
      <c r="J10" s="65"/>
      <c r="K10" s="85"/>
      <c r="L10" s="76"/>
      <c r="M10" s="76"/>
      <c r="N10" s="76"/>
      <c r="O10" s="78"/>
      <c r="P10" s="53"/>
      <c r="R10" s="67" t="s">
        <v>284</v>
      </c>
    </row>
    <row r="11" spans="1:35" ht="15.75">
      <c r="A11" s="53"/>
      <c r="B11" s="73" t="s">
        <v>285</v>
      </c>
      <c r="C11" s="215">
        <v>1.7500000000000002E-2</v>
      </c>
      <c r="D11" s="69"/>
      <c r="E11" s="53"/>
      <c r="F11" s="93">
        <f t="shared" si="0"/>
        <v>5</v>
      </c>
      <c r="G11" s="76"/>
      <c r="H11" s="84" t="s">
        <v>93</v>
      </c>
      <c r="I11" s="85">
        <f>+K11</f>
        <v>131774.18543752734</v>
      </c>
      <c r="J11" s="65"/>
      <c r="K11" s="85">
        <f>+M27</f>
        <v>131774.18543752734</v>
      </c>
      <c r="L11" s="76"/>
      <c r="M11" s="85">
        <f>+K11</f>
        <v>131774.18543752734</v>
      </c>
      <c r="O11" s="78"/>
      <c r="P11" s="53"/>
      <c r="R11" s="222">
        <v>1</v>
      </c>
      <c r="S11" s="221">
        <f ca="1">IF((AI6/Investment*100)&gt;0,(AI6/Investment*100),0)</f>
        <v>133.0985807095895</v>
      </c>
      <c r="T11" s="220">
        <f ca="1">EXP(y_inter1-(slope*LN(S11)))</f>
        <v>10.790956878465078</v>
      </c>
      <c r="U11" s="219">
        <f ca="1">(+S11*T11/100)/100</f>
        <v>0.14362610450220839</v>
      </c>
      <c r="V11" s="219">
        <f>regDebt_weighted</f>
        <v>3.5860000000000003E-2</v>
      </c>
      <c r="W11" s="219">
        <f ca="1">+U11-V11</f>
        <v>0.10776610450220839</v>
      </c>
      <c r="X11" s="219">
        <f ca="1">+((W11*(1-0.34))-Pfd_weighted)/Equity_percent</f>
        <v>0.18876636328912072</v>
      </c>
      <c r="Y11" s="219">
        <f ca="1">+X11*equityP</f>
        <v>0.10320448228831698</v>
      </c>
      <c r="Z11" s="219">
        <f ca="1">+Y11/(1-taxrate)</f>
        <v>0.13063858517508478</v>
      </c>
      <c r="AA11" s="219">
        <f>debtP*Debt_Rate</f>
        <v>2.3252410453642718E-2</v>
      </c>
      <c r="AB11" s="219">
        <f ca="1">+AA11+Z11</f>
        <v>0.15389099562872749</v>
      </c>
      <c r="AC11" s="219">
        <f ca="1">+AB11/(S11/100)</f>
        <v>0.11562181565595006</v>
      </c>
      <c r="AD11" s="219">
        <f ca="1">1-AC11</f>
        <v>0.88437818434404991</v>
      </c>
      <c r="AE11" s="216">
        <f ca="1">expenses/(AD11)</f>
        <v>7363291.7624333268</v>
      </c>
      <c r="AF11" s="218">
        <f ca="1">+AE11-Revenue</f>
        <v>1302169.5378433978</v>
      </c>
      <c r="AG11" s="217">
        <f ca="1">+AF11/$J$49</f>
        <v>1509917.4887736079</v>
      </c>
      <c r="AH11" s="217">
        <f ca="1">+AG11*$J$47</f>
        <v>36964.167566139062</v>
      </c>
      <c r="AI11" s="216">
        <f ca="1">ROUND(+AH11+AE11,5)</f>
        <v>7400255.9299999997</v>
      </c>
    </row>
    <row r="12" spans="1:35" ht="15.75">
      <c r="A12" s="53"/>
      <c r="B12" s="73" t="s">
        <v>12</v>
      </c>
      <c r="C12" s="215">
        <v>5.1000000000000004E-3</v>
      </c>
      <c r="D12" s="69"/>
      <c r="E12" s="53"/>
      <c r="F12" s="93">
        <f t="shared" si="0"/>
        <v>6</v>
      </c>
      <c r="G12" s="76"/>
      <c r="H12" s="84" t="s">
        <v>286</v>
      </c>
      <c r="I12" s="85">
        <f ca="1">IF(I14&lt;0,0,+J38*I14)</f>
        <v>0</v>
      </c>
      <c r="J12" s="85">
        <f ca="1">+K12-I12</f>
        <v>147707.28775338561</v>
      </c>
      <c r="K12" s="85">
        <f ca="1">+(K9-K11)*taxrate</f>
        <v>147707.28775338561</v>
      </c>
      <c r="L12" s="76"/>
      <c r="M12" s="85">
        <f ca="1">+K12</f>
        <v>147707.28775338561</v>
      </c>
      <c r="O12" s="78"/>
      <c r="P12" s="53"/>
      <c r="R12" s="86">
        <v>2</v>
      </c>
      <c r="S12" s="87">
        <f ca="1">IF((AI7/Investment*100)&gt;0,(AI7/Investment*100),0)</f>
        <v>133.0985807095895</v>
      </c>
      <c r="T12" s="97">
        <f ca="1">EXP(y_inter2-(slope*LN(+S12)))</f>
        <v>10.637425148530317</v>
      </c>
      <c r="U12" s="89">
        <f ca="1">(+S12*T12/100)/100</f>
        <v>0.14158261896738794</v>
      </c>
      <c r="V12" s="89">
        <f>regDebt_weighted</f>
        <v>3.5860000000000003E-2</v>
      </c>
      <c r="W12" s="89">
        <f ca="1">+U12-V12</f>
        <v>0.10572261896738794</v>
      </c>
      <c r="X12" s="89">
        <f ca="1">+((W12*(1-0.34))-Pfd_weighted)/Equity_percent</f>
        <v>0.18484572243743033</v>
      </c>
      <c r="Y12" s="89">
        <f ca="1">+X12*equityP</f>
        <v>0.10106094515444006</v>
      </c>
      <c r="Z12" s="89">
        <f ca="1">+Y12/(1-taxrate)</f>
        <v>0.12792524703093677</v>
      </c>
      <c r="AA12" s="89">
        <f>debtP*Debt_Rate</f>
        <v>2.3252410453642718E-2</v>
      </c>
      <c r="AB12" s="89">
        <f ca="1">+AA12+Z12</f>
        <v>0.15117765748457948</v>
      </c>
      <c r="AC12" s="89">
        <f ca="1">+AB12/(S12/100)</f>
        <v>0.11358322281019441</v>
      </c>
      <c r="AD12" s="89">
        <f ca="1">1-AC12</f>
        <v>0.8864167771898056</v>
      </c>
      <c r="AE12" s="90">
        <f ca="1">expenses/(AD12)</f>
        <v>7346357.5681644669</v>
      </c>
      <c r="AF12" s="91">
        <f ca="1">+AE12-Revenue</f>
        <v>1285235.3435745379</v>
      </c>
      <c r="AG12" s="92">
        <f ca="1">+AF12/$J$49</f>
        <v>1490281.6154546943</v>
      </c>
      <c r="AH12" s="92">
        <f ca="1">+AG12*$J$47</f>
        <v>36483.463344177013</v>
      </c>
      <c r="AI12" s="90">
        <f ca="1">ROUND(+AH12+AE12,5)</f>
        <v>7382841.0315100001</v>
      </c>
    </row>
    <row r="13" spans="1:35" ht="15.75">
      <c r="A13" s="53"/>
      <c r="B13" s="73" t="s">
        <v>287</v>
      </c>
      <c r="C13" s="215">
        <v>0</v>
      </c>
      <c r="D13" s="69"/>
      <c r="E13" s="53"/>
      <c r="F13" s="93">
        <f t="shared" si="0"/>
        <v>7</v>
      </c>
      <c r="G13" s="76"/>
      <c r="H13" s="76"/>
      <c r="I13" s="65"/>
      <c r="J13" s="65"/>
      <c r="K13" s="85"/>
      <c r="L13" s="76"/>
      <c r="M13" s="76"/>
      <c r="O13" s="78"/>
      <c r="P13" s="53"/>
      <c r="R13" s="94">
        <v>3</v>
      </c>
      <c r="S13" s="87">
        <f ca="1">IF((AI8/Investment*100)&gt;0,(AI8/Investment*100),0)</f>
        <v>133.0985807095895</v>
      </c>
      <c r="T13" s="88">
        <f ca="1">EXP(y_inter3-(slope*LN(S13)))</f>
        <v>10.534003542033297</v>
      </c>
      <c r="U13" s="89">
        <f ca="1">(+S13*T13/100)/100</f>
        <v>0.14020609206344203</v>
      </c>
      <c r="V13" s="89">
        <f>regDebt_weighted</f>
        <v>3.5860000000000003E-2</v>
      </c>
      <c r="W13" s="89">
        <f ca="1">+U13-V13</f>
        <v>0.10434609206344203</v>
      </c>
      <c r="X13" s="89">
        <f ca="1">+((W13*(1-0.34))-Pfd_weighted)/Equity_percent</f>
        <v>0.18220471151706899</v>
      </c>
      <c r="Y13" s="89">
        <f ca="1">+X13*equityP</f>
        <v>9.9617021777391068E-2</v>
      </c>
      <c r="Z13" s="89">
        <f ca="1">+Y13/(1-taxrate)</f>
        <v>0.12609749592074818</v>
      </c>
      <c r="AA13" s="89">
        <f>debtP*Debt_Rate</f>
        <v>2.3252410453642718E-2</v>
      </c>
      <c r="AB13" s="89">
        <f ca="1">+AA13+Z13</f>
        <v>0.14934990637439088</v>
      </c>
      <c r="AC13" s="89">
        <f ca="1">+AB13/(S13/100)</f>
        <v>0.11220999170551674</v>
      </c>
      <c r="AD13" s="89">
        <f ca="1">1-AC13</f>
        <v>0.88779000829448329</v>
      </c>
      <c r="AE13" s="90">
        <f ca="1">expenses/(AD13)</f>
        <v>7334994.2428009976</v>
      </c>
      <c r="AF13" s="91">
        <f ca="1">+AE13-Revenue</f>
        <v>1273872.0182110686</v>
      </c>
      <c r="AG13" s="92">
        <f ca="1">+AF13/$J$49</f>
        <v>1477105.386708518</v>
      </c>
      <c r="AH13" s="92">
        <f ca="1">+AG13*$J$47</f>
        <v>36160.897157027917</v>
      </c>
      <c r="AI13" s="90">
        <f ca="1">ROUND(+AH13+AE13,5)</f>
        <v>7371155.1399600003</v>
      </c>
    </row>
    <row r="14" spans="1:35" ht="16.5" thickBot="1">
      <c r="A14" s="53"/>
      <c r="B14" s="98" t="s">
        <v>288</v>
      </c>
      <c r="C14" s="215">
        <f>+'WP-8 - Bad Debts'!C29</f>
        <v>1.8809188852844292E-3</v>
      </c>
      <c r="D14" s="69"/>
      <c r="E14" s="53"/>
      <c r="F14" s="93">
        <f t="shared" si="0"/>
        <v>8</v>
      </c>
      <c r="G14" s="76"/>
      <c r="H14" s="76" t="s">
        <v>101</v>
      </c>
      <c r="I14" s="214">
        <f ca="1">+I9-SUM(I11:I13)</f>
        <v>-582586.56050388317</v>
      </c>
      <c r="J14" s="65"/>
      <c r="K14" s="214">
        <f ca="1">+K9-SUM(K11:K13)</f>
        <v>555660.7491674982</v>
      </c>
      <c r="L14" s="76"/>
      <c r="M14" s="214">
        <f ca="1">+M9-SUM(M11:M13)</f>
        <v>555660.7491674982</v>
      </c>
      <c r="O14" s="78"/>
      <c r="P14" s="53"/>
      <c r="R14" s="95">
        <v>4</v>
      </c>
      <c r="S14" s="87">
        <f ca="1">IF((AI9/Investment*100)&gt;0,(AI9/Investment*100),0)</f>
        <v>133.0985807095895</v>
      </c>
      <c r="T14" s="99">
        <f ca="1">EXP(y_inter4-(slope*LN(S14)))</f>
        <v>10.467847928709999</v>
      </c>
      <c r="U14" s="89">
        <f ca="1">(+S14*T14/100)/100</f>
        <v>0.1393255702395117</v>
      </c>
      <c r="V14" s="89">
        <f>regDebt_weighted</f>
        <v>3.5860000000000003E-2</v>
      </c>
      <c r="W14" s="89">
        <f ca="1">+U14-V14</f>
        <v>0.10346557023951169</v>
      </c>
      <c r="X14" s="89">
        <f ca="1">+((W14*(1-0.34))-Pfd_weighted)/Equity_percent</f>
        <v>0.18051533825022592</v>
      </c>
      <c r="Y14" s="89">
        <f ca="1">+X14*equityP</f>
        <v>9.8693388507361812E-2</v>
      </c>
      <c r="Z14" s="89">
        <f ca="1">+Y14/(1-taxrate)</f>
        <v>0.12492833988273647</v>
      </c>
      <c r="AA14" s="89">
        <f>debtP*Debt_Rate</f>
        <v>2.3252410453642718E-2</v>
      </c>
      <c r="AB14" s="89">
        <f ca="1">+AA14+Z14</f>
        <v>0.14818075033637917</v>
      </c>
      <c r="AC14" s="89">
        <f ca="1">+AB14/(S14/100)</f>
        <v>0.11133157810277312</v>
      </c>
      <c r="AD14" s="89">
        <f ca="1">1-AC14</f>
        <v>0.88866842189722683</v>
      </c>
      <c r="AE14" s="90">
        <f ca="1">expenses/(AD14)</f>
        <v>7327743.8909710469</v>
      </c>
      <c r="AF14" s="91">
        <f ca="1">+AE14-Revenue</f>
        <v>1266621.6663811179</v>
      </c>
      <c r="AG14" s="92">
        <f ca="1">+AF14/$J$49</f>
        <v>1468698.3147339004</v>
      </c>
      <c r="AH14" s="92">
        <f ca="1">+AG14*$J$47</f>
        <v>35955.08430995456</v>
      </c>
      <c r="AI14" s="90">
        <f ca="1">ROUND(+AH14+AE14,5)</f>
        <v>7363698.9752799999</v>
      </c>
    </row>
    <row r="15" spans="1:35" ht="16.5" thickTop="1">
      <c r="A15" s="53"/>
      <c r="B15" s="826"/>
      <c r="C15" s="826"/>
      <c r="D15" s="53"/>
      <c r="E15" s="53"/>
      <c r="F15" s="93">
        <f t="shared" si="0"/>
        <v>9</v>
      </c>
      <c r="G15" s="65"/>
      <c r="H15" s="65"/>
      <c r="I15" s="65"/>
      <c r="J15" s="65"/>
      <c r="K15" s="100"/>
      <c r="L15" s="65"/>
      <c r="M15" s="65"/>
      <c r="O15" s="78"/>
      <c r="P15" s="53"/>
      <c r="R15" s="67" t="s">
        <v>289</v>
      </c>
    </row>
    <row r="16" spans="1:35" ht="15.75">
      <c r="A16" s="53"/>
      <c r="B16" s="101" t="s">
        <v>290</v>
      </c>
      <c r="C16" s="826"/>
      <c r="D16" s="826"/>
      <c r="E16" s="53"/>
      <c r="F16" s="93">
        <f t="shared" si="0"/>
        <v>10</v>
      </c>
      <c r="G16" s="65"/>
      <c r="H16" s="84" t="s">
        <v>291</v>
      </c>
      <c r="I16" s="102">
        <f>+I8/I7</f>
        <v>1.0743777073554817</v>
      </c>
      <c r="J16" s="103"/>
      <c r="K16" s="102">
        <f ca="1">+K8/K7</f>
        <v>0.88632999999999995</v>
      </c>
      <c r="L16" s="104"/>
      <c r="M16" s="102">
        <f ca="1">+M8/M7</f>
        <v>0.88689197612858583</v>
      </c>
      <c r="O16" s="78"/>
      <c r="P16" s="53"/>
      <c r="R16" s="105">
        <v>1</v>
      </c>
      <c r="S16" s="106">
        <f ca="1">AI11/Investment*100</f>
        <v>130.5823198792921</v>
      </c>
      <c r="T16" s="107">
        <f ca="1">EXP(y_inter1-(slope*LN(+S16)))</f>
        <v>10.932687342791811</v>
      </c>
      <c r="U16" s="108">
        <f ca="1">(+S16*T16/100)/100</f>
        <v>0.14276156757367281</v>
      </c>
      <c r="V16" s="108">
        <f>regDebt_weighted</f>
        <v>3.5860000000000003E-2</v>
      </c>
      <c r="W16" s="108">
        <f ca="1">+U16-V16</f>
        <v>0.10690156757367281</v>
      </c>
      <c r="X16" s="108">
        <f ca="1">+((W16*(1-0.34))-Pfd_weighted)/Equity_percent</f>
        <v>0.18710765871693036</v>
      </c>
      <c r="Y16" s="108">
        <f ca="1">+X16*equityP</f>
        <v>0.10229761655408669</v>
      </c>
      <c r="Z16" s="108">
        <f ca="1">+Y16/(1-taxrate)</f>
        <v>0.1294906538659325</v>
      </c>
      <c r="AA16" s="108">
        <f>debtP*Debt_Rate</f>
        <v>2.3252410453642718E-2</v>
      </c>
      <c r="AB16" s="108">
        <f ca="1">+AA16+Z16</f>
        <v>0.15274306431957521</v>
      </c>
      <c r="AC16" s="108">
        <f ca="1">+AB16/(S16/100)</f>
        <v>0.11697070817915327</v>
      </c>
      <c r="AD16" s="108">
        <f ca="1">1-AC16</f>
        <v>0.88302929182084677</v>
      </c>
      <c r="AE16" s="109">
        <f ca="1">expenses/(AD16)</f>
        <v>7374539.7349485178</v>
      </c>
      <c r="AF16" s="110">
        <f ca="1">+AE16-Revenue</f>
        <v>1313417.5103585888</v>
      </c>
      <c r="AG16" s="111">
        <f ca="1">+AF16/$J$49</f>
        <v>1522959.961293783</v>
      </c>
      <c r="AH16" s="111">
        <f ca="1">+AG16*$J$47</f>
        <v>37283.459277969021</v>
      </c>
      <c r="AI16" s="109">
        <f ca="1">ROUND(+AH16+AE16,5)</f>
        <v>7411823.1942299996</v>
      </c>
    </row>
    <row r="17" spans="1:35" ht="15.75">
      <c r="A17" s="53"/>
      <c r="B17" s="825"/>
      <c r="C17" s="826"/>
      <c r="D17" s="53" t="s">
        <v>292</v>
      </c>
      <c r="E17" s="53"/>
      <c r="F17" s="93">
        <f t="shared" si="0"/>
        <v>11</v>
      </c>
      <c r="G17" s="65"/>
      <c r="H17" s="65"/>
      <c r="I17" s="65"/>
      <c r="K17" s="65"/>
      <c r="L17" s="84"/>
      <c r="M17" s="84"/>
      <c r="N17" s="102"/>
      <c r="O17" s="53"/>
      <c r="P17" s="53"/>
      <c r="R17" s="86">
        <v>2</v>
      </c>
      <c r="S17" s="87">
        <f ca="1">AI12/Investment*100</f>
        <v>130.27502269027627</v>
      </c>
      <c r="T17" s="97">
        <f ca="1">EXP(y_inter2-(slope*LN(+S17)))</f>
        <v>10.7945125273878</v>
      </c>
      <c r="U17" s="89">
        <f ca="1">(+S17*T17/100)/100</f>
        <v>0.14062553644359169</v>
      </c>
      <c r="V17" s="89">
        <f>regDebt_weighted</f>
        <v>3.5860000000000003E-2</v>
      </c>
      <c r="W17" s="89">
        <f ca="1">+U17-V17</f>
        <v>0.10476553644359168</v>
      </c>
      <c r="X17" s="89">
        <f ca="1">+((W17*(1-0.34))-Pfd_weighted)/Equity_percent</f>
        <v>0.18300945945572822</v>
      </c>
      <c r="Y17" s="89">
        <f ca="1">+X17*equityP</f>
        <v>0.10005700267724402</v>
      </c>
      <c r="Z17" s="89">
        <f ca="1">+Y17/(1-taxrate)</f>
        <v>0.12665443376866331</v>
      </c>
      <c r="AA17" s="89">
        <f>debtP*Debt_Rate</f>
        <v>2.3252410453642718E-2</v>
      </c>
      <c r="AB17" s="89">
        <f ca="1">+AA17+Z17</f>
        <v>0.14990684422230602</v>
      </c>
      <c r="AC17" s="89">
        <f ca="1">+AB17/(S17/100)</f>
        <v>0.11506952071595768</v>
      </c>
      <c r="AD17" s="89">
        <f ca="1">1-AC17</f>
        <v>0.88493047928404234</v>
      </c>
      <c r="AE17" s="90">
        <f ca="1">expenses/(AD17)</f>
        <v>7358696.25026906</v>
      </c>
      <c r="AF17" s="91">
        <f ca="1">+AE17-Revenue</f>
        <v>1297574.025679131</v>
      </c>
      <c r="AG17" s="92">
        <f ca="1">+AF17/$J$49</f>
        <v>1504588.8092237927</v>
      </c>
      <c r="AH17" s="92">
        <f ca="1">+AG17*$J$47</f>
        <v>36833.716594314363</v>
      </c>
      <c r="AI17" s="90">
        <f ca="1">ROUND(+AH17+AE17,5)</f>
        <v>7395529.96686</v>
      </c>
    </row>
    <row r="18" spans="1:35" ht="15.75">
      <c r="A18" s="53"/>
      <c r="B18" s="827" t="s">
        <v>293</v>
      </c>
      <c r="C18" s="827"/>
      <c r="D18" s="53"/>
      <c r="E18" s="53"/>
      <c r="F18" s="93">
        <f t="shared" si="0"/>
        <v>12</v>
      </c>
      <c r="G18" s="65"/>
      <c r="H18" s="112" t="s">
        <v>294</v>
      </c>
      <c r="I18" s="113"/>
      <c r="J18" s="113"/>
      <c r="K18" s="113"/>
      <c r="L18" s="113"/>
      <c r="M18" s="114"/>
      <c r="O18" s="53"/>
      <c r="P18" s="53"/>
      <c r="R18" s="94">
        <v>3</v>
      </c>
      <c r="S18" s="87">
        <f ca="1">AI13/Investment*100</f>
        <v>130.06881754779323</v>
      </c>
      <c r="T18" s="88">
        <f ca="1">EXP(y_inter3-(slope*LN(S18)))</f>
        <v>10.701146727620854</v>
      </c>
      <c r="U18" s="89">
        <f ca="1">(+S18*T18/100)/100</f>
        <v>0.13918855012670814</v>
      </c>
      <c r="V18" s="89">
        <f>regDebt_weighted</f>
        <v>3.5860000000000003E-2</v>
      </c>
      <c r="W18" s="89">
        <f ca="1">+U18-V18</f>
        <v>0.10332855012670814</v>
      </c>
      <c r="X18" s="89">
        <f ca="1">+((W18*(1-0.34))-Pfd_weighted)/Equity_percent</f>
        <v>0.18025245082449814</v>
      </c>
      <c r="Y18" s="89">
        <f ca="1">+X18*equityP</f>
        <v>9.8549659719035315E-2</v>
      </c>
      <c r="Z18" s="89">
        <f ca="1">+Y18/(1-taxrate)</f>
        <v>0.12474640470763963</v>
      </c>
      <c r="AA18" s="89">
        <f>debtP*Debt_Rate</f>
        <v>2.3252410453642718E-2</v>
      </c>
      <c r="AB18" s="89">
        <f ca="1">+AA18+Z18</f>
        <v>0.14799881516128235</v>
      </c>
      <c r="AC18" s="89">
        <f ca="1">+AB18/(S18/100)</f>
        <v>0.11378500854511177</v>
      </c>
      <c r="AD18" s="89">
        <f ca="1">1-AC18</f>
        <v>0.88621499145488825</v>
      </c>
      <c r="AE18" s="90">
        <f ca="1">expenses/(AD18)</f>
        <v>7348030.2888644682</v>
      </c>
      <c r="AF18" s="91">
        <f ca="1">+AE18-Revenue</f>
        <v>1286908.0642745392</v>
      </c>
      <c r="AG18" s="92">
        <f ca="1">+AF18/$J$49</f>
        <v>1492221.2017876294</v>
      </c>
      <c r="AH18" s="92">
        <f ca="1">+AG18*$J$47</f>
        <v>36530.946199864607</v>
      </c>
      <c r="AI18" s="90">
        <f ca="1">ROUND(+AH18+AE18,5)</f>
        <v>7384561.2350599999</v>
      </c>
    </row>
    <row r="19" spans="1:35" ht="15.75">
      <c r="A19" s="53"/>
      <c r="B19" s="53"/>
      <c r="C19" s="53"/>
      <c r="D19" s="53"/>
      <c r="E19" s="53"/>
      <c r="F19" s="93">
        <f t="shared" si="0"/>
        <v>13</v>
      </c>
      <c r="G19" s="65"/>
      <c r="H19" s="70"/>
      <c r="I19" s="84" t="s">
        <v>295</v>
      </c>
      <c r="J19" s="85">
        <f>+Revenue</f>
        <v>6061122.224589929</v>
      </c>
      <c r="K19" s="115"/>
      <c r="L19" s="84" t="s">
        <v>296</v>
      </c>
      <c r="M19" s="116">
        <f ca="1">+J7</f>
        <v>1285954.597424767</v>
      </c>
      <c r="O19" s="53"/>
      <c r="P19" s="53"/>
      <c r="R19" s="95">
        <v>4</v>
      </c>
      <c r="S19" s="87">
        <f ca="1">AI14/Investment*100</f>
        <v>129.93724868172612</v>
      </c>
      <c r="T19" s="99">
        <f ca="1">EXP(y_inter4-(slope*LN(S19)))</f>
        <v>10.641301641020453</v>
      </c>
      <c r="U19" s="89">
        <f ca="1">(+S19*T19/100)/100</f>
        <v>0.13827014576265348</v>
      </c>
      <c r="V19" s="89">
        <f>regDebt_weighted</f>
        <v>3.5860000000000003E-2</v>
      </c>
      <c r="W19" s="89">
        <f ca="1">+U19-V19</f>
        <v>0.10241014576265348</v>
      </c>
      <c r="X19" s="89">
        <f ca="1">+((W19*(1-0.34))-Pfd_weighted)/Equity_percent</f>
        <v>0.17849039593997468</v>
      </c>
      <c r="Y19" s="89">
        <f ca="1">+X19*equityP</f>
        <v>9.758628913249541E-2</v>
      </c>
      <c r="Z19" s="89">
        <f ca="1">+Y19/(1-taxrate)</f>
        <v>0.12352694826898153</v>
      </c>
      <c r="AA19" s="89">
        <f>debtP*Debt_Rate</f>
        <v>2.3252410453642718E-2</v>
      </c>
      <c r="AB19" s="89">
        <f ca="1">+AA19+Z19</f>
        <v>0.14677935872262424</v>
      </c>
      <c r="AC19" s="89">
        <f ca="1">+AB19/(S19/100)</f>
        <v>0.11296172591906414</v>
      </c>
      <c r="AD19" s="89">
        <f ca="1">1-AC19</f>
        <v>0.88703827408093583</v>
      </c>
      <c r="AE19" s="90">
        <f ca="1">expenses/(AD19)</f>
        <v>7341210.3963646078</v>
      </c>
      <c r="AF19" s="91">
        <f ca="1">+AE19-Revenue</f>
        <v>1280088.1717746789</v>
      </c>
      <c r="AG19" s="92">
        <f ca="1">+AF19/$J$49</f>
        <v>1484313.2645660681</v>
      </c>
      <c r="AH19" s="92">
        <f ca="1">+AG19*$J$47</f>
        <v>36337.352630193644</v>
      </c>
      <c r="AI19" s="90">
        <f ca="1">ROUND(+AH19+AE19,5)</f>
        <v>7377547.7489900002</v>
      </c>
    </row>
    <row r="20" spans="1:35" ht="15.75">
      <c r="A20" s="53"/>
      <c r="B20" s="117"/>
      <c r="C20" s="53"/>
      <c r="D20" s="53"/>
      <c r="E20" s="53"/>
      <c r="F20" s="93">
        <f t="shared" si="0"/>
        <v>14</v>
      </c>
      <c r="G20" s="65"/>
      <c r="H20" s="70"/>
      <c r="I20" s="84" t="s">
        <v>297</v>
      </c>
      <c r="J20" s="85">
        <f ca="1">+J21-J19</f>
        <v>1322458.4779412625</v>
      </c>
      <c r="K20" s="115"/>
      <c r="L20" s="84" t="s">
        <v>298</v>
      </c>
      <c r="M20" s="116">
        <f ca="1">+L8</f>
        <v>36503.880516495788</v>
      </c>
      <c r="O20" s="53"/>
      <c r="P20" s="53"/>
      <c r="R20" s="67" t="s">
        <v>299</v>
      </c>
    </row>
    <row r="21" spans="1:35" ht="16.5" thickBot="1">
      <c r="A21" s="53"/>
      <c r="B21" s="117" t="s">
        <v>300</v>
      </c>
      <c r="C21" s="53"/>
      <c r="D21" s="53"/>
      <c r="E21" s="53"/>
      <c r="F21" s="93">
        <f t="shared" si="0"/>
        <v>15</v>
      </c>
      <c r="G21" s="65"/>
      <c r="H21" s="70"/>
      <c r="I21" s="118" t="s">
        <v>294</v>
      </c>
      <c r="J21" s="119">
        <f ca="1">+M7</f>
        <v>7383580.7025311915</v>
      </c>
      <c r="L21" s="118" t="s">
        <v>297</v>
      </c>
      <c r="M21" s="120">
        <f ca="1">+M19+M20</f>
        <v>1322458.4779412628</v>
      </c>
      <c r="O21" s="53"/>
      <c r="P21" s="53"/>
      <c r="R21" s="105">
        <v>1</v>
      </c>
      <c r="S21" s="106">
        <f ca="1">AI16/Investment*100</f>
        <v>130.78643176570495</v>
      </c>
      <c r="T21" s="107">
        <f ca="1">EXP(y_inter1-(slope*LN(+S21)))</f>
        <v>10.92101961420002</v>
      </c>
      <c r="U21" s="108">
        <f ca="1">(+S21*T21/100)/100</f>
        <v>0.14283211865844961</v>
      </c>
      <c r="V21" s="108">
        <f>regDebt_weighted</f>
        <v>3.5860000000000003E-2</v>
      </c>
      <c r="W21" s="108">
        <f ca="1">+U21-V21</f>
        <v>0.10697211865844961</v>
      </c>
      <c r="X21" s="108">
        <f ca="1">+((W21*(1-0.34))-Pfd_weighted)/Equity_percent</f>
        <v>0.1872430183563277</v>
      </c>
      <c r="Y21" s="108">
        <f ca="1">+X21*equityP</f>
        <v>0.1023716219079184</v>
      </c>
      <c r="Z21" s="108">
        <f ca="1">+Y21/(1-taxrate)</f>
        <v>0.12958433152901064</v>
      </c>
      <c r="AA21" s="108">
        <f>debtP*Debt_Rate</f>
        <v>2.3252410453642718E-2</v>
      </c>
      <c r="AB21" s="108">
        <f ca="1">+AA21+Z21</f>
        <v>0.15283674198265335</v>
      </c>
      <c r="AC21" s="108">
        <f ca="1">+AB21/(S21/100)</f>
        <v>0.11685978424463024</v>
      </c>
      <c r="AD21" s="108">
        <f ca="1">1-AC21</f>
        <v>0.88314021575536972</v>
      </c>
      <c r="AE21" s="109">
        <f ca="1">expenses/(AD21)</f>
        <v>7373613.4800366675</v>
      </c>
      <c r="AF21" s="110">
        <f ca="1">+AE21-Revenue</f>
        <v>1312491.2554467386</v>
      </c>
      <c r="AG21" s="111">
        <f ca="1">+AF21/$J$49</f>
        <v>1521885.931799297</v>
      </c>
      <c r="AH21" s="111">
        <f ca="1">+AG21*$J$47</f>
        <v>37257.166049034102</v>
      </c>
      <c r="AI21" s="109">
        <f ca="1">ROUND(+AH21+AE21,5)</f>
        <v>7410870.6460899999</v>
      </c>
    </row>
    <row r="22" spans="1:35" ht="16.5" thickTop="1">
      <c r="A22" s="53"/>
      <c r="B22" s="53" t="s">
        <v>301</v>
      </c>
      <c r="C22" s="53"/>
      <c r="D22" s="53"/>
      <c r="E22" s="53"/>
      <c r="F22" s="93">
        <f t="shared" si="0"/>
        <v>16</v>
      </c>
      <c r="G22" s="65"/>
      <c r="H22" s="121"/>
      <c r="I22" s="122"/>
      <c r="J22" s="122"/>
      <c r="K22" s="122"/>
      <c r="L22" s="122"/>
      <c r="M22" s="123"/>
      <c r="O22" s="53"/>
      <c r="P22" s="53"/>
      <c r="R22" s="86">
        <v>2</v>
      </c>
      <c r="S22" s="87">
        <f ca="1">AI17/Investment*100</f>
        <v>130.4989271917523</v>
      </c>
      <c r="T22" s="97">
        <f ca="1">EXP(y_inter2-(slope*LN(+S22)))</f>
        <v>10.781846997333869</v>
      </c>
      <c r="U22" s="89">
        <f ca="1">(+S22*T22/100)/100</f>
        <v>0.14070194662976859</v>
      </c>
      <c r="V22" s="89">
        <f>regDebt_weighted</f>
        <v>3.5860000000000003E-2</v>
      </c>
      <c r="W22" s="89">
        <f ca="1">+U22-V22</f>
        <v>0.10484194662976859</v>
      </c>
      <c r="X22" s="89">
        <f ca="1">+((W22*(1-0.34))-Pfd_weighted)/Equity_percent</f>
        <v>0.18315606039432344</v>
      </c>
      <c r="Y22" s="89">
        <f ca="1">+X22*equityP</f>
        <v>0.10013715400138394</v>
      </c>
      <c r="Z22" s="89">
        <f ca="1">+Y22/(1-taxrate)</f>
        <v>0.12675589114099231</v>
      </c>
      <c r="AA22" s="89">
        <f>debtP*Debt_Rate</f>
        <v>2.3252410453642718E-2</v>
      </c>
      <c r="AB22" s="89">
        <f ca="1">+AA22+Z22</f>
        <v>0.15000830159463502</v>
      </c>
      <c r="AC22" s="89">
        <f ca="1">+AB22/(S22/100)</f>
        <v>0.11494983508501648</v>
      </c>
      <c r="AD22" s="89">
        <f ca="1">1-AC22</f>
        <v>0.88505016491498356</v>
      </c>
      <c r="AE22" s="90">
        <f ca="1">expenses/(AD22)</f>
        <v>7357701.1313045854</v>
      </c>
      <c r="AF22" s="91">
        <f ca="1">+AE22-Revenue</f>
        <v>1296578.9067146564</v>
      </c>
      <c r="AG22" s="92">
        <f ca="1">+AF22/$J$49</f>
        <v>1503434.9291150945</v>
      </c>
      <c r="AH22" s="92">
        <f ca="1">+AG22*$J$47</f>
        <v>36805.468548969977</v>
      </c>
      <c r="AI22" s="90">
        <f ca="1">ROUND(+AH22+AE22,5)</f>
        <v>7394506.5998499999</v>
      </c>
    </row>
    <row r="23" spans="1:35" ht="15.75">
      <c r="A23" s="53"/>
      <c r="B23" s="53" t="s">
        <v>302</v>
      </c>
      <c r="C23" s="53"/>
      <c r="D23" s="53"/>
      <c r="E23" s="53"/>
      <c r="F23" s="93">
        <f t="shared" si="0"/>
        <v>17</v>
      </c>
      <c r="H23" s="65"/>
      <c r="I23" s="65"/>
      <c r="J23" s="65"/>
      <c r="K23" s="65"/>
      <c r="L23" s="65"/>
      <c r="M23" s="65"/>
      <c r="N23" s="65"/>
      <c r="O23" s="53"/>
      <c r="P23" s="53"/>
      <c r="R23" s="94">
        <v>3</v>
      </c>
      <c r="S23" s="87">
        <f ca="1">AI18/Investment*100</f>
        <v>130.30537679861368</v>
      </c>
      <c r="T23" s="88">
        <f ca="1">EXP(y_inter3-(slope*LN(S23)))</f>
        <v>10.687861187204913</v>
      </c>
      <c r="U23" s="89">
        <f ca="1">(+S23*T23/100)/100</f>
        <v>0.13926857791700148</v>
      </c>
      <c r="V23" s="89">
        <f>regDebt_weighted</f>
        <v>3.5860000000000003E-2</v>
      </c>
      <c r="W23" s="89">
        <f ca="1">+U23-V23</f>
        <v>0.10340857791700148</v>
      </c>
      <c r="X23" s="89">
        <f ca="1">+((W23*(1-0.34))-Pfd_weighted)/Equity_percent</f>
        <v>0.18040599251517725</v>
      </c>
      <c r="Y23" s="89">
        <f ca="1">+X23*equityP</f>
        <v>9.8633605769698693E-2</v>
      </c>
      <c r="Z23" s="89">
        <f ca="1">+Y23/(1-taxrate)</f>
        <v>0.12485266553126416</v>
      </c>
      <c r="AA23" s="89">
        <f>debtP*Debt_Rate</f>
        <v>2.3252410453642718E-2</v>
      </c>
      <c r="AB23" s="89">
        <f ca="1">+AA23+Z23</f>
        <v>0.14810507598490688</v>
      </c>
      <c r="AC23" s="89">
        <f ca="1">+AB23/(S23/100)</f>
        <v>0.11365998827032484</v>
      </c>
      <c r="AD23" s="89">
        <f ca="1">1-AC23</f>
        <v>0.88634001172967514</v>
      </c>
      <c r="AE23" s="90">
        <f ca="1">expenses/(AD23)</f>
        <v>7346993.8324778685</v>
      </c>
      <c r="AF23" s="91">
        <f ca="1">+AE23-Revenue</f>
        <v>1285871.6078879395</v>
      </c>
      <c r="AG23" s="92">
        <f ca="1">+AF23/$J$49</f>
        <v>1491019.3892901035</v>
      </c>
      <c r="AH23" s="92">
        <f ca="1">+AG23*$J$47</f>
        <v>36501.524725597352</v>
      </c>
      <c r="AI23" s="90">
        <f ca="1">ROUND(+AH23+AE23,5)</f>
        <v>7383495.3572000004</v>
      </c>
    </row>
    <row r="24" spans="1:35" ht="15.75">
      <c r="A24" s="53"/>
      <c r="B24" s="53" t="s">
        <v>303</v>
      </c>
      <c r="C24" s="53"/>
      <c r="D24" s="53"/>
      <c r="E24" s="53"/>
      <c r="F24" s="93">
        <f t="shared" si="0"/>
        <v>18</v>
      </c>
      <c r="H24" s="65"/>
      <c r="J24" s="124" t="s">
        <v>304</v>
      </c>
      <c r="K24" s="125" t="s">
        <v>305</v>
      </c>
      <c r="L24" s="125"/>
      <c r="M24" s="125"/>
      <c r="N24" s="125"/>
      <c r="O24" s="53"/>
      <c r="P24" s="53"/>
      <c r="R24" s="95">
        <v>4</v>
      </c>
      <c r="S24" s="87">
        <f ca="1">AI19/Investment*100</f>
        <v>130.18161928399192</v>
      </c>
      <c r="T24" s="99">
        <f ca="1">EXP(y_inter4-(slope*LN(S24)))</f>
        <v>10.627641046644206</v>
      </c>
      <c r="U24" s="89">
        <f ca="1">(+S24*T24/100)/100</f>
        <v>0.13835235206211613</v>
      </c>
      <c r="V24" s="89">
        <f>regDebt_weighted</f>
        <v>3.5860000000000003E-2</v>
      </c>
      <c r="W24" s="89">
        <f ca="1">+U24-V24</f>
        <v>0.10249235206211613</v>
      </c>
      <c r="X24" s="89">
        <f ca="1">+((W24*(1-0.34))-Pfd_weighted)/Equity_percent</f>
        <v>0.17864811732847857</v>
      </c>
      <c r="Y24" s="89">
        <f ca="1">+X24*equityP</f>
        <v>9.7672520354852591E-2</v>
      </c>
      <c r="Z24" s="89">
        <f ca="1">+Y24/(1-taxrate)</f>
        <v>0.12363610171500328</v>
      </c>
      <c r="AA24" s="89">
        <f>debtP*Debt_Rate</f>
        <v>2.3252410453642718E-2</v>
      </c>
      <c r="AB24" s="89">
        <f ca="1">+AA24+Z24</f>
        <v>0.14688851216864598</v>
      </c>
      <c r="AC24" s="89">
        <f ca="1">+AB24/(S24/100)</f>
        <v>0.11283352671179168</v>
      </c>
      <c r="AD24" s="89">
        <f ca="1">1-AC24</f>
        <v>0.8871664732882083</v>
      </c>
      <c r="AE24" s="90">
        <f ca="1">expenses/(AD24)</f>
        <v>7340149.5612433869</v>
      </c>
      <c r="AF24" s="91">
        <f ca="1">+AE24-Revenue</f>
        <v>1279027.336653458</v>
      </c>
      <c r="AG24" s="92">
        <f ca="1">+AF24/$J$49</f>
        <v>1483083.1839539157</v>
      </c>
      <c r="AH24" s="92">
        <f ca="1">+AG24*$J$47</f>
        <v>36307.239126505177</v>
      </c>
      <c r="AI24" s="90">
        <f ca="1">ROUND(+AH24+AE24,5)</f>
        <v>7376456.8003700003</v>
      </c>
    </row>
    <row r="25" spans="1:35" ht="15.75">
      <c r="A25" s="53"/>
      <c r="B25" s="53" t="s">
        <v>306</v>
      </c>
      <c r="C25" s="53"/>
      <c r="D25" s="53"/>
      <c r="E25" s="53"/>
      <c r="F25" s="93">
        <f t="shared" si="0"/>
        <v>19</v>
      </c>
      <c r="H25" s="126" t="s">
        <v>307</v>
      </c>
      <c r="I25" s="127" t="s">
        <v>308</v>
      </c>
      <c r="J25" s="128" t="s">
        <v>3</v>
      </c>
      <c r="K25" s="126" t="s">
        <v>309</v>
      </c>
      <c r="L25" s="128" t="s">
        <v>310</v>
      </c>
      <c r="M25" s="128" t="s">
        <v>3</v>
      </c>
      <c r="O25" s="53"/>
      <c r="P25" s="53"/>
      <c r="R25" s="67" t="s">
        <v>311</v>
      </c>
      <c r="W25" s="129"/>
      <c r="X25" s="130"/>
      <c r="Y25" s="88"/>
      <c r="Z25" s="88"/>
      <c r="AA25" s="130"/>
      <c r="AC25" s="130"/>
      <c r="AD25" s="130"/>
      <c r="AE25" s="88"/>
      <c r="AF25" s="129"/>
    </row>
    <row r="26" spans="1:35" ht="15.75">
      <c r="A26" s="53"/>
      <c r="B26" s="53"/>
      <c r="C26" s="53"/>
      <c r="D26" s="53"/>
      <c r="E26" s="53"/>
      <c r="F26" s="93">
        <f t="shared" si="0"/>
        <v>20</v>
      </c>
      <c r="H26" s="84" t="s">
        <v>92</v>
      </c>
      <c r="I26" s="131">
        <f>1-I27</f>
        <v>0.54673131637465322</v>
      </c>
      <c r="J26" s="132">
        <f>+I26*J28</f>
        <v>3098391.6274869652</v>
      </c>
      <c r="K26" s="102">
        <f ca="1">+K34</f>
        <v>0.17933844909663083</v>
      </c>
      <c r="L26" s="131">
        <f ca="1">+K26*I26</f>
        <v>9.8049946351189715E-2</v>
      </c>
      <c r="M26" s="85">
        <f ca="1">+J26*K26</f>
        <v>555660.7491674982</v>
      </c>
      <c r="O26" s="53"/>
      <c r="P26" s="53"/>
      <c r="R26" s="105">
        <v>1</v>
      </c>
      <c r="S26" s="106">
        <f ca="1">AI21/Investment*100</f>
        <v>130.7696234354128</v>
      </c>
      <c r="T26" s="107">
        <f ca="1">EXP(y_inter1-(slope*LN(+S26)))</f>
        <v>10.921979276827102</v>
      </c>
      <c r="U26" s="108">
        <f ca="1">(+S26*T26/100)/100</f>
        <v>0.14282631172000623</v>
      </c>
      <c r="V26" s="108">
        <f>regDebt_weighted</f>
        <v>3.5860000000000003E-2</v>
      </c>
      <c r="W26" s="108">
        <f ca="1">+U26-V26</f>
        <v>0.10696631172000623</v>
      </c>
      <c r="X26" s="108">
        <f ca="1">+((W26*(1-0.34))-Pfd_weighted)/Equity_percent</f>
        <v>0.18723187713722123</v>
      </c>
      <c r="Y26" s="108">
        <f ca="1">+X26*equityP</f>
        <v>0.1023655306545303</v>
      </c>
      <c r="Z26" s="108">
        <f ca="1">+Y26/(1-taxrate)</f>
        <v>0.12957662108168391</v>
      </c>
      <c r="AA26" s="108">
        <f>debtP*Debt_Rate</f>
        <v>2.3252410453642718E-2</v>
      </c>
      <c r="AB26" s="108">
        <f ca="1">+AA26+Z26</f>
        <v>0.15282903153532662</v>
      </c>
      <c r="AC26" s="108">
        <f ca="1">+AB26/(S26/100)</f>
        <v>0.11686890848225848</v>
      </c>
      <c r="AD26" s="108">
        <f ca="1">1-AC26</f>
        <v>0.8831310915177415</v>
      </c>
      <c r="AE26" s="109">
        <f ca="1">expenses/(AD26)</f>
        <v>7373689.6619333494</v>
      </c>
      <c r="AF26" s="110">
        <f ca="1">+AE26-Revenue</f>
        <v>1312567.4373434205</v>
      </c>
      <c r="AG26" s="111">
        <f ca="1">+AF26/$J$49</f>
        <v>1521974.2677454124</v>
      </c>
      <c r="AH26" s="111">
        <f ca="1">+AG26*$J$47</f>
        <v>37259.328594165607</v>
      </c>
      <c r="AI26" s="109">
        <f ca="1">ROUND(+AH26+AE26,5)</f>
        <v>7410948.9905300001</v>
      </c>
    </row>
    <row r="27" spans="1:35" ht="15.75">
      <c r="A27" s="53"/>
      <c r="B27" s="53"/>
      <c r="C27" s="53"/>
      <c r="D27" s="53"/>
      <c r="E27" s="53"/>
      <c r="F27" s="93">
        <f t="shared" si="0"/>
        <v>21</v>
      </c>
      <c r="H27" s="84" t="s">
        <v>96</v>
      </c>
      <c r="I27" s="131">
        <f>IF(A65=TRUE,C8,0)</f>
        <v>0.45326868362534672</v>
      </c>
      <c r="J27" s="133">
        <f>+I27*J28</f>
        <v>2568727.732040925</v>
      </c>
      <c r="K27" s="102">
        <f>IF(A65=TRUE,C9,0)</f>
        <v>5.1299397672181134E-2</v>
      </c>
      <c r="L27" s="131">
        <f>+K27*I27</f>
        <v>2.3252410453642718E-2</v>
      </c>
      <c r="M27" s="85">
        <f>+K27*J27</f>
        <v>131774.18543752734</v>
      </c>
      <c r="O27" s="53"/>
      <c r="P27" s="53"/>
      <c r="R27" s="86">
        <v>2</v>
      </c>
      <c r="S27" s="87">
        <f ca="1">AI22/Investment*100</f>
        <v>130.48086921652578</v>
      </c>
      <c r="T27" s="97">
        <f ca="1">EXP(y_inter2-(slope*LN(+S27)))</f>
        <v>10.782867119991067</v>
      </c>
      <c r="U27" s="89">
        <f ca="1">(+S27*T27/100)/100</f>
        <v>0.14069578744627304</v>
      </c>
      <c r="V27" s="89">
        <f>regDebt_weighted</f>
        <v>3.5860000000000003E-2</v>
      </c>
      <c r="W27" s="89">
        <f ca="1">+U27-V27</f>
        <v>0.10483578744627303</v>
      </c>
      <c r="X27" s="89">
        <f ca="1">+((W27*(1-0.34))-Pfd_weighted)/Equity_percent</f>
        <v>0.18314424335622148</v>
      </c>
      <c r="Y27" s="89">
        <f ca="1">+X27*equityP</f>
        <v>0.10013069325658681</v>
      </c>
      <c r="Z27" s="89">
        <f ca="1">+Y27/(1-taxrate)</f>
        <v>0.12674771298302129</v>
      </c>
      <c r="AA27" s="89">
        <f>debtP*Debt_Rate</f>
        <v>2.3252410453642718E-2</v>
      </c>
      <c r="AB27" s="89">
        <f ca="1">+AA27+Z27</f>
        <v>0.150000123436664</v>
      </c>
      <c r="AC27" s="89">
        <f ca="1">+AB27/(S27/100)</f>
        <v>0.11495947592726953</v>
      </c>
      <c r="AD27" s="89">
        <f ca="1">1-AC27</f>
        <v>0.88504052407273048</v>
      </c>
      <c r="AE27" s="90">
        <f ca="1">expenses/(AD27)</f>
        <v>7357781.2795396354</v>
      </c>
      <c r="AF27" s="91">
        <f ca="1">+AE27-Revenue</f>
        <v>1296659.0549497064</v>
      </c>
      <c r="AG27" s="92">
        <f ca="1">+AF27/$J$49</f>
        <v>1503527.8641886616</v>
      </c>
      <c r="AH27" s="92">
        <f ca="1">+AG27*$J$47</f>
        <v>36807.743684967565</v>
      </c>
      <c r="AI27" s="90">
        <f ca="1">ROUND(+AH27+AE27,5)</f>
        <v>7394589.0232199999</v>
      </c>
    </row>
    <row r="28" spans="1:35" ht="16.5" thickBot="1">
      <c r="A28" s="53"/>
      <c r="B28" s="53"/>
      <c r="C28" s="53"/>
      <c r="D28" s="53"/>
      <c r="E28" s="53"/>
      <c r="F28" s="93">
        <f t="shared" si="0"/>
        <v>22</v>
      </c>
      <c r="H28" s="84" t="s">
        <v>0</v>
      </c>
      <c r="I28" s="134">
        <f>SUM(I26:I27)</f>
        <v>1</v>
      </c>
      <c r="J28" s="135">
        <f>IF(A65=TRUE,C7,0)</f>
        <v>5667119.3595278906</v>
      </c>
      <c r="K28" s="136"/>
      <c r="L28" s="137">
        <f ca="1">SUM(L26:L27)</f>
        <v>0.12130235680483244</v>
      </c>
      <c r="M28" s="135">
        <f ca="1">SUM(M26:M27)</f>
        <v>687434.93460502557</v>
      </c>
      <c r="O28" s="53"/>
      <c r="P28" s="53"/>
      <c r="R28" s="94">
        <v>3</v>
      </c>
      <c r="S28" s="87">
        <f ca="1">AI23/Investment*100</f>
        <v>130.28656869184235</v>
      </c>
      <c r="T28" s="88">
        <f ca="1">EXP(y_inter3-(slope*LN(S28)))</f>
        <v>10.688915993826258</v>
      </c>
      <c r="U28" s="89">
        <f ca="1">(+S28*T28/100)/100</f>
        <v>0.13926221878709771</v>
      </c>
      <c r="V28" s="89">
        <f>regDebt_weighted</f>
        <v>3.5860000000000003E-2</v>
      </c>
      <c r="W28" s="89">
        <f ca="1">+U28-V28</f>
        <v>0.10340221878709771</v>
      </c>
      <c r="X28" s="89">
        <f ca="1">+((W28*(1-0.34))-Pfd_weighted)/Equity_percent</f>
        <v>0.18039379185896651</v>
      </c>
      <c r="Y28" s="89">
        <f ca="1">+X28*equityP</f>
        <v>9.8626935288867956E-2</v>
      </c>
      <c r="Z28" s="89">
        <f ca="1">+Y28/(1-taxrate)</f>
        <v>0.12484422188464298</v>
      </c>
      <c r="AA28" s="89">
        <f>debtP*Debt_Rate</f>
        <v>2.3252410453642718E-2</v>
      </c>
      <c r="AB28" s="89">
        <f ca="1">+AA28+Z28</f>
        <v>0.14809663233828568</v>
      </c>
      <c r="AC28" s="89">
        <f ca="1">+AB28/(S28/100)</f>
        <v>0.11366991534527879</v>
      </c>
      <c r="AD28" s="89">
        <f ca="1">1-AC28</f>
        <v>0.88633008465472118</v>
      </c>
      <c r="AE28" s="90">
        <f ca="1">expenses/(AD28)</f>
        <v>7347076.1202843236</v>
      </c>
      <c r="AF28" s="91">
        <f ca="1">+AE28-Revenue</f>
        <v>1285953.8956943946</v>
      </c>
      <c r="AG28" s="92">
        <f ca="1">+AF28/$J$49</f>
        <v>1491114.8052820065</v>
      </c>
      <c r="AH28" s="92">
        <f ca="1">+AG28*$J$47</f>
        <v>36503.86059675549</v>
      </c>
      <c r="AI28" s="90">
        <f ca="1">ROUND(+AH28+AE28,5)</f>
        <v>7383579.9808799997</v>
      </c>
    </row>
    <row r="29" spans="1:35" ht="16.5" thickTop="1">
      <c r="A29" s="53"/>
      <c r="B29" s="53"/>
      <c r="C29" s="53"/>
      <c r="D29" s="53"/>
      <c r="E29" s="53"/>
      <c r="F29" s="93">
        <f t="shared" si="0"/>
        <v>23</v>
      </c>
      <c r="G29" s="65"/>
      <c r="H29" s="65"/>
      <c r="I29" s="65"/>
      <c r="J29" s="65"/>
      <c r="K29" s="65"/>
      <c r="L29" s="65"/>
      <c r="M29" s="65"/>
      <c r="N29" s="65"/>
      <c r="O29" s="53"/>
      <c r="P29" s="53"/>
      <c r="R29" s="95">
        <v>4</v>
      </c>
      <c r="S29" s="87">
        <f ca="1">AI24/Investment*100</f>
        <v>130.1623687873853</v>
      </c>
      <c r="T29" s="99">
        <f ca="1">EXP(y_inter4-(slope*LN(S29)))</f>
        <v>10.628715604333109</v>
      </c>
      <c r="U29" s="89">
        <f ca="1">(+S29*T29/100)/100</f>
        <v>0.13834588002274431</v>
      </c>
      <c r="V29" s="89">
        <f>regDebt_weighted</f>
        <v>3.5860000000000003E-2</v>
      </c>
      <c r="W29" s="89">
        <f ca="1">+U29-V29</f>
        <v>0.10248588002274431</v>
      </c>
      <c r="X29" s="89">
        <f ca="1">+((W29*(1-0.34))-Pfd_weighted)/Equity_percent</f>
        <v>0.17863570004363732</v>
      </c>
      <c r="Y29" s="89">
        <f ca="1">+X29*equityP</f>
        <v>9.7665731436365533E-2</v>
      </c>
      <c r="Z29" s="89">
        <f ca="1">+Y29/(1-taxrate)</f>
        <v>0.12362750814729814</v>
      </c>
      <c r="AA29" s="89">
        <f>debtP*Debt_Rate</f>
        <v>2.3252410453642718E-2</v>
      </c>
      <c r="AB29" s="89">
        <f ca="1">+AA29+Z29</f>
        <v>0.14687991860094085</v>
      </c>
      <c r="AC29" s="89">
        <f ca="1">+AB29/(S29/100)</f>
        <v>0.11284361215096121</v>
      </c>
      <c r="AD29" s="89">
        <f ca="1">1-AC29</f>
        <v>0.88715638784903883</v>
      </c>
      <c r="AE29" s="90">
        <f ca="1">expenses/(AD29)</f>
        <v>7340233.0060935942</v>
      </c>
      <c r="AF29" s="91">
        <f ca="1">+AE29-Revenue</f>
        <v>1279110.7815036653</v>
      </c>
      <c r="AG29" s="92">
        <f ca="1">+AF29/$J$49</f>
        <v>1483179.9415841738</v>
      </c>
      <c r="AH29" s="92">
        <f ca="1">+AG29*$J$47</f>
        <v>36309.607842203055</v>
      </c>
      <c r="AI29" s="90">
        <f ca="1">ROUND(+AH29+AE29,5)</f>
        <v>7376542.6139399996</v>
      </c>
    </row>
    <row r="30" spans="1:35" ht="15.75">
      <c r="A30" s="53"/>
      <c r="B30" s="53"/>
      <c r="C30" s="53"/>
      <c r="D30" s="53"/>
      <c r="E30" s="53"/>
      <c r="F30" s="93">
        <f t="shared" si="0"/>
        <v>24</v>
      </c>
      <c r="G30" s="65"/>
      <c r="H30" s="65"/>
      <c r="I30" s="65"/>
      <c r="J30" s="138" t="s">
        <v>312</v>
      </c>
      <c r="K30" s="138" t="s">
        <v>313</v>
      </c>
      <c r="L30" s="65"/>
      <c r="M30" s="65"/>
      <c r="N30" s="65"/>
      <c r="O30" s="53"/>
      <c r="P30" s="53"/>
      <c r="R30" s="67" t="s">
        <v>314</v>
      </c>
      <c r="W30" s="129"/>
      <c r="X30" s="130"/>
      <c r="Y30" s="88"/>
      <c r="Z30" s="88"/>
      <c r="AA30" s="130"/>
      <c r="AC30" s="130"/>
      <c r="AD30" s="130"/>
      <c r="AE30" s="88"/>
      <c r="AF30" s="129"/>
      <c r="AH30" s="88"/>
    </row>
    <row r="31" spans="1:35" ht="15.75">
      <c r="A31" s="53"/>
      <c r="B31" s="53"/>
      <c r="C31" s="53"/>
      <c r="D31" s="53"/>
      <c r="E31" s="53"/>
      <c r="F31" s="93">
        <f t="shared" si="0"/>
        <v>25</v>
      </c>
      <c r="G31" s="65"/>
      <c r="H31" s="139" t="s">
        <v>315</v>
      </c>
      <c r="I31" s="140"/>
      <c r="J31" s="141" t="s">
        <v>316</v>
      </c>
      <c r="K31" s="141" t="s">
        <v>316</v>
      </c>
      <c r="L31" s="65"/>
      <c r="M31" s="65"/>
      <c r="N31" s="65"/>
      <c r="O31" s="53"/>
      <c r="P31" s="53"/>
      <c r="R31" s="105">
        <v>1</v>
      </c>
      <c r="S31" s="106">
        <f ca="1">AI26/Investment*100</f>
        <v>130.77100587391516</v>
      </c>
      <c r="T31" s="107">
        <f ca="1">EXP(y_inter1-(slope*LN(+S31)))</f>
        <v>10.921900339402331</v>
      </c>
      <c r="U31" s="108">
        <f ca="1">(+S31*T31/100)/100</f>
        <v>0.14282678934382984</v>
      </c>
      <c r="V31" s="108">
        <f>regDebt_weighted</f>
        <v>3.5860000000000003E-2</v>
      </c>
      <c r="W31" s="108">
        <f ca="1">+U31-V31</f>
        <v>0.10696678934382983</v>
      </c>
      <c r="X31" s="108">
        <f ca="1">+((W31*(1-0.34))-Pfd_weighted)/Equity_percent</f>
        <v>0.18723279350851071</v>
      </c>
      <c r="Y31" s="108">
        <f ca="1">+X31*equityP</f>
        <v>0.10236603166341168</v>
      </c>
      <c r="Z31" s="108">
        <f ca="1">+Y31/(1-taxrate)</f>
        <v>0.12957725527014136</v>
      </c>
      <c r="AA31" s="108">
        <f>debtP*Debt_Rate</f>
        <v>2.3252410453642718E-2</v>
      </c>
      <c r="AB31" s="108">
        <f ca="1">+AA31+Z31</f>
        <v>0.15282966572378406</v>
      </c>
      <c r="AC31" s="108">
        <f ca="1">+AB31/(S31/100)</f>
        <v>0.11686815797007565</v>
      </c>
      <c r="AD31" s="108">
        <f ca="1">1-AC31</f>
        <v>0.88313184202992434</v>
      </c>
      <c r="AE31" s="109">
        <f ca="1">expenses/(AD31)</f>
        <v>7373683.3955485802</v>
      </c>
      <c r="AF31" s="110">
        <f ca="1">+AE31-Revenue</f>
        <v>1312561.1709586512</v>
      </c>
      <c r="AG31" s="111">
        <f ca="1">+AF31/$J$49</f>
        <v>1521967.0016224694</v>
      </c>
      <c r="AH31" s="111">
        <f ca="1">+AG31*$J$47</f>
        <v>37259.15071279923</v>
      </c>
      <c r="AI31" s="109">
        <f ca="1">ROUND(+AH31+AE31,5)</f>
        <v>7410942.5462600002</v>
      </c>
    </row>
    <row r="32" spans="1:35" ht="15.75">
      <c r="A32" s="53"/>
      <c r="B32" s="53"/>
      <c r="C32" s="53"/>
      <c r="D32" s="53"/>
      <c r="E32" s="53"/>
      <c r="F32" s="93">
        <f t="shared" si="0"/>
        <v>26</v>
      </c>
      <c r="G32" s="65"/>
      <c r="H32" s="76"/>
      <c r="I32" s="76"/>
      <c r="J32" s="76"/>
      <c r="K32" s="76"/>
      <c r="L32" s="65"/>
      <c r="M32" s="65"/>
      <c r="N32" s="65"/>
      <c r="O32" s="53"/>
      <c r="P32" s="53"/>
      <c r="R32" s="86">
        <v>2</v>
      </c>
      <c r="S32" s="87">
        <f ca="1">AI27/Investment*100</f>
        <v>130.48232363039588</v>
      </c>
      <c r="T32" s="97">
        <f ca="1">EXP(y_inter2-(slope*LN(+S32)))</f>
        <v>10.782784949124386</v>
      </c>
      <c r="U32" s="89">
        <f ca="1">(+S32*T32/100)/100</f>
        <v>0.14069628353686098</v>
      </c>
      <c r="V32" s="89">
        <f>regDebt_weighted</f>
        <v>3.5860000000000003E-2</v>
      </c>
      <c r="W32" s="89">
        <f ca="1">+U32-V32</f>
        <v>0.10483628353686097</v>
      </c>
      <c r="X32" s="89">
        <f ca="1">+((W32*(1-0.34))-Pfd_weighted)/Equity_percent</f>
        <v>0.18314519515793093</v>
      </c>
      <c r="Y32" s="89">
        <f ca="1">+X32*equityP</f>
        <v>0.10013121363638834</v>
      </c>
      <c r="Z32" s="89">
        <f ca="1">+Y32/(1-taxrate)</f>
        <v>0.12674837169163081</v>
      </c>
      <c r="AA32" s="89">
        <f>debtP*Debt_Rate</f>
        <v>2.3252410453642718E-2</v>
      </c>
      <c r="AB32" s="89">
        <f ca="1">+AA32+Z32</f>
        <v>0.15000078214527351</v>
      </c>
      <c r="AC32" s="89">
        <f ca="1">+AB32/(S32/100)</f>
        <v>0.11495869936388134</v>
      </c>
      <c r="AD32" s="89">
        <f ca="1">1-AC32</f>
        <v>0.88504130063611863</v>
      </c>
      <c r="AE32" s="90">
        <f ca="1">expenses/(AD32)</f>
        <v>7357774.8235883079</v>
      </c>
      <c r="AF32" s="91">
        <f ca="1">+AE32-Revenue</f>
        <v>1296652.598998379</v>
      </c>
      <c r="AG32" s="92">
        <f ca="1">+AF32/$J$49</f>
        <v>1503520.3782557375</v>
      </c>
      <c r="AH32" s="92">
        <f ca="1">+AG32*$J$47</f>
        <v>36807.560422450872</v>
      </c>
      <c r="AI32" s="90">
        <f ca="1">ROUND(+AH32+AE32,5)</f>
        <v>7394582.3840100002</v>
      </c>
    </row>
    <row r="33" spans="1:46" ht="15.75">
      <c r="A33" s="53"/>
      <c r="B33" s="53"/>
      <c r="C33" s="53"/>
      <c r="D33" s="53"/>
      <c r="E33" s="53"/>
      <c r="F33" s="93">
        <f t="shared" si="0"/>
        <v>27</v>
      </c>
      <c r="G33" s="65"/>
      <c r="H33" s="76" t="s">
        <v>317</v>
      </c>
      <c r="I33" s="76"/>
      <c r="J33" s="142">
        <f ca="1">+K9/J28</f>
        <v>0.14736626659438917</v>
      </c>
      <c r="K33" s="142">
        <f ca="1">+(M14+M11)/J28</f>
        <v>0.12130235680483242</v>
      </c>
      <c r="L33" s="65"/>
      <c r="M33" s="65"/>
      <c r="N33" s="65"/>
      <c r="O33" s="53"/>
      <c r="P33" s="53"/>
      <c r="R33" s="94">
        <v>3</v>
      </c>
      <c r="S33" s="87">
        <f ca="1">AI28/Investment*100</f>
        <v>130.28806193161074</v>
      </c>
      <c r="T33" s="88">
        <f ca="1">EXP(y_inter3-(slope*LN(S33)))</f>
        <v>10.688832239760606</v>
      </c>
      <c r="U33" s="89">
        <f ca="1">(+S33*T33/100)/100</f>
        <v>0.13926272368305273</v>
      </c>
      <c r="V33" s="89">
        <f>regDebt_weighted</f>
        <v>3.5860000000000003E-2</v>
      </c>
      <c r="W33" s="89">
        <f ca="1">+U33-V33</f>
        <v>0.10340272368305273</v>
      </c>
      <c r="X33" s="89">
        <f ca="1">+((W33*(1-0.34))-Pfd_weighted)/Equity_percent</f>
        <v>0.18039476055469417</v>
      </c>
      <c r="Y33" s="89">
        <f ca="1">+X33*equityP</f>
        <v>9.8627464905158307E-2</v>
      </c>
      <c r="Z33" s="89">
        <f ca="1">+Y33/(1-taxrate)</f>
        <v>0.12484489228501051</v>
      </c>
      <c r="AA33" s="89">
        <f>debtP*Debt_Rate</f>
        <v>2.3252410453642718E-2</v>
      </c>
      <c r="AB33" s="89">
        <f ca="1">+AA33+Z33</f>
        <v>0.14809730273865324</v>
      </c>
      <c r="AC33" s="89">
        <f ca="1">+AB33/(S33/100)</f>
        <v>0.11366912711955968</v>
      </c>
      <c r="AD33" s="89">
        <f ca="1">1-AC33</f>
        <v>0.88633087288044032</v>
      </c>
      <c r="AE33" s="90">
        <f ca="1">expenses/(AD33)</f>
        <v>7347069.5864327606</v>
      </c>
      <c r="AF33" s="91">
        <f ca="1">+AE33-Revenue</f>
        <v>1285947.3618428316</v>
      </c>
      <c r="AG33" s="92">
        <f ca="1">+AF33/$J$49</f>
        <v>1491107.2290206538</v>
      </c>
      <c r="AH33" s="92">
        <f ca="1">+AG33*$J$47</f>
        <v>36503.675122915862</v>
      </c>
      <c r="AI33" s="90">
        <f ca="1">ROUND(+AH33+AE33,5)</f>
        <v>7383573.2615599995</v>
      </c>
    </row>
    <row r="34" spans="1:46" ht="15.75">
      <c r="A34" s="53"/>
      <c r="B34" s="53"/>
      <c r="C34" s="53"/>
      <c r="D34" s="53"/>
      <c r="E34" s="53"/>
      <c r="F34" s="93">
        <f t="shared" si="0"/>
        <v>28</v>
      </c>
      <c r="G34" s="65"/>
      <c r="H34" s="76" t="s">
        <v>318</v>
      </c>
      <c r="I34" s="76"/>
      <c r="J34" s="142">
        <f ca="1">+(M9-M11)/J26</f>
        <v>0.22701069505902635</v>
      </c>
      <c r="K34" s="142">
        <f ca="1">+M14/J26</f>
        <v>0.17933844909663083</v>
      </c>
      <c r="L34" s="65"/>
      <c r="M34" s="65"/>
      <c r="N34" s="65"/>
      <c r="O34" s="143"/>
      <c r="P34" s="53"/>
      <c r="R34" s="95">
        <v>4</v>
      </c>
      <c r="S34" s="87">
        <f ca="1">AI29/Investment*100</f>
        <v>130.16388302353519</v>
      </c>
      <c r="T34" s="99">
        <f ca="1">EXP(y_inter4-(slope*LN(S34)))</f>
        <v>10.628631070371359</v>
      </c>
      <c r="U34" s="89">
        <f ca="1">(+S34*T34/100)/100</f>
        <v>0.13834638913441291</v>
      </c>
      <c r="V34" s="89">
        <f>regDebt_weighted</f>
        <v>3.5860000000000003E-2</v>
      </c>
      <c r="W34" s="89">
        <f ca="1">+U34-V34</f>
        <v>0.10248638913441291</v>
      </c>
      <c r="X34" s="89">
        <f ca="1">+((W34*(1-0.34))-Pfd_weighted)/Equity_percent</f>
        <v>0.17863667682765266</v>
      </c>
      <c r="Y34" s="89">
        <f ca="1">+X34*equityP</f>
        <v>9.7666265474776054E-2</v>
      </c>
      <c r="Z34" s="89">
        <f ca="1">+Y34/(1-taxrate)</f>
        <v>0.12362818414528613</v>
      </c>
      <c r="AA34" s="89">
        <f>debtP*Debt_Rate</f>
        <v>2.3252410453642718E-2</v>
      </c>
      <c r="AB34" s="89">
        <f ca="1">+AA34+Z34</f>
        <v>0.14688059459892885</v>
      </c>
      <c r="AC34" s="89">
        <f ca="1">+AB34/(S34/100)</f>
        <v>0.1128428187505524</v>
      </c>
      <c r="AD34" s="89">
        <f ca="1">1-AC34</f>
        <v>0.88715718124944765</v>
      </c>
      <c r="AE34" s="90">
        <f ca="1">expenses/(AD34)</f>
        <v>7340226.4415929727</v>
      </c>
      <c r="AF34" s="91">
        <f ca="1">+AE34-Revenue</f>
        <v>1279104.2170030437</v>
      </c>
      <c r="AG34" s="92">
        <f ca="1">+AF34/$J$49</f>
        <v>1483172.3297840161</v>
      </c>
      <c r="AH34" s="92">
        <f ca="1">+AG34*$J$47</f>
        <v>36309.421498340824</v>
      </c>
      <c r="AI34" s="90">
        <f ca="1">ROUND(+AH34+AE34,5)</f>
        <v>7376535.8630900001</v>
      </c>
    </row>
    <row r="35" spans="1:46" ht="15.75">
      <c r="A35" s="53"/>
      <c r="B35" s="53"/>
      <c r="C35" s="53"/>
      <c r="D35" s="53"/>
      <c r="E35" s="53"/>
      <c r="F35" s="93">
        <f t="shared" si="0"/>
        <v>29</v>
      </c>
      <c r="G35" s="65"/>
      <c r="H35" s="144" t="s">
        <v>274</v>
      </c>
      <c r="I35" s="76"/>
      <c r="J35" s="142">
        <f ca="1">+K8/K7</f>
        <v>0.88632999999999995</v>
      </c>
      <c r="K35" s="142">
        <f ca="1">+M8/M7</f>
        <v>0.88689197612858583</v>
      </c>
      <c r="L35" s="65"/>
      <c r="M35" s="65"/>
      <c r="N35" s="65"/>
      <c r="O35" s="53"/>
      <c r="P35" s="53"/>
      <c r="R35" s="67" t="s">
        <v>319</v>
      </c>
      <c r="X35" s="130"/>
      <c r="Y35" s="145"/>
      <c r="Z35" s="88"/>
      <c r="AA35" s="130"/>
      <c r="AC35" s="130"/>
      <c r="AD35" s="130"/>
      <c r="AE35" s="88"/>
      <c r="AF35" s="129"/>
      <c r="AH35" s="88"/>
    </row>
    <row r="36" spans="1:46" ht="15.75">
      <c r="A36" s="53"/>
      <c r="B36" s="53"/>
      <c r="C36" s="53"/>
      <c r="D36" s="53"/>
      <c r="E36" s="53"/>
      <c r="F36" s="93">
        <f t="shared" si="0"/>
        <v>30</v>
      </c>
      <c r="G36" s="65"/>
      <c r="H36" s="76" t="s">
        <v>320</v>
      </c>
      <c r="I36" s="76"/>
      <c r="J36" s="142">
        <f ca="1">+K9/K7</f>
        <v>0.11367000000000009</v>
      </c>
      <c r="K36" s="142">
        <f ca="1">+J36</f>
        <v>0.11367000000000009</v>
      </c>
      <c r="L36" s="65"/>
      <c r="M36" s="65"/>
      <c r="N36" s="65"/>
      <c r="O36" s="53"/>
      <c r="P36" s="53"/>
      <c r="R36" s="105">
        <v>1</v>
      </c>
      <c r="S36" s="106">
        <f ca="1">AI31/Investment*100</f>
        <v>130.77089216058761</v>
      </c>
      <c r="T36" s="107">
        <f ca="1">EXP(y_inter1-(slope*LN(+S36)))</f>
        <v>10.921906832395626</v>
      </c>
      <c r="U36" s="108">
        <f ca="1">(+S36*T36/100)/100</f>
        <v>0.14282675005671933</v>
      </c>
      <c r="V36" s="108">
        <f>regDebt_weighted</f>
        <v>3.5860000000000003E-2</v>
      </c>
      <c r="W36" s="108">
        <f ca="1">+U36-V36</f>
        <v>0.10696675005671932</v>
      </c>
      <c r="X36" s="108">
        <f ca="1">+((W36*(1-0.34))-Pfd_weighted)/Equity_percent</f>
        <v>0.18723271813207776</v>
      </c>
      <c r="Y36" s="108">
        <f ca="1">+X36*equityP</f>
        <v>0.10236599045275528</v>
      </c>
      <c r="Z36" s="108">
        <f ca="1">+Y36/(1-taxrate)</f>
        <v>0.12957720310475351</v>
      </c>
      <c r="AA36" s="108">
        <f>debtP*Debt_Rate</f>
        <v>2.3252410453642718E-2</v>
      </c>
      <c r="AB36" s="108">
        <f ca="1">+AA36+Z36</f>
        <v>0.15282961355839622</v>
      </c>
      <c r="AC36" s="108">
        <f ca="1">+AB36/(S36/100)</f>
        <v>0.11686821970344925</v>
      </c>
      <c r="AD36" s="108">
        <f ca="1">1-AC36</f>
        <v>0.88313178029655071</v>
      </c>
      <c r="AE36" s="109">
        <f ca="1">expenses/(AD36)</f>
        <v>7373683.9109896077</v>
      </c>
      <c r="AF36" s="110">
        <f ca="1">+AE36-Revenue</f>
        <v>1312561.6863996787</v>
      </c>
      <c r="AG36" s="111">
        <f ca="1">+AF36/$J$49</f>
        <v>1521967.5992968883</v>
      </c>
      <c r="AH36" s="111">
        <f ca="1">+AG36*$J$47</f>
        <v>37259.165344418201</v>
      </c>
      <c r="AI36" s="109">
        <f ca="1">ROUND(+AH36+AE36,5)</f>
        <v>7410943.0763299996</v>
      </c>
    </row>
    <row r="37" spans="1:46" ht="15.75">
      <c r="A37" s="53"/>
      <c r="B37" s="53"/>
      <c r="C37" s="53"/>
      <c r="D37" s="53"/>
      <c r="E37" s="53"/>
      <c r="F37" s="93">
        <f t="shared" si="0"/>
        <v>31</v>
      </c>
      <c r="G37" s="65"/>
      <c r="H37" s="76" t="s">
        <v>321</v>
      </c>
      <c r="I37" s="146"/>
      <c r="J37" s="147">
        <f ca="1">+S39/100</f>
        <v>1.3016376390040452</v>
      </c>
      <c r="K37" s="147">
        <f ca="1">+J37</f>
        <v>1.3016376390040452</v>
      </c>
      <c r="L37" s="65"/>
      <c r="M37" s="65"/>
      <c r="N37" s="65"/>
      <c r="O37" s="53"/>
      <c r="P37" s="53"/>
      <c r="R37" s="86">
        <v>2</v>
      </c>
      <c r="S37" s="87">
        <f ca="1">AI32/Investment*100</f>
        <v>130.48220647722547</v>
      </c>
      <c r="T37" s="97">
        <f ca="1">EXP(y_inter2-(slope*LN(+S37)))</f>
        <v>10.78279156793811</v>
      </c>
      <c r="U37" s="89">
        <f ca="1">(+S37*T37/100)/100</f>
        <v>0.14069624357685864</v>
      </c>
      <c r="V37" s="89">
        <f>regDebt_weighted</f>
        <v>3.5860000000000003E-2</v>
      </c>
      <c r="W37" s="89">
        <f ca="1">+U37-V37</f>
        <v>0.10483624357685864</v>
      </c>
      <c r="X37" s="89">
        <f ca="1">+((W37*(1-0.34))-Pfd_weighted)/Equity_percent</f>
        <v>0.18314511849048459</v>
      </c>
      <c r="Y37" s="89">
        <f ca="1">+X37*equityP</f>
        <v>0.10013117171989448</v>
      </c>
      <c r="Z37" s="89">
        <f ca="1">+Y37/(1-taxrate)</f>
        <v>0.12674831863277783</v>
      </c>
      <c r="AA37" s="89">
        <f>debtP*Debt_Rate</f>
        <v>2.3252410453642718E-2</v>
      </c>
      <c r="AB37" s="89">
        <f ca="1">+AA37+Z37</f>
        <v>0.15000072908642054</v>
      </c>
      <c r="AC37" s="89">
        <f ca="1">+AB37/(S37/100)</f>
        <v>0.11495876191563471</v>
      </c>
      <c r="AD37" s="89">
        <f ca="1">1-AC37</f>
        <v>0.8850412380843653</v>
      </c>
      <c r="AE37" s="90">
        <f ca="1">expenses/(AD37)</f>
        <v>7357775.3436112134</v>
      </c>
      <c r="AF37" s="91">
        <f ca="1">+AE37-Revenue</f>
        <v>1296653.1190212844</v>
      </c>
      <c r="AG37" s="92">
        <f ca="1">+AF37/$J$49</f>
        <v>1503520.9812430264</v>
      </c>
      <c r="AH37" s="92">
        <f ca="1">+AG37*$J$47</f>
        <v>36807.575184133784</v>
      </c>
      <c r="AI37" s="90">
        <f ca="1">ROUND(+AH37+AE37,5)</f>
        <v>7394582.9188000001</v>
      </c>
    </row>
    <row r="38" spans="1:46" ht="15.75">
      <c r="A38" s="53"/>
      <c r="B38" s="53"/>
      <c r="C38" s="53"/>
      <c r="D38" s="53"/>
      <c r="E38" s="53"/>
      <c r="F38" s="93">
        <f t="shared" si="0"/>
        <v>32</v>
      </c>
      <c r="G38" s="65"/>
      <c r="H38" s="76" t="s">
        <v>322</v>
      </c>
      <c r="I38" s="65"/>
      <c r="J38" s="142">
        <f>+C10</f>
        <v>0.21</v>
      </c>
      <c r="K38" s="142">
        <f>+J38</f>
        <v>0.21</v>
      </c>
      <c r="L38" s="65"/>
      <c r="M38" s="65"/>
      <c r="N38" s="65"/>
      <c r="O38" s="53"/>
      <c r="P38" s="53"/>
      <c r="Q38" s="148"/>
      <c r="R38" s="94">
        <v>3</v>
      </c>
      <c r="S38" s="87">
        <f ca="1">AI33/Investment*100</f>
        <v>130.28794336484737</v>
      </c>
      <c r="T38" s="88">
        <f ca="1">EXP(y_inter3-(slope*LN(S38)))</f>
        <v>10.688838889972109</v>
      </c>
      <c r="U38" s="89">
        <f ca="1">(+S38*T38/100)/100</f>
        <v>0.13926268359326641</v>
      </c>
      <c r="V38" s="89">
        <f>regDebt_weighted</f>
        <v>3.5860000000000003E-2</v>
      </c>
      <c r="W38" s="89">
        <f ca="1">+U38-V38</f>
        <v>0.1034026835932664</v>
      </c>
      <c r="X38" s="89">
        <f ca="1">+((W38*(1-0.34))-Pfd_weighted)/Equity_percent</f>
        <v>0.18039468363824368</v>
      </c>
      <c r="Y38" s="89">
        <f ca="1">+X38*equityP</f>
        <v>9.8627422852526084E-2</v>
      </c>
      <c r="Z38" s="89">
        <f ca="1">+Y38/(1-taxrate)</f>
        <v>0.12484483905383048</v>
      </c>
      <c r="AA38" s="89">
        <f>debtP*Debt_Rate</f>
        <v>2.3252410453642718E-2</v>
      </c>
      <c r="AB38" s="89">
        <f ca="1">+AA38+Z38</f>
        <v>0.14809724950747319</v>
      </c>
      <c r="AC38" s="89">
        <f ca="1">+AB38/(S38/100)</f>
        <v>0.11366918970602993</v>
      </c>
      <c r="AD38" s="89">
        <f ca="1">1-AC38</f>
        <v>0.88633081029397009</v>
      </c>
      <c r="AE38" s="90">
        <f ca="1">expenses/(AD38)</f>
        <v>7347070.1052313251</v>
      </c>
      <c r="AF38" s="91">
        <f ca="1">+AE38-Revenue</f>
        <v>1285947.8806413962</v>
      </c>
      <c r="AG38" s="92">
        <f ca="1">+AF38/$J$49</f>
        <v>1491107.8305882709</v>
      </c>
      <c r="AH38" s="92">
        <f ca="1">+AG38*$J$47</f>
        <v>36503.689849843897</v>
      </c>
      <c r="AI38" s="90">
        <f ca="1">ROUND(+AH38+AE38,5)</f>
        <v>7383573.7950799996</v>
      </c>
    </row>
    <row r="39" spans="1:46" ht="15.75">
      <c r="A39" s="53"/>
      <c r="B39" s="53"/>
      <c r="C39" s="53"/>
      <c r="D39" s="53"/>
      <c r="E39" s="53"/>
      <c r="F39" s="93">
        <f t="shared" si="0"/>
        <v>33</v>
      </c>
      <c r="G39" s="65"/>
      <c r="H39" s="65"/>
      <c r="I39" s="65"/>
      <c r="J39" s="65"/>
      <c r="K39" s="65"/>
      <c r="L39" s="65"/>
      <c r="M39" s="65"/>
      <c r="N39" s="65"/>
      <c r="O39" s="53"/>
      <c r="P39" s="53"/>
      <c r="R39" s="95">
        <v>4</v>
      </c>
      <c r="S39" s="87">
        <f ca="1">AI34/Investment*100</f>
        <v>130.16376390040452</v>
      </c>
      <c r="T39" s="99">
        <f ca="1">EXP(y_inter4-(slope*LN(S39)))</f>
        <v>10.628637720496117</v>
      </c>
      <c r="U39" s="89">
        <f ca="1">(+S39*T39/100)/100</f>
        <v>0.13834634908335902</v>
      </c>
      <c r="V39" s="89">
        <f>regDebt_weighted</f>
        <v>3.5860000000000003E-2</v>
      </c>
      <c r="W39" s="89">
        <f ca="1">+U39-V39</f>
        <v>0.10248634908335902</v>
      </c>
      <c r="X39" s="89">
        <f ca="1">+((W39*(1-0.34))-Pfd_weighted)/Equity_percent</f>
        <v>0.1786365999855144</v>
      </c>
      <c r="Y39" s="89">
        <f ca="1">+X39*equityP</f>
        <v>9.766622346277265E-2</v>
      </c>
      <c r="Z39" s="89">
        <f ca="1">+Y39/(1-taxrate)</f>
        <v>0.12362813096553499</v>
      </c>
      <c r="AA39" s="89">
        <f>debtP*Debt_Rate</f>
        <v>2.3252410453642718E-2</v>
      </c>
      <c r="AB39" s="89">
        <f ca="1">+AA39+Z39</f>
        <v>0.1468805414191777</v>
      </c>
      <c r="AC39" s="89">
        <f ca="1">+AB39/(S39/100)</f>
        <v>0.11284288116588585</v>
      </c>
      <c r="AD39" s="89">
        <f ca="1">1-AC39</f>
        <v>0.88715711883411419</v>
      </c>
      <c r="AE39" s="90">
        <f ca="1">expenses/(AD39)</f>
        <v>7340226.9580095932</v>
      </c>
      <c r="AF39" s="91">
        <f ca="1">+AE39-Revenue</f>
        <v>1279104.7334196642</v>
      </c>
      <c r="AG39" s="92">
        <f ca="1">+AF39/$J$49</f>
        <v>1483172.9285896739</v>
      </c>
      <c r="AH39" s="92">
        <f ca="1">+AG39*$J$47</f>
        <v>36309.436157653567</v>
      </c>
      <c r="AI39" s="90">
        <f ca="1">ROUND(+AH39+AE39,5)</f>
        <v>7376536.3941700002</v>
      </c>
    </row>
    <row r="40" spans="1:46" ht="15.75">
      <c r="A40" s="53"/>
      <c r="B40" s="53"/>
      <c r="C40" s="53"/>
      <c r="D40" s="53"/>
      <c r="E40" s="53"/>
      <c r="F40" s="93">
        <f t="shared" si="0"/>
        <v>34</v>
      </c>
      <c r="G40" s="146"/>
      <c r="H40" s="65"/>
      <c r="I40" s="65"/>
      <c r="J40" s="65"/>
      <c r="K40" s="65"/>
      <c r="L40" s="65"/>
      <c r="M40" s="65"/>
      <c r="N40" s="65"/>
      <c r="O40" s="53"/>
      <c r="P40" s="53"/>
      <c r="X40" s="130"/>
      <c r="Y40" s="145"/>
      <c r="Z40" s="88"/>
      <c r="AA40" s="130"/>
      <c r="AC40" s="130"/>
      <c r="AD40" s="130"/>
      <c r="AE40" s="88"/>
      <c r="AF40" s="129"/>
      <c r="AH40" s="88"/>
    </row>
    <row r="41" spans="1:46" ht="15.75">
      <c r="A41" s="53"/>
      <c r="B41" s="53"/>
      <c r="C41" s="53"/>
      <c r="D41" s="53"/>
      <c r="E41" s="53"/>
      <c r="F41" s="93">
        <f t="shared" si="0"/>
        <v>35</v>
      </c>
      <c r="G41" s="65"/>
      <c r="H41" s="139" t="s">
        <v>323</v>
      </c>
      <c r="I41" s="149"/>
      <c r="J41" s="65"/>
      <c r="K41" s="65"/>
      <c r="L41" s="65"/>
      <c r="M41" s="65"/>
      <c r="N41" s="65"/>
      <c r="O41" s="53"/>
      <c r="P41" s="53"/>
      <c r="R41" s="150" t="s">
        <v>324</v>
      </c>
      <c r="S41" s="151"/>
      <c r="T41" s="113"/>
      <c r="U41" s="113"/>
      <c r="V41" s="114"/>
      <c r="X41" s="152"/>
      <c r="Y41" s="145"/>
      <c r="Z41" s="88"/>
      <c r="AA41" s="130"/>
      <c r="AC41" s="130"/>
      <c r="AD41" s="130"/>
      <c r="AE41" s="88"/>
      <c r="AF41" s="129"/>
      <c r="AH41" s="88"/>
    </row>
    <row r="42" spans="1:46" ht="15.75">
      <c r="A42" s="53"/>
      <c r="B42" s="53"/>
      <c r="C42" s="53"/>
      <c r="D42" s="53"/>
      <c r="E42" s="53"/>
      <c r="F42" s="93">
        <f t="shared" si="0"/>
        <v>36</v>
      </c>
      <c r="G42" s="65"/>
      <c r="H42" s="65"/>
      <c r="I42" s="65"/>
      <c r="J42" s="153" t="s">
        <v>18</v>
      </c>
      <c r="K42" s="154" t="s">
        <v>73</v>
      </c>
      <c r="L42" s="65"/>
      <c r="M42" s="65"/>
      <c r="N42" s="65"/>
      <c r="O42" s="53"/>
      <c r="P42" s="53"/>
      <c r="R42" s="155" t="s">
        <v>325</v>
      </c>
      <c r="S42" s="156"/>
      <c r="V42" s="157"/>
      <c r="X42" s="130"/>
      <c r="Y42" s="145"/>
      <c r="Z42" s="88"/>
      <c r="AA42" s="130"/>
      <c r="AC42" s="130"/>
      <c r="AD42" s="130"/>
      <c r="AE42" s="88"/>
      <c r="AH42" s="88"/>
    </row>
    <row r="43" spans="1:46" ht="15.75">
      <c r="A43" s="53"/>
      <c r="B43" s="53"/>
      <c r="C43" s="53"/>
      <c r="D43" s="53"/>
      <c r="E43" s="53"/>
      <c r="F43" s="93">
        <f t="shared" si="0"/>
        <v>37</v>
      </c>
      <c r="G43" s="65"/>
      <c r="H43" s="76" t="s">
        <v>326</v>
      </c>
      <c r="I43" s="158"/>
      <c r="J43" s="159">
        <f>IF($A$65=TRUE,C11,0)</f>
        <v>1.7500000000000002E-2</v>
      </c>
      <c r="K43" s="160">
        <f ca="1">+J43*($J$7/$J$49)</f>
        <v>26094.523331911074</v>
      </c>
      <c r="L43" s="65"/>
      <c r="M43" s="65"/>
      <c r="N43" s="65"/>
      <c r="O43" s="53"/>
      <c r="P43" s="53"/>
      <c r="R43" s="94">
        <v>0</v>
      </c>
      <c r="S43" s="161">
        <v>1</v>
      </c>
      <c r="U43" s="162" t="s">
        <v>320</v>
      </c>
      <c r="V43" s="163">
        <f ca="1">VLOOKUP(R49,R36:AE39,12)</f>
        <v>0.11366918970602993</v>
      </c>
      <c r="AA43" s="130"/>
      <c r="AC43" s="130"/>
      <c r="AH43" s="88"/>
      <c r="AL43" s="130"/>
      <c r="AM43" s="130"/>
      <c r="AN43" s="130"/>
      <c r="AO43" s="130"/>
      <c r="AP43" s="130"/>
      <c r="AQ43" s="130"/>
      <c r="AR43" s="130"/>
      <c r="AS43" s="130"/>
      <c r="AT43" s="130"/>
    </row>
    <row r="44" spans="1:46" ht="15.75">
      <c r="A44" s="53"/>
      <c r="B44" s="53"/>
      <c r="C44" s="53"/>
      <c r="D44" s="53"/>
      <c r="E44" s="53"/>
      <c r="F44" s="93">
        <f t="shared" si="0"/>
        <v>38</v>
      </c>
      <c r="G44" s="65"/>
      <c r="H44" s="76" t="s">
        <v>327</v>
      </c>
      <c r="I44" s="158"/>
      <c r="J44" s="159">
        <f>IF($A$65=TRUE,C12,0)</f>
        <v>5.1000000000000004E-3</v>
      </c>
      <c r="K44" s="160">
        <f ca="1">+J44*($J$7/$J$49)</f>
        <v>7604.6896567283693</v>
      </c>
      <c r="L44" s="65"/>
      <c r="M44" s="65"/>
      <c r="N44" s="65"/>
      <c r="O44" s="53"/>
      <c r="P44" s="53"/>
      <c r="R44" s="94">
        <v>50</v>
      </c>
      <c r="S44" s="161">
        <v>2</v>
      </c>
      <c r="U44" s="162" t="s">
        <v>274</v>
      </c>
      <c r="V44" s="163">
        <f ca="1">ROUND(1-V43,5)</f>
        <v>0.88632999999999995</v>
      </c>
      <c r="Y44" s="164"/>
      <c r="Z44" s="67"/>
      <c r="AA44" s="67"/>
      <c r="AC44" s="130"/>
      <c r="AF44" s="129"/>
      <c r="AH44" s="88"/>
      <c r="AL44" s="130"/>
      <c r="AM44" s="130"/>
      <c r="AN44" s="130"/>
      <c r="AO44" s="130"/>
      <c r="AP44" s="130"/>
      <c r="AQ44" s="130"/>
      <c r="AR44" s="130"/>
      <c r="AS44" s="130"/>
      <c r="AT44" s="130"/>
    </row>
    <row r="45" spans="1:46" ht="15.75">
      <c r="A45" s="53"/>
      <c r="B45" s="53"/>
      <c r="C45" s="53"/>
      <c r="D45" s="53"/>
      <c r="E45" s="53"/>
      <c r="F45" s="93">
        <f t="shared" si="0"/>
        <v>39</v>
      </c>
      <c r="G45" s="65"/>
      <c r="H45" s="76" t="s">
        <v>328</v>
      </c>
      <c r="I45" s="158"/>
      <c r="J45" s="159">
        <f>IF($A$65=TRUE,C13,0)</f>
        <v>0</v>
      </c>
      <c r="K45" s="160">
        <f ca="1">+J45*($J$7/$J$49)</f>
        <v>0</v>
      </c>
      <c r="L45" s="65"/>
      <c r="M45" s="65"/>
      <c r="N45" s="65"/>
      <c r="O45" s="53"/>
      <c r="P45" s="53"/>
      <c r="R45" s="94">
        <v>125</v>
      </c>
      <c r="S45" s="161">
        <v>3</v>
      </c>
      <c r="U45" s="62" t="s">
        <v>329</v>
      </c>
      <c r="V45" s="165">
        <f ca="1">+M7/Revenue-1</f>
        <v>0.21818706650990438</v>
      </c>
      <c r="W45" s="92"/>
      <c r="X45" s="130"/>
      <c r="Y45" s="164"/>
      <c r="Z45" s="88"/>
      <c r="AA45" s="130"/>
      <c r="AC45" s="130"/>
      <c r="AD45" s="130"/>
      <c r="AE45" s="88"/>
      <c r="AF45" s="129"/>
      <c r="AH45" s="88"/>
      <c r="AL45" s="130"/>
      <c r="AM45" s="130"/>
      <c r="AN45" s="130"/>
      <c r="AO45" s="130"/>
      <c r="AP45" s="130"/>
      <c r="AQ45" s="130"/>
      <c r="AR45" s="130"/>
      <c r="AS45" s="130"/>
      <c r="AT45" s="130"/>
    </row>
    <row r="46" spans="1:46" ht="15.75">
      <c r="A46" s="53"/>
      <c r="B46" s="53"/>
      <c r="C46" s="53"/>
      <c r="D46" s="53"/>
      <c r="E46" s="53"/>
      <c r="F46" s="93">
        <f t="shared" si="0"/>
        <v>40</v>
      </c>
      <c r="G46" s="65"/>
      <c r="H46" s="76" t="s">
        <v>330</v>
      </c>
      <c r="I46" s="158"/>
      <c r="J46" s="159">
        <f>IF($A$65=TRUE,C14,0)</f>
        <v>1.8809188852844292E-3</v>
      </c>
      <c r="K46" s="160">
        <f ca="1">+J46*($J$7/$J$49)</f>
        <v>2804.6675278563825</v>
      </c>
      <c r="L46" s="65"/>
      <c r="M46" s="65"/>
      <c r="N46" s="65"/>
      <c r="O46" s="53"/>
      <c r="P46" s="53"/>
      <c r="R46" s="95">
        <v>401</v>
      </c>
      <c r="S46" s="166">
        <v>4</v>
      </c>
      <c r="T46" s="122"/>
      <c r="U46" s="122"/>
      <c r="V46" s="123"/>
      <c r="X46" s="130"/>
      <c r="Y46" s="145"/>
      <c r="Z46" s="88"/>
      <c r="AA46" s="130"/>
      <c r="AC46" s="130"/>
      <c r="AD46" s="130"/>
      <c r="AE46" s="88"/>
      <c r="AF46" s="129"/>
      <c r="AH46" s="88"/>
      <c r="AL46" s="130"/>
      <c r="AM46" s="130"/>
      <c r="AN46" s="130"/>
      <c r="AO46" s="130"/>
      <c r="AP46" s="130"/>
      <c r="AQ46" s="130"/>
      <c r="AR46" s="130"/>
      <c r="AS46" s="130"/>
      <c r="AT46" s="130"/>
    </row>
    <row r="47" spans="1:46" ht="16.5" thickBot="1">
      <c r="A47" s="53"/>
      <c r="B47" s="53"/>
      <c r="C47" s="53"/>
      <c r="D47" s="53"/>
      <c r="E47" s="53"/>
      <c r="F47" s="93">
        <f t="shared" si="0"/>
        <v>41</v>
      </c>
      <c r="G47" s="65"/>
      <c r="H47" s="76" t="s">
        <v>331</v>
      </c>
      <c r="I47" s="146"/>
      <c r="J47" s="167">
        <f>SUM(J43:J46)</f>
        <v>2.448091888528443E-2</v>
      </c>
      <c r="K47" s="135">
        <f ca="1">+K43+K44+K45+K46</f>
        <v>36503.880516495825</v>
      </c>
      <c r="L47" s="65"/>
      <c r="M47" s="65"/>
      <c r="N47" s="65"/>
      <c r="O47" s="53"/>
      <c r="P47" s="53"/>
      <c r="R47" s="94"/>
      <c r="S47" s="67"/>
      <c r="X47" s="130"/>
      <c r="Y47" s="145"/>
      <c r="Z47" s="88"/>
      <c r="AA47" s="130"/>
      <c r="AC47" s="130"/>
      <c r="AD47" s="130"/>
      <c r="AE47" s="88"/>
      <c r="AF47" s="129"/>
      <c r="AH47" s="88"/>
      <c r="AL47" s="130"/>
      <c r="AM47" s="130"/>
      <c r="AN47" s="130"/>
      <c r="AO47" s="130"/>
      <c r="AP47" s="130"/>
      <c r="AQ47" s="130"/>
      <c r="AR47" s="130"/>
      <c r="AS47" s="130"/>
      <c r="AT47" s="130"/>
    </row>
    <row r="48" spans="1:46" ht="16.5" thickTop="1">
      <c r="A48" s="53"/>
      <c r="B48" s="53"/>
      <c r="C48" s="53"/>
      <c r="D48" s="53"/>
      <c r="E48" s="53"/>
      <c r="F48" s="93">
        <f t="shared" si="0"/>
        <v>42</v>
      </c>
      <c r="G48" s="65"/>
      <c r="H48" s="76"/>
      <c r="I48" s="146"/>
      <c r="J48" s="159"/>
      <c r="K48" s="85"/>
      <c r="L48" s="65"/>
      <c r="M48" s="65"/>
      <c r="N48" s="65"/>
      <c r="O48" s="53"/>
      <c r="P48" s="53"/>
      <c r="R48" s="168">
        <f ca="1">VLOOKUP(R49,R36:S39,2)</f>
        <v>130.28794336484737</v>
      </c>
      <c r="S48" s="169" t="s">
        <v>332</v>
      </c>
      <c r="T48" s="114"/>
      <c r="V48" s="113"/>
      <c r="X48" s="62" t="s">
        <v>333</v>
      </c>
      <c r="AC48" s="130"/>
      <c r="AF48" s="129"/>
      <c r="AH48" s="88"/>
    </row>
    <row r="49" spans="1:46" ht="15.75">
      <c r="A49" s="53"/>
      <c r="B49" s="53"/>
      <c r="C49" s="53"/>
      <c r="D49" s="53"/>
      <c r="E49" s="53"/>
      <c r="F49" s="93">
        <f t="shared" si="0"/>
        <v>43</v>
      </c>
      <c r="G49" s="70"/>
      <c r="H49" s="76" t="s">
        <v>334</v>
      </c>
      <c r="I49" s="65"/>
      <c r="J49" s="142">
        <f ca="1">((K35)-J47)</f>
        <v>0.86241105724330136</v>
      </c>
      <c r="K49" s="65"/>
      <c r="L49" s="65"/>
      <c r="M49" s="65"/>
      <c r="N49" s="65"/>
      <c r="O49" s="53"/>
      <c r="P49" s="53"/>
      <c r="R49" s="94">
        <f ca="1">VLOOKUP(S36,R43:S46,2)</f>
        <v>3</v>
      </c>
      <c r="S49" s="170" t="s">
        <v>335</v>
      </c>
      <c r="T49" s="157"/>
      <c r="X49" s="62" t="s">
        <v>336</v>
      </c>
      <c r="AA49" s="67"/>
      <c r="AC49" s="130"/>
      <c r="AH49" s="88"/>
    </row>
    <row r="50" spans="1:46">
      <c r="A50" s="53"/>
      <c r="B50" s="53"/>
      <c r="C50" s="53"/>
      <c r="D50" s="53"/>
      <c r="E50" s="53"/>
      <c r="F50" s="53"/>
      <c r="G50" s="53"/>
      <c r="H50" s="53"/>
      <c r="I50" s="53"/>
      <c r="J50" s="53"/>
      <c r="K50" s="171"/>
      <c r="L50" s="53"/>
      <c r="M50" s="53"/>
      <c r="N50" s="172"/>
      <c r="O50" s="53"/>
      <c r="P50" s="53"/>
      <c r="R50" s="94"/>
      <c r="T50" s="157"/>
      <c r="X50" s="62" t="s">
        <v>337</v>
      </c>
      <c r="AA50" s="130"/>
      <c r="AC50" s="130"/>
      <c r="AD50" s="130"/>
      <c r="AE50" s="88"/>
      <c r="AH50" s="88"/>
    </row>
    <row r="51" spans="1:46">
      <c r="A51" s="53"/>
      <c r="B51" s="53"/>
      <c r="C51" s="53"/>
      <c r="D51" s="53"/>
      <c r="E51" s="53"/>
      <c r="F51" s="53"/>
      <c r="G51" s="53"/>
      <c r="H51" s="53"/>
      <c r="I51" s="53"/>
      <c r="J51" s="53"/>
      <c r="K51" s="171"/>
      <c r="L51" s="53"/>
      <c r="M51" s="53"/>
      <c r="N51" s="172"/>
      <c r="O51" s="53"/>
      <c r="P51" s="53"/>
      <c r="R51" s="173">
        <f ca="1">+V44</f>
        <v>0.88632999999999995</v>
      </c>
      <c r="S51" s="122" t="s">
        <v>274</v>
      </c>
      <c r="T51" s="174"/>
      <c r="X51" s="62" t="s">
        <v>338</v>
      </c>
      <c r="AA51" s="130"/>
      <c r="AC51" s="130"/>
      <c r="AD51" s="130"/>
      <c r="AE51" s="88"/>
      <c r="AF51" s="130"/>
      <c r="AH51" s="88"/>
      <c r="AL51" s="130"/>
      <c r="AM51" s="130"/>
      <c r="AN51" s="130"/>
      <c r="AO51" s="130"/>
      <c r="AP51" s="130"/>
      <c r="AQ51" s="130"/>
      <c r="AR51" s="130"/>
      <c r="AS51" s="130"/>
      <c r="AT51" s="130"/>
    </row>
    <row r="52" spans="1:46">
      <c r="A52" s="53"/>
      <c r="B52" s="53"/>
      <c r="C52" s="53"/>
      <c r="D52" s="53"/>
      <c r="E52" s="53"/>
      <c r="F52" s="53"/>
      <c r="G52" s="53"/>
      <c r="H52" s="53"/>
      <c r="I52" s="53"/>
      <c r="J52" s="53"/>
      <c r="K52" s="53"/>
      <c r="L52" s="53"/>
      <c r="M52" s="53"/>
      <c r="N52" s="53"/>
      <c r="O52" s="53"/>
      <c r="P52" s="53"/>
      <c r="Z52" s="88"/>
      <c r="AA52" s="130"/>
      <c r="AC52" s="130"/>
      <c r="AD52" s="130"/>
      <c r="AE52" s="88"/>
      <c r="AF52" s="129"/>
      <c r="AH52" s="88"/>
      <c r="AL52" s="130"/>
      <c r="AM52" s="130"/>
      <c r="AN52" s="130"/>
      <c r="AO52" s="130"/>
      <c r="AP52" s="130"/>
      <c r="AQ52" s="130"/>
      <c r="AR52" s="130"/>
      <c r="AS52" s="130"/>
      <c r="AT52" s="130"/>
    </row>
    <row r="53" spans="1:46">
      <c r="A53" s="53"/>
      <c r="B53" s="53"/>
      <c r="C53" s="53"/>
      <c r="D53" s="53"/>
      <c r="E53" s="53"/>
      <c r="F53" s="53"/>
      <c r="G53" s="53"/>
      <c r="H53" s="53"/>
      <c r="I53" s="53"/>
      <c r="J53" s="175"/>
      <c r="K53" s="175"/>
      <c r="L53" s="175"/>
      <c r="M53" s="175"/>
      <c r="N53" s="53"/>
      <c r="O53" s="53"/>
      <c r="P53" s="53"/>
      <c r="R53" s="62"/>
      <c r="Z53" s="88"/>
      <c r="AA53" s="130"/>
      <c r="AC53" s="130"/>
      <c r="AD53" s="130"/>
      <c r="AE53" s="88"/>
      <c r="AF53" s="129"/>
      <c r="AH53" s="88"/>
      <c r="AL53" s="130"/>
      <c r="AM53" s="130"/>
      <c r="AN53" s="130"/>
      <c r="AO53" s="130"/>
      <c r="AP53" s="130"/>
      <c r="AQ53" s="130"/>
      <c r="AR53" s="130"/>
      <c r="AS53" s="130"/>
      <c r="AT53" s="130"/>
    </row>
    <row r="54" spans="1:46" ht="15.75">
      <c r="A54" s="53"/>
      <c r="B54" s="53"/>
      <c r="C54" s="53"/>
      <c r="D54" s="53"/>
      <c r="E54" s="53"/>
      <c r="F54" s="53"/>
      <c r="G54" s="53"/>
      <c r="H54" s="53"/>
      <c r="I54" s="53"/>
      <c r="J54" s="53"/>
      <c r="K54" s="175"/>
      <c r="L54" s="175"/>
      <c r="M54" s="175"/>
      <c r="N54" s="53"/>
      <c r="O54" s="53"/>
      <c r="P54" s="53"/>
      <c r="R54" s="62"/>
      <c r="S54" s="62" t="s">
        <v>339</v>
      </c>
      <c r="T54" s="130"/>
      <c r="U54" s="176"/>
      <c r="W54" s="177" t="s">
        <v>340</v>
      </c>
      <c r="X54" s="178"/>
      <c r="Y54" s="178"/>
      <c r="Z54" s="178"/>
      <c r="AC54" s="130"/>
      <c r="AF54" s="129"/>
      <c r="AH54" s="88"/>
      <c r="AL54" s="130"/>
      <c r="AM54" s="130"/>
      <c r="AN54" s="130"/>
      <c r="AO54" s="130"/>
      <c r="AP54" s="130"/>
      <c r="AQ54" s="130"/>
      <c r="AR54" s="130"/>
      <c r="AS54" s="130"/>
      <c r="AT54" s="130"/>
    </row>
    <row r="55" spans="1:46">
      <c r="A55" s="53"/>
      <c r="B55" s="53"/>
      <c r="C55" s="53"/>
      <c r="D55" s="53"/>
      <c r="E55" s="53"/>
      <c r="F55" s="53"/>
      <c r="G55" s="53"/>
      <c r="H55" s="53"/>
      <c r="I55" s="53"/>
      <c r="J55" s="53"/>
      <c r="K55" s="53"/>
      <c r="L55" s="179"/>
      <c r="M55" s="179"/>
      <c r="N55" s="53"/>
      <c r="O55" s="53"/>
      <c r="P55" s="53"/>
      <c r="R55" s="180"/>
      <c r="S55" s="181" t="s">
        <v>308</v>
      </c>
      <c r="T55" s="181" t="s">
        <v>26</v>
      </c>
      <c r="U55" s="182" t="s">
        <v>310</v>
      </c>
      <c r="W55" s="183" t="s">
        <v>341</v>
      </c>
      <c r="X55" s="184">
        <v>5.7225999999999999</v>
      </c>
      <c r="Y55" s="185" t="s">
        <v>342</v>
      </c>
      <c r="Z55" s="186">
        <v>5.6985000000000001</v>
      </c>
      <c r="AA55" s="67"/>
      <c r="AC55" s="130"/>
      <c r="AH55" s="88"/>
    </row>
    <row r="56" spans="1:46">
      <c r="A56" s="53"/>
      <c r="B56" s="53"/>
      <c r="C56" s="53"/>
      <c r="D56" s="53"/>
      <c r="E56" s="53"/>
      <c r="F56" s="53"/>
      <c r="G56" s="53"/>
      <c r="H56" s="53"/>
      <c r="I56" s="53"/>
      <c r="J56" s="179"/>
      <c r="K56" s="53"/>
      <c r="L56" s="179"/>
      <c r="M56" s="179"/>
      <c r="N56" s="53"/>
      <c r="O56" s="53"/>
      <c r="P56" s="53"/>
      <c r="R56" s="63" t="s">
        <v>96</v>
      </c>
      <c r="S56" s="187">
        <v>0.56200000000000006</v>
      </c>
      <c r="T56" s="187">
        <v>6.3799999999999996E-2</v>
      </c>
      <c r="U56" s="163">
        <f>ROUND(+S56*T56,5)</f>
        <v>3.5860000000000003E-2</v>
      </c>
      <c r="W56" s="188" t="s">
        <v>343</v>
      </c>
      <c r="X56" s="189">
        <v>5.7082699999999997</v>
      </c>
      <c r="Y56" s="190" t="s">
        <v>344</v>
      </c>
      <c r="Z56" s="191">
        <v>5.6921999999999997</v>
      </c>
      <c r="AA56" s="130"/>
      <c r="AC56" s="130"/>
      <c r="AD56" s="130"/>
      <c r="AE56" s="88"/>
      <c r="AH56" s="88"/>
    </row>
    <row r="57" spans="1:46">
      <c r="A57" s="53"/>
      <c r="B57" s="53"/>
      <c r="C57" s="53"/>
      <c r="D57" s="53"/>
      <c r="E57" s="175"/>
      <c r="F57" s="53"/>
      <c r="G57" s="53"/>
      <c r="H57" s="53"/>
      <c r="I57" s="53"/>
      <c r="J57" s="179"/>
      <c r="K57" s="53"/>
      <c r="L57" s="179"/>
      <c r="M57" s="179"/>
      <c r="N57" s="53"/>
      <c r="O57" s="53"/>
      <c r="P57" s="53"/>
      <c r="R57" s="63" t="s">
        <v>345</v>
      </c>
      <c r="S57" s="187">
        <v>9.4E-2</v>
      </c>
      <c r="T57" s="187">
        <v>6.59E-2</v>
      </c>
      <c r="U57" s="163">
        <f>ROUND(+S57*T57,5)</f>
        <v>6.1900000000000002E-3</v>
      </c>
      <c r="W57" s="63"/>
      <c r="Y57" s="192"/>
      <c r="Z57" s="193"/>
      <c r="AA57" s="130"/>
      <c r="AC57" s="130"/>
      <c r="AD57" s="130"/>
      <c r="AE57" s="88"/>
      <c r="AF57" s="129"/>
      <c r="AH57" s="88"/>
      <c r="AL57" s="130"/>
    </row>
    <row r="58" spans="1:46" ht="15.75">
      <c r="A58" s="53"/>
      <c r="B58" s="53"/>
      <c r="C58" s="53"/>
      <c r="D58" s="53"/>
      <c r="E58" s="175"/>
      <c r="F58" s="175"/>
      <c r="G58" s="175"/>
      <c r="H58" s="194"/>
      <c r="I58" s="175"/>
      <c r="J58" s="179"/>
      <c r="K58" s="53"/>
      <c r="L58" s="53"/>
      <c r="M58" s="53"/>
      <c r="N58" s="53"/>
      <c r="O58" s="53"/>
      <c r="P58" s="53"/>
      <c r="R58" s="63" t="s">
        <v>92</v>
      </c>
      <c r="S58" s="195">
        <v>0.34399999999999997</v>
      </c>
      <c r="T58" s="196"/>
      <c r="U58" s="197"/>
      <c r="W58" s="121"/>
      <c r="X58" s="198" t="s">
        <v>346</v>
      </c>
      <c r="Y58" s="199">
        <v>0.68367</v>
      </c>
      <c r="Z58" s="200"/>
      <c r="AA58" s="130"/>
      <c r="AC58" s="130"/>
      <c r="AD58" s="130"/>
      <c r="AE58" s="88"/>
      <c r="AF58" s="129"/>
      <c r="AH58" s="88"/>
    </row>
    <row r="59" spans="1:46" ht="15.75">
      <c r="A59" s="53"/>
      <c r="B59" s="53"/>
      <c r="C59" s="53"/>
      <c r="D59" s="53"/>
      <c r="E59" s="53"/>
      <c r="F59" s="53"/>
      <c r="G59" s="53"/>
      <c r="H59" s="53"/>
      <c r="I59" s="53"/>
      <c r="J59" s="53"/>
      <c r="K59" s="53"/>
      <c r="L59" s="53"/>
      <c r="M59" s="53"/>
      <c r="N59" s="53"/>
      <c r="O59" s="53"/>
      <c r="P59" s="53"/>
      <c r="R59" s="121"/>
      <c r="S59" s="195">
        <f>SUM(S56:S58)</f>
        <v>1</v>
      </c>
      <c r="T59" s="201"/>
      <c r="U59" s="202"/>
      <c r="X59" s="130"/>
      <c r="Y59" s="145"/>
      <c r="Z59" s="88"/>
      <c r="AA59" s="130"/>
      <c r="AC59" s="130"/>
      <c r="AD59" s="130"/>
      <c r="AE59" s="88"/>
      <c r="AF59" s="129"/>
      <c r="AH59" s="88"/>
    </row>
    <row r="60" spans="1:46">
      <c r="A60" s="53"/>
      <c r="B60" s="53"/>
      <c r="C60" s="53"/>
      <c r="D60" s="53"/>
      <c r="E60" s="53"/>
      <c r="F60" s="53"/>
      <c r="G60" s="53"/>
      <c r="H60" s="53"/>
      <c r="I60" s="53"/>
      <c r="J60" s="53"/>
      <c r="K60" s="53"/>
      <c r="L60" s="53"/>
      <c r="M60" s="53"/>
      <c r="N60" s="53"/>
      <c r="O60" s="53"/>
      <c r="P60" s="53"/>
      <c r="X60" s="203"/>
      <c r="AC60" s="130"/>
      <c r="AF60" s="129"/>
      <c r="AH60" s="88"/>
      <c r="AL60" s="129"/>
      <c r="AM60" s="129"/>
      <c r="AN60" s="129"/>
      <c r="AO60" s="129"/>
      <c r="AP60" s="129"/>
      <c r="AQ60" s="129"/>
      <c r="AR60" s="129"/>
      <c r="AS60" s="129"/>
      <c r="AT60" s="129"/>
    </row>
    <row r="61" spans="1:46">
      <c r="A61" s="53"/>
      <c r="B61" s="53"/>
      <c r="C61" s="53"/>
      <c r="D61" s="53"/>
      <c r="E61" s="175"/>
      <c r="F61" s="53"/>
      <c r="G61" s="53"/>
      <c r="H61" s="53"/>
      <c r="I61" s="53"/>
      <c r="J61" s="53"/>
      <c r="K61" s="53"/>
      <c r="L61" s="53"/>
      <c r="M61" s="53"/>
      <c r="N61" s="53"/>
      <c r="O61" s="53"/>
      <c r="P61" s="53"/>
      <c r="W61" s="180" t="s">
        <v>315</v>
      </c>
      <c r="X61" s="204"/>
      <c r="Y61" s="113" t="s">
        <v>347</v>
      </c>
      <c r="Z61" s="114" t="s">
        <v>256</v>
      </c>
      <c r="AC61" s="130"/>
      <c r="AH61" s="88"/>
      <c r="AL61" s="129"/>
      <c r="AM61" s="129"/>
      <c r="AN61" s="129"/>
      <c r="AO61" s="129"/>
      <c r="AP61" s="129"/>
      <c r="AQ61" s="129"/>
      <c r="AR61" s="129"/>
      <c r="AS61" s="129"/>
      <c r="AT61" s="129"/>
    </row>
    <row r="62" spans="1:46">
      <c r="A62" s="53"/>
      <c r="B62" s="53"/>
      <c r="C62" s="53"/>
      <c r="D62" s="53"/>
      <c r="E62" s="53"/>
      <c r="F62" s="175"/>
      <c r="G62" s="175"/>
      <c r="H62" s="175"/>
      <c r="I62" s="175"/>
      <c r="J62" s="175"/>
      <c r="K62" s="175"/>
      <c r="L62" s="175"/>
      <c r="M62" s="175"/>
      <c r="N62" s="175"/>
      <c r="O62" s="53"/>
      <c r="P62" s="53"/>
      <c r="W62" s="205"/>
      <c r="X62" s="206"/>
      <c r="Y62" s="206"/>
      <c r="Z62" s="207"/>
      <c r="AC62" s="130"/>
      <c r="AD62" s="130"/>
      <c r="AE62" s="88"/>
      <c r="AH62" s="88"/>
      <c r="AL62" s="129"/>
      <c r="AM62" s="129"/>
      <c r="AN62" s="129"/>
      <c r="AO62" s="129"/>
      <c r="AP62" s="129"/>
      <c r="AQ62" s="129"/>
      <c r="AR62" s="129"/>
      <c r="AS62" s="129"/>
      <c r="AT62" s="129"/>
    </row>
    <row r="63" spans="1:46">
      <c r="A63" s="53"/>
      <c r="B63" s="53"/>
      <c r="C63" s="53"/>
      <c r="D63" s="53"/>
      <c r="E63" s="53"/>
      <c r="F63" s="53"/>
      <c r="G63" s="53"/>
      <c r="H63" s="53"/>
      <c r="I63" s="53"/>
      <c r="J63" s="53"/>
      <c r="K63" s="53"/>
      <c r="L63" s="53"/>
      <c r="M63" s="53"/>
      <c r="N63" s="53"/>
      <c r="O63" s="53"/>
      <c r="P63" s="53"/>
      <c r="W63" s="63" t="s">
        <v>317</v>
      </c>
      <c r="X63" s="206"/>
      <c r="Y63" s="163">
        <f t="shared" ref="Y63:Z68" ca="1" si="1">+J33</f>
        <v>0.14736626659438917</v>
      </c>
      <c r="Z63" s="163">
        <f t="shared" ca="1" si="1"/>
        <v>0.12130235680483242</v>
      </c>
      <c r="AC63" s="130"/>
      <c r="AD63" s="130"/>
      <c r="AE63" s="88"/>
      <c r="AF63" s="129"/>
      <c r="AH63" s="88"/>
      <c r="AL63" s="129"/>
      <c r="AM63" s="129"/>
      <c r="AN63" s="129"/>
      <c r="AO63" s="129"/>
      <c r="AP63" s="129"/>
      <c r="AQ63" s="129"/>
      <c r="AR63" s="129"/>
      <c r="AS63" s="129"/>
      <c r="AT63" s="129"/>
    </row>
    <row r="64" spans="1:46">
      <c r="A64" s="53"/>
      <c r="B64" s="53"/>
      <c r="C64" s="53"/>
      <c r="D64" s="53"/>
      <c r="E64" s="53"/>
      <c r="F64" s="53"/>
      <c r="G64" s="53"/>
      <c r="H64" s="53"/>
      <c r="I64" s="53"/>
      <c r="J64" s="53"/>
      <c r="K64" s="53"/>
      <c r="L64" s="53"/>
      <c r="M64" s="53"/>
      <c r="N64" s="53"/>
      <c r="O64" s="53"/>
      <c r="P64" s="53"/>
      <c r="W64" s="63" t="s">
        <v>318</v>
      </c>
      <c r="X64" s="206"/>
      <c r="Y64" s="163">
        <f t="shared" ca="1" si="1"/>
        <v>0.22701069505902635</v>
      </c>
      <c r="Z64" s="163">
        <f t="shared" ca="1" si="1"/>
        <v>0.17933844909663083</v>
      </c>
      <c r="AC64" s="130"/>
      <c r="AD64" s="130"/>
      <c r="AE64" s="88"/>
      <c r="AF64" s="129"/>
      <c r="AH64" s="88"/>
    </row>
    <row r="65" spans="1:38">
      <c r="A65" s="62" t="b">
        <v>1</v>
      </c>
      <c r="F65" s="53"/>
      <c r="G65" s="53"/>
      <c r="H65" s="53"/>
      <c r="I65" s="53"/>
      <c r="J65" s="53"/>
      <c r="K65" s="53"/>
      <c r="L65" s="53"/>
      <c r="M65" s="53"/>
      <c r="N65" s="53"/>
      <c r="W65" s="63" t="s">
        <v>274</v>
      </c>
      <c r="X65" s="206"/>
      <c r="Y65" s="163">
        <f t="shared" ca="1" si="1"/>
        <v>0.88632999999999995</v>
      </c>
      <c r="Z65" s="163">
        <f t="shared" ca="1" si="1"/>
        <v>0.88689197612858583</v>
      </c>
      <c r="AC65" s="130"/>
      <c r="AD65" s="130"/>
      <c r="AE65" s="88"/>
      <c r="AF65" s="129"/>
      <c r="AH65" s="88"/>
    </row>
    <row r="66" spans="1:38">
      <c r="H66" s="129"/>
      <c r="I66" s="129"/>
      <c r="J66" s="129"/>
      <c r="K66" s="129"/>
      <c r="L66" s="129"/>
      <c r="M66" s="129"/>
      <c r="N66" s="129"/>
      <c r="O66" s="129"/>
      <c r="W66" s="63" t="s">
        <v>320</v>
      </c>
      <c r="X66" s="206"/>
      <c r="Y66" s="163">
        <f t="shared" ca="1" si="1"/>
        <v>0.11367000000000009</v>
      </c>
      <c r="Z66" s="163">
        <f t="shared" ca="1" si="1"/>
        <v>0.11367000000000009</v>
      </c>
      <c r="AC66" s="130"/>
      <c r="AF66" s="129"/>
      <c r="AH66" s="88"/>
      <c r="AL66" s="129"/>
    </row>
    <row r="67" spans="1:38">
      <c r="H67" s="129"/>
      <c r="I67" s="129"/>
      <c r="J67" s="129"/>
      <c r="K67" s="129"/>
      <c r="L67" s="129"/>
      <c r="M67" s="129"/>
      <c r="N67" s="129"/>
      <c r="O67" s="129"/>
      <c r="W67" s="63" t="s">
        <v>321</v>
      </c>
      <c r="X67" s="209"/>
      <c r="Y67" s="163">
        <f t="shared" ca="1" si="1"/>
        <v>1.3016376390040452</v>
      </c>
      <c r="Z67" s="163">
        <f t="shared" ca="1" si="1"/>
        <v>1.3016376390040452</v>
      </c>
      <c r="AC67" s="130"/>
      <c r="AH67" s="88"/>
    </row>
    <row r="68" spans="1:38">
      <c r="O68" s="129"/>
      <c r="W68" s="63" t="s">
        <v>322</v>
      </c>
      <c r="X68" s="79"/>
      <c r="Y68" s="163">
        <f t="shared" si="1"/>
        <v>0.21</v>
      </c>
      <c r="Z68" s="163">
        <f t="shared" si="1"/>
        <v>0.21</v>
      </c>
      <c r="AC68" s="130"/>
      <c r="AD68" s="130"/>
      <c r="AE68" s="88"/>
      <c r="AH68" s="88"/>
    </row>
    <row r="69" spans="1:38" ht="15.75">
      <c r="O69" s="129"/>
      <c r="W69" s="63"/>
      <c r="Y69" s="196"/>
      <c r="Z69" s="210"/>
      <c r="AC69" s="130"/>
      <c r="AD69" s="130"/>
      <c r="AE69" s="88"/>
      <c r="AF69" s="129"/>
      <c r="AH69" s="88"/>
    </row>
    <row r="70" spans="1:38">
      <c r="O70" s="129"/>
      <c r="W70" s="121"/>
      <c r="X70" s="211"/>
      <c r="Y70" s="212"/>
      <c r="Z70" s="213"/>
      <c r="AA70" s="130"/>
      <c r="AC70" s="130"/>
      <c r="AD70" s="130"/>
      <c r="AE70" s="88"/>
      <c r="AF70" s="129"/>
      <c r="AH70" s="88"/>
    </row>
    <row r="71" spans="1:38">
      <c r="X71" s="130"/>
      <c r="Y71" s="145"/>
      <c r="Z71" s="88"/>
      <c r="AA71" s="130"/>
      <c r="AC71" s="130"/>
      <c r="AD71" s="130"/>
      <c r="AE71" s="88"/>
      <c r="AF71" s="129"/>
      <c r="AH71" s="88"/>
    </row>
    <row r="72" spans="1:38">
      <c r="AC72" s="130"/>
      <c r="AF72" s="129"/>
      <c r="AH72" s="88"/>
    </row>
    <row r="73" spans="1:38">
      <c r="Y73" s="67"/>
      <c r="Z73" s="67"/>
      <c r="AA73" s="67"/>
      <c r="AC73" s="130"/>
      <c r="AH73" s="88"/>
    </row>
    <row r="74" spans="1:38">
      <c r="X74" s="130"/>
      <c r="Y74" s="145"/>
      <c r="Z74" s="88"/>
      <c r="AA74" s="130"/>
      <c r="AC74" s="130"/>
      <c r="AD74" s="130"/>
      <c r="AE74" s="88"/>
      <c r="AH74" s="88"/>
    </row>
    <row r="75" spans="1:38">
      <c r="X75" s="130"/>
      <c r="Y75" s="145"/>
      <c r="Z75" s="88"/>
      <c r="AA75" s="130"/>
      <c r="AC75" s="130"/>
      <c r="AD75" s="130"/>
      <c r="AE75" s="88"/>
      <c r="AF75" s="129"/>
      <c r="AH75" s="88"/>
    </row>
    <row r="76" spans="1:38">
      <c r="X76" s="130"/>
      <c r="Y76" s="145"/>
      <c r="Z76" s="88"/>
      <c r="AA76" s="130"/>
      <c r="AC76" s="130"/>
      <c r="AD76" s="130"/>
      <c r="AE76" s="88"/>
      <c r="AF76" s="129"/>
      <c r="AH76" s="88"/>
    </row>
    <row r="77" spans="1:38">
      <c r="X77" s="130"/>
      <c r="Y77" s="145"/>
      <c r="Z77" s="88"/>
      <c r="AA77" s="130"/>
      <c r="AC77" s="130"/>
      <c r="AD77" s="130"/>
      <c r="AE77" s="88"/>
      <c r="AF77" s="129"/>
      <c r="AH77" s="88"/>
    </row>
    <row r="78" spans="1:38">
      <c r="AC78" s="130"/>
      <c r="AF78" s="129"/>
      <c r="AH78" s="88"/>
    </row>
    <row r="80" spans="1:38">
      <c r="X80" s="130"/>
      <c r="Y80" s="145"/>
      <c r="Z80" s="88"/>
      <c r="AA80" s="130"/>
      <c r="AD80" s="130"/>
      <c r="AE80" s="88"/>
    </row>
    <row r="81" spans="24:32">
      <c r="X81" s="130"/>
      <c r="Y81" s="145"/>
      <c r="Z81" s="88"/>
      <c r="AA81" s="130"/>
      <c r="AD81" s="130"/>
      <c r="AE81" s="88"/>
      <c r="AF81" s="129"/>
    </row>
    <row r="82" spans="24:32">
      <c r="X82" s="130"/>
      <c r="Y82" s="145"/>
      <c r="Z82" s="88"/>
      <c r="AA82" s="130"/>
      <c r="AD82" s="130"/>
      <c r="AE82" s="88"/>
      <c r="AF82" s="129"/>
    </row>
    <row r="83" spans="24:32">
      <c r="X83" s="130"/>
      <c r="Y83" s="145"/>
      <c r="Z83" s="88"/>
      <c r="AA83" s="130"/>
      <c r="AD83" s="130"/>
      <c r="AE83" s="88"/>
      <c r="AF83" s="129"/>
    </row>
    <row r="84" spans="24:32">
      <c r="AF84" s="129"/>
    </row>
    <row r="86" spans="24:32">
      <c r="X86" s="130"/>
      <c r="Y86" s="145"/>
      <c r="Z86" s="88"/>
      <c r="AA86" s="130"/>
      <c r="AD86" s="130"/>
      <c r="AE86" s="88"/>
    </row>
    <row r="87" spans="24:32">
      <c r="X87" s="130"/>
      <c r="Y87" s="145"/>
      <c r="Z87" s="88"/>
      <c r="AA87" s="130"/>
      <c r="AD87" s="130"/>
      <c r="AE87" s="88"/>
      <c r="AF87" s="129"/>
    </row>
    <row r="88" spans="24:32">
      <c r="X88" s="130"/>
      <c r="Y88" s="145"/>
      <c r="Z88" s="88"/>
      <c r="AA88" s="130"/>
      <c r="AD88" s="130"/>
      <c r="AE88" s="88"/>
      <c r="AF88" s="129"/>
    </row>
    <row r="89" spans="24:32">
      <c r="X89" s="130"/>
      <c r="Y89" s="145"/>
      <c r="Z89" s="88"/>
      <c r="AA89" s="130"/>
      <c r="AD89" s="130"/>
      <c r="AE89" s="88"/>
      <c r="AF89" s="129"/>
    </row>
    <row r="90" spans="24:32">
      <c r="AF90" s="129"/>
    </row>
    <row r="92" spans="24:32">
      <c r="X92" s="130"/>
      <c r="Y92" s="145"/>
      <c r="Z92" s="88"/>
      <c r="AA92" s="130"/>
      <c r="AD92" s="130"/>
      <c r="AE92" s="88"/>
    </row>
    <row r="93" spans="24:32">
      <c r="X93" s="130"/>
      <c r="Y93" s="145"/>
      <c r="Z93" s="88"/>
      <c r="AA93" s="130"/>
      <c r="AD93" s="130"/>
      <c r="AE93" s="88"/>
      <c r="AF93" s="129"/>
    </row>
    <row r="94" spans="24:32">
      <c r="X94" s="130"/>
      <c r="Y94" s="145"/>
      <c r="Z94" s="88"/>
      <c r="AA94" s="130"/>
      <c r="AD94" s="130"/>
      <c r="AE94" s="88"/>
      <c r="AF94" s="129"/>
    </row>
    <row r="95" spans="24:32">
      <c r="X95" s="130"/>
      <c r="Y95" s="145"/>
      <c r="Z95" s="88"/>
      <c r="AA95" s="130"/>
      <c r="AD95" s="130"/>
      <c r="AE95" s="88"/>
      <c r="AF95" s="129"/>
    </row>
    <row r="96" spans="24:32">
      <c r="AF96" s="129"/>
    </row>
    <row r="98" spans="24:32">
      <c r="X98" s="130"/>
      <c r="Y98" s="145"/>
      <c r="Z98" s="88"/>
      <c r="AA98" s="130"/>
      <c r="AD98" s="130"/>
      <c r="AE98" s="88"/>
    </row>
    <row r="99" spans="24:32">
      <c r="X99" s="130"/>
      <c r="Y99" s="145"/>
      <c r="Z99" s="88"/>
      <c r="AA99" s="130"/>
      <c r="AD99" s="130"/>
      <c r="AE99" s="88"/>
      <c r="AF99" s="129"/>
    </row>
    <row r="100" spans="24:32">
      <c r="X100" s="130"/>
      <c r="Y100" s="145"/>
      <c r="Z100" s="88"/>
      <c r="AA100" s="130"/>
      <c r="AD100" s="130"/>
      <c r="AE100" s="88"/>
      <c r="AF100" s="129"/>
    </row>
    <row r="101" spans="24:32">
      <c r="X101" s="130"/>
      <c r="Y101" s="145"/>
      <c r="Z101" s="88"/>
      <c r="AA101" s="130"/>
      <c r="AD101" s="130"/>
      <c r="AE101" s="88"/>
      <c r="AF101" s="129"/>
    </row>
    <row r="102" spans="24:32">
      <c r="AF102" s="129"/>
    </row>
    <row r="104" spans="24:32">
      <c r="X104" s="130"/>
      <c r="Y104" s="145"/>
      <c r="Z104" s="88"/>
      <c r="AA104" s="130"/>
      <c r="AD104" s="130"/>
      <c r="AE104" s="88"/>
    </row>
    <row r="105" spans="24:32">
      <c r="X105" s="130"/>
      <c r="Y105" s="145"/>
      <c r="Z105" s="88"/>
      <c r="AA105" s="130"/>
      <c r="AD105" s="130"/>
      <c r="AE105" s="88"/>
      <c r="AF105" s="129"/>
    </row>
    <row r="106" spans="24:32">
      <c r="X106" s="130"/>
      <c r="Y106" s="145"/>
      <c r="Z106" s="88"/>
      <c r="AA106" s="130"/>
      <c r="AD106" s="130"/>
      <c r="AE106" s="88"/>
      <c r="AF106" s="129"/>
    </row>
    <row r="107" spans="24:32">
      <c r="X107" s="130"/>
      <c r="Y107" s="145"/>
      <c r="Z107" s="88"/>
      <c r="AA107" s="130"/>
      <c r="AD107" s="130"/>
      <c r="AE107" s="88"/>
      <c r="AF107" s="129"/>
    </row>
    <row r="108" spans="24:32">
      <c r="AF108" s="129"/>
    </row>
    <row r="110" spans="24:32">
      <c r="X110" s="130"/>
      <c r="Y110" s="145"/>
      <c r="Z110" s="88"/>
      <c r="AA110" s="130"/>
      <c r="AD110" s="130"/>
      <c r="AE110" s="88"/>
    </row>
    <row r="111" spans="24:32">
      <c r="X111" s="130"/>
      <c r="Y111" s="145"/>
      <c r="Z111" s="88"/>
      <c r="AA111" s="130"/>
      <c r="AD111" s="130"/>
      <c r="AE111" s="88"/>
    </row>
    <row r="112" spans="24:32">
      <c r="X112" s="130"/>
      <c r="Y112" s="145"/>
      <c r="Z112" s="88"/>
      <c r="AA112" s="130"/>
      <c r="AD112" s="130"/>
      <c r="AE112" s="88"/>
    </row>
    <row r="113" spans="24:31">
      <c r="X113" s="130"/>
      <c r="Y113" s="145"/>
      <c r="Z113" s="88"/>
      <c r="AA113" s="130"/>
      <c r="AD113" s="130"/>
      <c r="AE113" s="88"/>
    </row>
  </sheetData>
  <mergeCells count="6">
    <mergeCell ref="AF2:AI2"/>
    <mergeCell ref="B2:C2"/>
    <mergeCell ref="B17:C17"/>
    <mergeCell ref="B18:C18"/>
    <mergeCell ref="B15:C15"/>
    <mergeCell ref="C16:D16"/>
  </mergeCells>
  <pageMargins left="0.25" right="0.25" top="0.3" bottom="0.44" header="0.23" footer="0.21"/>
  <pageSetup scale="93" orientation="portrait" r:id="rId1"/>
  <headerFooter alignWithMargins="0"/>
  <drawing r:id="rId2"/>
  <legacyDrawing r:id="rId3"/>
  <controls>
    <mc:AlternateContent xmlns:mc="http://schemas.openxmlformats.org/markup-compatibility/2006">
      <mc:Choice Requires="x14">
        <control shapeId="123905" r:id="rId4" name="CheckBox1">
          <controlPr defaultSize="0" autoFill="0" autoLine="0" linkedCell="A65" r:id="rId5">
            <anchor moveWithCells="1">
              <from>
                <xdr:col>2</xdr:col>
                <xdr:colOff>104775</xdr:colOff>
                <xdr:row>14</xdr:row>
                <xdr:rowOff>180975</xdr:rowOff>
              </from>
              <to>
                <xdr:col>2</xdr:col>
                <xdr:colOff>361950</xdr:colOff>
                <xdr:row>16</xdr:row>
                <xdr:rowOff>19050</xdr:rowOff>
              </to>
            </anchor>
          </controlPr>
        </control>
      </mc:Choice>
      <mc:Fallback>
        <control shapeId="123905" r:id="rId4" name="CheckBox1"/>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9"/>
  <dimension ref="A1:H41"/>
  <sheetViews>
    <sheetView zoomScaleNormal="100" workbookViewId="0">
      <selection activeCell="D19" sqref="D19"/>
    </sheetView>
  </sheetViews>
  <sheetFormatPr defaultColWidth="8.88671875" defaultRowHeight="15"/>
  <cols>
    <col min="1" max="1" width="2" customWidth="1"/>
    <col min="3" max="3" width="44.5546875" customWidth="1"/>
    <col min="4" max="4" width="13.44140625" customWidth="1"/>
    <col min="5" max="5" width="10.44140625" customWidth="1"/>
    <col min="6" max="6" width="10.5546875" customWidth="1"/>
    <col min="7" max="7" width="9.44140625" bestFit="1" customWidth="1"/>
  </cols>
  <sheetData>
    <row r="1" spans="1:8" ht="18.75">
      <c r="A1" s="875" t="str">
        <f>+'WP-5 - Capital Structure'!A1:H1</f>
        <v>Consolidated Disposal Services, Inc.</v>
      </c>
      <c r="B1" s="875"/>
      <c r="C1" s="875"/>
      <c r="D1" s="875"/>
      <c r="E1" s="875"/>
    </row>
    <row r="2" spans="1:8" ht="18.75">
      <c r="A2" s="575"/>
      <c r="B2" s="576"/>
      <c r="C2" s="576"/>
      <c r="D2" s="576"/>
      <c r="E2" s="576"/>
    </row>
    <row r="3" spans="1:8" s="337" customFormat="1" ht="16.5" customHeight="1">
      <c r="A3" s="863" t="s">
        <v>850</v>
      </c>
      <c r="B3" s="863"/>
      <c r="C3" s="863"/>
      <c r="D3" s="863"/>
      <c r="E3" s="863"/>
      <c r="F3" s="314"/>
      <c r="G3" s="314"/>
      <c r="H3" s="314"/>
    </row>
    <row r="4" spans="1:8" s="337" customFormat="1" ht="15.75">
      <c r="A4" s="315"/>
      <c r="B4" s="315"/>
      <c r="C4" s="315"/>
      <c r="D4" s="315"/>
      <c r="E4" s="315"/>
      <c r="F4" s="315"/>
      <c r="G4" s="315"/>
      <c r="H4" s="315"/>
    </row>
    <row r="5" spans="1:8" s="337" customFormat="1" ht="15.75">
      <c r="A5" s="857" t="str">
        <f>'WP-5 - Capital Structure'!$A$5</f>
        <v>In Support of Tariff 7 effective April 1, 2023</v>
      </c>
      <c r="B5" s="857"/>
      <c r="C5" s="857"/>
      <c r="D5" s="857"/>
      <c r="E5" s="857"/>
      <c r="F5" s="297"/>
      <c r="G5" s="297"/>
      <c r="H5" s="297"/>
    </row>
    <row r="6" spans="1:8" ht="18.75">
      <c r="A6" s="576"/>
      <c r="B6" s="576"/>
      <c r="C6" s="576"/>
      <c r="D6" s="576"/>
      <c r="E6" s="576"/>
    </row>
    <row r="7" spans="1:8">
      <c r="A7" s="873" t="s">
        <v>217</v>
      </c>
      <c r="B7" s="874"/>
      <c r="C7" s="874"/>
      <c r="D7" s="874"/>
      <c r="E7" s="874"/>
    </row>
    <row r="8" spans="1:8">
      <c r="A8" s="874"/>
      <c r="B8" s="874"/>
      <c r="C8" s="874"/>
      <c r="D8" s="874"/>
      <c r="E8" s="874"/>
    </row>
    <row r="9" spans="1:8">
      <c r="A9" s="874"/>
      <c r="B9" s="874"/>
      <c r="C9" s="874"/>
      <c r="D9" s="874"/>
      <c r="E9" s="874"/>
    </row>
    <row r="10" spans="1:8">
      <c r="A10" s="874"/>
      <c r="B10" s="874"/>
      <c r="C10" s="874"/>
      <c r="D10" s="874"/>
      <c r="E10" s="874"/>
    </row>
    <row r="11" spans="1:8">
      <c r="A11" s="874"/>
      <c r="B11" s="874"/>
      <c r="C11" s="874"/>
      <c r="D11" s="874"/>
      <c r="E11" s="874"/>
    </row>
    <row r="12" spans="1:8">
      <c r="A12" s="874"/>
      <c r="B12" s="874"/>
      <c r="C12" s="874"/>
      <c r="D12" s="874"/>
      <c r="E12" s="874"/>
    </row>
    <row r="13" spans="1:8" ht="8.25" customHeight="1">
      <c r="A13" s="874"/>
      <c r="B13" s="874"/>
      <c r="C13" s="874"/>
      <c r="D13" s="874"/>
      <c r="E13" s="874"/>
    </row>
    <row r="14" spans="1:8" ht="6" hidden="1" customHeight="1">
      <c r="A14" s="874"/>
      <c r="B14" s="874"/>
      <c r="C14" s="874"/>
      <c r="D14" s="874"/>
      <c r="E14" s="874"/>
    </row>
    <row r="15" spans="1:8" hidden="1">
      <c r="A15" s="874"/>
      <c r="B15" s="874"/>
      <c r="C15" s="874"/>
      <c r="D15" s="874"/>
      <c r="E15" s="874"/>
    </row>
    <row r="16" spans="1:8" ht="18.75">
      <c r="A16" s="577"/>
      <c r="B16" s="577"/>
      <c r="C16" s="577"/>
      <c r="D16" s="813"/>
      <c r="E16" s="577"/>
    </row>
    <row r="17" spans="1:5" ht="18.75">
      <c r="A17" s="576"/>
      <c r="B17" s="576" t="s">
        <v>1191</v>
      </c>
      <c r="C17" s="576"/>
      <c r="D17" s="576"/>
      <c r="E17" s="578"/>
    </row>
    <row r="18" spans="1:5" ht="18.75">
      <c r="A18" s="576"/>
      <c r="B18" s="576"/>
      <c r="C18" s="576"/>
      <c r="D18" s="576"/>
      <c r="E18" s="576"/>
    </row>
    <row r="19" spans="1:5" ht="18.75">
      <c r="A19" s="576"/>
      <c r="B19" s="576"/>
      <c r="C19" s="576"/>
      <c r="D19" s="576"/>
      <c r="E19" s="576"/>
    </row>
    <row r="20" spans="1:5" ht="18.75">
      <c r="A20" s="576"/>
      <c r="B20" s="576"/>
      <c r="C20" s="576"/>
      <c r="D20" s="576"/>
      <c r="E20" s="576"/>
    </row>
    <row r="21" spans="1:5" ht="18.75">
      <c r="A21" s="576"/>
      <c r="B21" s="576"/>
      <c r="C21" s="576"/>
      <c r="D21" s="576"/>
      <c r="E21" s="579"/>
    </row>
    <row r="22" spans="1:5" ht="18.75">
      <c r="A22" s="576"/>
      <c r="B22" s="576"/>
      <c r="C22" s="576"/>
      <c r="D22" s="576"/>
      <c r="E22" s="579"/>
    </row>
    <row r="23" spans="1:5" ht="18.75">
      <c r="A23" s="576"/>
      <c r="B23" s="576"/>
      <c r="C23" s="576"/>
      <c r="D23" s="576"/>
      <c r="E23" s="579"/>
    </row>
    <row r="24" spans="1:5" ht="18.75">
      <c r="A24" s="576"/>
      <c r="B24" s="576"/>
      <c r="C24" s="576"/>
      <c r="D24" s="576"/>
      <c r="E24" s="576"/>
    </row>
    <row r="25" spans="1:5" ht="18.75">
      <c r="A25" s="576"/>
      <c r="B25" s="576"/>
      <c r="C25" s="576"/>
      <c r="D25" s="576"/>
      <c r="E25" s="576"/>
    </row>
    <row r="26" spans="1:5" ht="18.75">
      <c r="A26" s="576"/>
    </row>
    <row r="27" spans="1:5" ht="18.75">
      <c r="A27" s="576"/>
    </row>
    <row r="28" spans="1:5" ht="18.75">
      <c r="A28" s="576"/>
    </row>
    <row r="29" spans="1:5" ht="18.75">
      <c r="A29" s="576"/>
    </row>
    <row r="30" spans="1:5" ht="18.75">
      <c r="A30" s="576"/>
    </row>
    <row r="31" spans="1:5" ht="18.75">
      <c r="A31" s="576"/>
    </row>
    <row r="32" spans="1:5" ht="18.75">
      <c r="A32" s="580"/>
    </row>
    <row r="33" spans="1:1" ht="18.75">
      <c r="A33" s="580"/>
    </row>
    <row r="34" spans="1:1" ht="18.75">
      <c r="A34" s="580"/>
    </row>
    <row r="35" spans="1:1" ht="18.75">
      <c r="A35" s="576"/>
    </row>
    <row r="36" spans="1:1" ht="18.75">
      <c r="A36" s="576"/>
    </row>
    <row r="37" spans="1:1" ht="18.75">
      <c r="A37" s="576"/>
    </row>
    <row r="38" spans="1:1" ht="18.75">
      <c r="A38" s="576"/>
    </row>
    <row r="39" spans="1:1" ht="13.5" customHeight="1">
      <c r="A39" s="576"/>
    </row>
    <row r="40" spans="1:1" ht="18.75">
      <c r="A40" s="576"/>
    </row>
    <row r="41" spans="1:1" ht="18.75">
      <c r="A41" s="576"/>
    </row>
  </sheetData>
  <mergeCells count="4">
    <mergeCell ref="A7:E15"/>
    <mergeCell ref="A1:E1"/>
    <mergeCell ref="A3:E3"/>
    <mergeCell ref="A5:E5"/>
  </mergeCells>
  <printOptions horizontalCentered="1"/>
  <pageMargins left="0.7" right="0.7" top="0.75" bottom="0.75" header="0.3" footer="0.3"/>
  <pageSetup scale="84"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0"/>
  <dimension ref="A1:M328"/>
  <sheetViews>
    <sheetView zoomScaleNormal="100" workbookViewId="0">
      <selection activeCell="C14" sqref="C14"/>
    </sheetView>
  </sheetViews>
  <sheetFormatPr defaultColWidth="8.88671875" defaultRowHeight="15"/>
  <cols>
    <col min="1" max="1" width="22" style="530" customWidth="1"/>
    <col min="2" max="2" width="10.88671875" style="530" bestFit="1" customWidth="1"/>
    <col min="3" max="3" width="1.88671875" style="530" customWidth="1"/>
    <col min="4" max="4" width="13" style="530" customWidth="1"/>
    <col min="5" max="6" width="8.88671875" style="530"/>
    <col min="7" max="7" width="15.88671875" style="530" customWidth="1"/>
    <col min="8" max="8" width="8.88671875" style="529"/>
    <col min="9" max="9" width="8.88671875" style="530"/>
    <col min="10" max="10" width="13.109375" style="530" bestFit="1" customWidth="1"/>
    <col min="11" max="16384" width="8.88671875" style="530"/>
  </cols>
  <sheetData>
    <row r="1" spans="1:13" ht="15.75">
      <c r="A1" s="877" t="str">
        <f>+'WP-5, pg 2 - Capital'!A1</f>
        <v>Consolidated Disposal Services, Inc.</v>
      </c>
      <c r="B1" s="877"/>
      <c r="C1" s="877"/>
      <c r="D1" s="877"/>
      <c r="E1" s="877"/>
      <c r="F1" s="877"/>
      <c r="G1" s="877"/>
    </row>
    <row r="2" spans="1:13" ht="15.75">
      <c r="A2" s="531"/>
      <c r="B2" s="532"/>
      <c r="C2" s="532"/>
      <c r="D2" s="532"/>
      <c r="E2" s="532"/>
      <c r="F2" s="532"/>
      <c r="G2" s="532"/>
    </row>
    <row r="3" spans="1:13" ht="15.75">
      <c r="A3" s="878" t="s">
        <v>214</v>
      </c>
      <c r="B3" s="878"/>
      <c r="C3" s="878"/>
      <c r="D3" s="878"/>
      <c r="E3" s="878"/>
      <c r="F3" s="878"/>
      <c r="G3" s="878"/>
    </row>
    <row r="4" spans="1:13" ht="15.75">
      <c r="A4" s="533"/>
      <c r="B4" s="533"/>
      <c r="C4" s="533"/>
      <c r="D4" s="533"/>
      <c r="E4" s="533"/>
      <c r="F4" s="533"/>
      <c r="G4" s="533"/>
    </row>
    <row r="5" spans="1:13" ht="15.75">
      <c r="A5" s="877" t="str">
        <f>'WP-5, pg 2 - Capital'!$A$5</f>
        <v>In Support of Tariff 7 effective April 1, 2023</v>
      </c>
      <c r="B5" s="877"/>
      <c r="C5" s="877"/>
      <c r="D5" s="877"/>
      <c r="E5" s="877"/>
      <c r="F5" s="877"/>
      <c r="G5" s="877"/>
      <c r="J5" s="534"/>
    </row>
    <row r="6" spans="1:13">
      <c r="H6" s="534"/>
    </row>
    <row r="7" spans="1:13" ht="15.75">
      <c r="A7" s="535" t="s">
        <v>849</v>
      </c>
      <c r="B7" s="536"/>
      <c r="C7" s="536"/>
      <c r="D7" s="537"/>
      <c r="E7" s="537"/>
      <c r="F7" s="537"/>
      <c r="G7" s="537"/>
      <c r="H7" s="538"/>
      <c r="I7" s="502"/>
      <c r="J7" s="502"/>
      <c r="K7" s="502"/>
      <c r="L7" s="502"/>
    </row>
    <row r="8" spans="1:13" ht="12" customHeight="1">
      <c r="A8" s="539"/>
      <c r="B8" s="540"/>
      <c r="C8" s="541"/>
      <c r="D8" s="542"/>
      <c r="E8" s="542"/>
      <c r="F8" s="542"/>
      <c r="G8" s="542"/>
      <c r="H8" s="543"/>
      <c r="I8" s="544"/>
      <c r="K8" s="503"/>
      <c r="L8" s="503"/>
    </row>
    <row r="9" spans="1:13" ht="33.75" customHeight="1">
      <c r="A9" s="539" t="s">
        <v>848</v>
      </c>
      <c r="B9" s="540">
        <f>+'Sch 4 - 12 Months'!O44</f>
        <v>555311.55000000005</v>
      </c>
      <c r="C9" s="546"/>
      <c r="D9" s="879" t="s">
        <v>868</v>
      </c>
      <c r="E9" s="879"/>
      <c r="F9" s="879"/>
      <c r="G9" s="879"/>
      <c r="H9" s="543"/>
      <c r="I9" s="547"/>
      <c r="J9" s="503"/>
      <c r="K9" s="876"/>
      <c r="L9" s="876"/>
      <c r="M9" s="876"/>
    </row>
    <row r="10" spans="1:13" ht="15.75">
      <c r="A10" s="539"/>
      <c r="B10" s="540"/>
      <c r="C10" s="541"/>
      <c r="D10" s="582"/>
      <c r="E10" s="548"/>
      <c r="F10" s="548"/>
      <c r="G10" s="548"/>
      <c r="H10" s="543"/>
      <c r="I10" s="547"/>
      <c r="J10" s="503"/>
      <c r="K10" s="503"/>
      <c r="L10" s="503"/>
      <c r="M10" s="503"/>
    </row>
    <row r="11" spans="1:13" ht="15.75">
      <c r="A11" s="582"/>
      <c r="C11" s="541"/>
      <c r="D11" s="582"/>
      <c r="E11" s="542"/>
      <c r="F11" s="542"/>
      <c r="G11" s="542"/>
      <c r="H11" s="543"/>
      <c r="I11" s="503"/>
      <c r="J11" s="544"/>
      <c r="K11" s="544"/>
      <c r="L11" s="503"/>
    </row>
    <row r="12" spans="1:13" ht="15.75">
      <c r="A12" s="600"/>
      <c r="B12" s="540"/>
      <c r="C12" s="541"/>
      <c r="D12" s="600"/>
      <c r="E12" s="548"/>
      <c r="F12" s="548"/>
      <c r="G12" s="548"/>
      <c r="H12" s="543"/>
      <c r="I12" s="547"/>
      <c r="J12" s="503"/>
      <c r="K12" s="503"/>
      <c r="L12" s="503"/>
      <c r="M12" s="503"/>
    </row>
    <row r="13" spans="1:13" ht="15.75">
      <c r="A13" s="539"/>
      <c r="B13" s="540"/>
      <c r="C13" s="541"/>
      <c r="D13" s="548"/>
      <c r="E13" s="548"/>
      <c r="F13" s="548"/>
      <c r="G13" s="548"/>
      <c r="H13" s="543"/>
      <c r="I13" s="547"/>
      <c r="J13" s="503"/>
      <c r="K13" s="503"/>
      <c r="L13" s="503"/>
      <c r="M13" s="503"/>
    </row>
    <row r="14" spans="1:13" ht="15.75">
      <c r="A14" s="539"/>
      <c r="B14" s="540"/>
      <c r="C14" s="541"/>
      <c r="D14" s="542"/>
      <c r="E14" s="542"/>
      <c r="F14" s="542"/>
      <c r="G14" s="542"/>
      <c r="H14" s="543"/>
      <c r="I14" s="503"/>
      <c r="J14" s="544"/>
      <c r="K14" s="544"/>
      <c r="L14" s="503"/>
    </row>
    <row r="15" spans="1:13" ht="15.75">
      <c r="A15" s="539"/>
      <c r="B15" s="540"/>
      <c r="C15" s="541"/>
      <c r="D15" s="548"/>
      <c r="E15" s="548"/>
      <c r="F15" s="548"/>
      <c r="G15" s="548"/>
      <c r="I15" s="547"/>
      <c r="J15" s="503"/>
      <c r="K15" s="503"/>
      <c r="L15" s="503"/>
      <c r="M15" s="503"/>
    </row>
    <row r="16" spans="1:13" ht="15.75">
      <c r="A16" s="549"/>
      <c r="B16" s="541"/>
      <c r="C16" s="541"/>
      <c r="D16" s="550"/>
      <c r="E16" s="550"/>
      <c r="F16" s="550"/>
      <c r="G16" s="550"/>
      <c r="H16" s="543"/>
      <c r="J16" s="544"/>
      <c r="K16" s="544"/>
    </row>
    <row r="17" spans="1:13" ht="15.75">
      <c r="A17" s="539"/>
      <c r="B17" s="540"/>
      <c r="C17" s="541"/>
      <c r="D17" s="548"/>
      <c r="E17" s="548"/>
      <c r="F17" s="548"/>
      <c r="G17" s="548"/>
      <c r="I17" s="547"/>
      <c r="J17" s="503"/>
      <c r="K17" s="503"/>
      <c r="L17" s="503"/>
      <c r="M17" s="503"/>
    </row>
    <row r="18" spans="1:13" ht="15.75">
      <c r="A18" s="549"/>
      <c r="B18" s="541"/>
      <c r="C18" s="541"/>
      <c r="D18" s="550"/>
      <c r="E18" s="550"/>
      <c r="F18" s="550"/>
      <c r="G18" s="550"/>
      <c r="H18" s="543"/>
      <c r="J18" s="544"/>
      <c r="K18" s="544"/>
    </row>
    <row r="19" spans="1:13" ht="15.75">
      <c r="A19" s="537"/>
      <c r="B19" s="551"/>
      <c r="C19" s="551"/>
      <c r="D19" s="552"/>
      <c r="E19" s="552"/>
      <c r="F19" s="552"/>
      <c r="G19" s="552"/>
      <c r="H19" s="553"/>
      <c r="I19" s="547"/>
      <c r="J19" s="503"/>
      <c r="K19" s="503"/>
      <c r="L19" s="503"/>
    </row>
    <row r="20" spans="1:13" ht="15.75">
      <c r="A20" s="554"/>
      <c r="B20" s="554"/>
      <c r="C20" s="554"/>
      <c r="D20" s="554"/>
      <c r="E20" s="554"/>
      <c r="F20" s="554"/>
      <c r="G20" s="554"/>
      <c r="J20" s="544"/>
      <c r="K20" s="544"/>
      <c r="L20" s="503"/>
    </row>
    <row r="21" spans="1:13" ht="15.75">
      <c r="A21" s="531"/>
      <c r="B21" s="532"/>
      <c r="C21" s="532"/>
      <c r="D21" s="532"/>
      <c r="E21" s="532"/>
      <c r="F21" s="532"/>
      <c r="G21" s="532"/>
    </row>
    <row r="22" spans="1:13" ht="15.75">
      <c r="A22" s="554"/>
      <c r="B22" s="555"/>
      <c r="C22" s="555"/>
      <c r="D22" s="555"/>
      <c r="E22" s="555"/>
      <c r="F22" s="555"/>
      <c r="G22" s="555"/>
    </row>
    <row r="23" spans="1:13" ht="15.75">
      <c r="A23" s="533"/>
      <c r="B23" s="533"/>
      <c r="C23" s="533"/>
      <c r="D23" s="533"/>
      <c r="E23" s="533"/>
      <c r="F23" s="533"/>
      <c r="G23" s="533"/>
    </row>
    <row r="24" spans="1:13" ht="15.75">
      <c r="A24" s="554"/>
      <c r="B24" s="554"/>
      <c r="C24" s="554"/>
      <c r="D24" s="554"/>
      <c r="E24" s="554"/>
      <c r="F24" s="554"/>
      <c r="G24" s="554"/>
    </row>
    <row r="25" spans="1:13" ht="15.75">
      <c r="A25" s="537"/>
      <c r="B25" s="551"/>
      <c r="C25" s="551"/>
      <c r="D25" s="552"/>
      <c r="E25" s="552"/>
      <c r="F25" s="552"/>
      <c r="G25" s="552"/>
      <c r="H25" s="553"/>
      <c r="I25" s="547"/>
      <c r="J25" s="503"/>
      <c r="K25" s="503"/>
      <c r="L25" s="503"/>
    </row>
    <row r="26" spans="1:13" ht="15.75">
      <c r="A26" s="535"/>
      <c r="B26" s="536"/>
      <c r="C26" s="536"/>
      <c r="D26" s="537"/>
      <c r="E26" s="537"/>
      <c r="F26" s="537"/>
      <c r="G26" s="537"/>
      <c r="H26" s="538"/>
      <c r="I26" s="502"/>
      <c r="J26" s="502"/>
      <c r="K26" s="502"/>
      <c r="L26" s="502"/>
    </row>
    <row r="27" spans="1:13" ht="15.75">
      <c r="A27" s="535"/>
      <c r="B27" s="536"/>
      <c r="C27" s="536"/>
      <c r="D27" s="537"/>
      <c r="E27" s="537"/>
      <c r="F27" s="537"/>
      <c r="G27" s="537"/>
      <c r="H27" s="538"/>
      <c r="I27" s="502"/>
      <c r="J27" s="502"/>
      <c r="K27" s="502"/>
      <c r="L27" s="502"/>
    </row>
    <row r="28" spans="1:13" ht="15.75">
      <c r="A28" s="539"/>
      <c r="B28" s="540"/>
      <c r="C28" s="541"/>
      <c r="D28" s="548"/>
      <c r="E28" s="548"/>
      <c r="F28" s="548"/>
      <c r="G28" s="548"/>
      <c r="H28" s="543"/>
      <c r="I28" s="547"/>
      <c r="J28" s="503"/>
      <c r="K28" s="503"/>
      <c r="L28" s="503"/>
      <c r="M28" s="503"/>
    </row>
    <row r="29" spans="1:13" ht="15.75">
      <c r="A29" s="537"/>
      <c r="B29" s="552"/>
      <c r="C29" s="552"/>
      <c r="D29" s="552"/>
      <c r="E29" s="552"/>
      <c r="F29" s="552"/>
      <c r="G29" s="552"/>
      <c r="H29" s="543"/>
      <c r="I29" s="503"/>
      <c r="J29" s="544"/>
      <c r="K29" s="544"/>
      <c r="L29" s="503"/>
    </row>
    <row r="30" spans="1:13" ht="15.75">
      <c r="A30" s="535"/>
      <c r="B30" s="552"/>
      <c r="C30" s="552"/>
      <c r="D30" s="552"/>
      <c r="E30" s="552"/>
      <c r="F30" s="552"/>
      <c r="G30" s="552"/>
      <c r="H30" s="556"/>
      <c r="I30" s="547"/>
      <c r="J30" s="503"/>
      <c r="K30" s="503"/>
      <c r="L30" s="503"/>
    </row>
    <row r="31" spans="1:13" ht="15.75">
      <c r="A31" s="535"/>
      <c r="B31" s="557"/>
      <c r="C31" s="552"/>
      <c r="D31" s="552"/>
      <c r="E31" s="552"/>
      <c r="F31" s="552"/>
      <c r="G31" s="552"/>
      <c r="H31" s="543"/>
      <c r="I31" s="503"/>
      <c r="J31" s="544"/>
      <c r="K31" s="544"/>
      <c r="L31" s="503"/>
    </row>
    <row r="32" spans="1:13" ht="15.75">
      <c r="A32" s="535"/>
      <c r="B32" s="558"/>
      <c r="C32" s="558"/>
      <c r="D32" s="559"/>
      <c r="E32" s="559"/>
      <c r="F32" s="559"/>
      <c r="G32" s="558"/>
      <c r="H32" s="543"/>
      <c r="I32" s="503"/>
      <c r="J32" s="503"/>
      <c r="K32" s="503"/>
      <c r="L32" s="503"/>
    </row>
    <row r="33" spans="1:12" ht="15.75">
      <c r="A33" s="535"/>
      <c r="B33" s="558"/>
      <c r="C33" s="558"/>
      <c r="D33" s="559"/>
      <c r="E33" s="559"/>
      <c r="F33" s="559"/>
      <c r="G33" s="558"/>
      <c r="H33" s="543"/>
      <c r="I33" s="503"/>
      <c r="J33" s="503"/>
      <c r="K33" s="503"/>
      <c r="L33" s="503"/>
    </row>
    <row r="34" spans="1:12" ht="15.75">
      <c r="A34" s="539"/>
      <c r="B34" s="540"/>
      <c r="C34" s="559"/>
      <c r="D34" s="548"/>
      <c r="E34" s="548"/>
      <c r="F34" s="548"/>
      <c r="G34" s="548"/>
      <c r="H34" s="543"/>
      <c r="I34" s="503"/>
      <c r="J34" s="503"/>
      <c r="K34" s="503"/>
      <c r="L34" s="503"/>
    </row>
    <row r="35" spans="1:12" ht="15.75">
      <c r="A35" s="539"/>
      <c r="B35" s="540"/>
      <c r="C35" s="560"/>
      <c r="D35" s="561"/>
      <c r="E35" s="561"/>
      <c r="F35" s="561"/>
      <c r="G35" s="561"/>
      <c r="H35" s="543"/>
      <c r="I35" s="503"/>
      <c r="J35" s="503"/>
      <c r="K35" s="503"/>
      <c r="L35" s="503"/>
    </row>
    <row r="36" spans="1:12" ht="15.75">
      <c r="A36" s="539"/>
      <c r="B36" s="540"/>
      <c r="C36" s="559"/>
      <c r="D36" s="548"/>
      <c r="E36" s="548"/>
      <c r="F36" s="548"/>
      <c r="G36" s="548"/>
      <c r="H36" s="562"/>
      <c r="I36" s="558"/>
      <c r="J36" s="558"/>
      <c r="K36" s="503"/>
      <c r="L36" s="503"/>
    </row>
    <row r="37" spans="1:12" ht="15.75">
      <c r="A37" s="539"/>
      <c r="B37" s="540"/>
      <c r="C37" s="560"/>
      <c r="D37" s="563"/>
      <c r="E37" s="563"/>
      <c r="F37" s="563"/>
      <c r="G37" s="563"/>
      <c r="H37" s="562"/>
      <c r="I37" s="558"/>
      <c r="J37" s="558"/>
      <c r="K37" s="503"/>
      <c r="L37" s="503"/>
    </row>
    <row r="38" spans="1:12" ht="15.75">
      <c r="A38" s="539"/>
      <c r="B38" s="540"/>
      <c r="C38" s="536"/>
      <c r="D38" s="548"/>
      <c r="E38" s="548"/>
      <c r="F38" s="548"/>
      <c r="G38" s="548"/>
      <c r="H38" s="562"/>
      <c r="I38" s="558"/>
      <c r="J38" s="558"/>
      <c r="K38" s="503"/>
      <c r="L38" s="503"/>
    </row>
    <row r="39" spans="1:12" ht="15.75">
      <c r="A39" s="539"/>
      <c r="B39" s="540"/>
      <c r="C39" s="560"/>
      <c r="D39" s="561"/>
      <c r="E39" s="561"/>
      <c r="F39" s="561"/>
      <c r="G39" s="561"/>
      <c r="H39" s="562"/>
      <c r="I39" s="558"/>
      <c r="J39" s="558"/>
      <c r="K39" s="503"/>
      <c r="L39" s="503"/>
    </row>
    <row r="40" spans="1:12" ht="15.75">
      <c r="A40" s="539"/>
      <c r="B40" s="540"/>
      <c r="C40" s="560"/>
      <c r="D40" s="548"/>
      <c r="E40" s="548"/>
      <c r="F40" s="548"/>
      <c r="G40" s="548"/>
      <c r="H40" s="562"/>
      <c r="I40" s="558"/>
      <c r="J40" s="558"/>
      <c r="K40" s="503"/>
      <c r="L40" s="503"/>
    </row>
    <row r="41" spans="1:12" ht="15.75">
      <c r="A41" s="554"/>
      <c r="B41" s="554"/>
      <c r="C41" s="554"/>
      <c r="D41" s="554"/>
      <c r="E41" s="554"/>
      <c r="F41" s="554"/>
      <c r="G41" s="554"/>
      <c r="H41" s="562"/>
      <c r="I41" s="558"/>
      <c r="J41" s="558"/>
      <c r="K41" s="503"/>
      <c r="L41" s="503"/>
    </row>
    <row r="42" spans="1:12" ht="15.75">
      <c r="A42" s="531"/>
      <c r="B42" s="532"/>
      <c r="C42" s="532"/>
      <c r="D42" s="532"/>
      <c r="E42" s="532"/>
      <c r="F42" s="532"/>
      <c r="G42" s="532"/>
      <c r="H42" s="562"/>
      <c r="I42" s="558"/>
      <c r="J42" s="558"/>
      <c r="K42" s="503"/>
      <c r="L42" s="503"/>
    </row>
    <row r="43" spans="1:12" ht="15.75">
      <c r="A43" s="555"/>
      <c r="B43" s="555"/>
      <c r="C43" s="555"/>
      <c r="D43" s="555"/>
      <c r="E43" s="555"/>
      <c r="F43" s="555"/>
      <c r="G43" s="555"/>
      <c r="H43" s="564"/>
    </row>
    <row r="44" spans="1:12" ht="15.75">
      <c r="A44" s="533"/>
      <c r="B44" s="533"/>
      <c r="C44" s="533"/>
      <c r="D44" s="533"/>
      <c r="E44" s="533"/>
      <c r="F44" s="533"/>
      <c r="G44" s="533"/>
      <c r="H44" s="562"/>
      <c r="I44" s="558"/>
      <c r="J44" s="558"/>
      <c r="K44" s="503"/>
      <c r="L44" s="503"/>
    </row>
    <row r="45" spans="1:12" ht="15.75">
      <c r="A45" s="554"/>
      <c r="B45" s="554"/>
      <c r="C45" s="554"/>
      <c r="D45" s="554"/>
      <c r="E45" s="554"/>
      <c r="F45" s="554"/>
      <c r="G45" s="554"/>
      <c r="H45" s="564"/>
      <c r="I45" s="565"/>
      <c r="J45" s="565"/>
      <c r="K45" s="503"/>
      <c r="L45" s="503"/>
    </row>
    <row r="46" spans="1:12" ht="15.75">
      <c r="A46" s="539"/>
      <c r="B46" s="540"/>
      <c r="C46" s="559"/>
      <c r="D46" s="548"/>
      <c r="E46" s="548"/>
      <c r="F46" s="548"/>
      <c r="G46" s="548"/>
      <c r="H46" s="564"/>
      <c r="I46" s="565"/>
      <c r="J46" s="565"/>
      <c r="K46" s="503"/>
      <c r="L46" s="503"/>
    </row>
    <row r="47" spans="1:12" ht="15.75">
      <c r="A47" s="539"/>
      <c r="B47" s="540"/>
      <c r="C47" s="559"/>
      <c r="D47" s="565"/>
      <c r="E47" s="566"/>
      <c r="F47" s="567"/>
      <c r="G47" s="565"/>
    </row>
    <row r="48" spans="1:12" ht="15.75">
      <c r="A48" s="539"/>
      <c r="B48" s="540"/>
      <c r="C48" s="559"/>
      <c r="D48" s="548"/>
      <c r="E48" s="548"/>
      <c r="F48" s="548"/>
      <c r="G48" s="548"/>
    </row>
    <row r="49" spans="1:10" ht="15.75">
      <c r="A49" s="539"/>
      <c r="B49" s="540"/>
      <c r="C49" s="559"/>
      <c r="D49" s="565"/>
      <c r="E49" s="566"/>
      <c r="F49" s="567"/>
      <c r="G49" s="565"/>
    </row>
    <row r="50" spans="1:10" ht="15.75">
      <c r="A50" s="539"/>
      <c r="B50" s="540"/>
      <c r="C50" s="559"/>
      <c r="D50" s="548"/>
      <c r="E50" s="548"/>
      <c r="F50" s="548"/>
      <c r="G50" s="548"/>
    </row>
    <row r="51" spans="1:10" ht="15.75">
      <c r="A51" s="539"/>
      <c r="B51" s="540"/>
      <c r="C51" s="559"/>
      <c r="D51" s="565"/>
      <c r="E51" s="566"/>
      <c r="F51" s="567"/>
      <c r="G51" s="565"/>
    </row>
    <row r="52" spans="1:10" ht="15.75">
      <c r="A52" s="539"/>
      <c r="B52" s="540"/>
      <c r="C52" s="559"/>
      <c r="D52" s="548"/>
      <c r="E52" s="548"/>
      <c r="F52" s="548"/>
      <c r="G52" s="548"/>
    </row>
    <row r="53" spans="1:10">
      <c r="A53" s="539"/>
      <c r="B53" s="540"/>
      <c r="C53" s="536"/>
      <c r="D53" s="565"/>
      <c r="E53" s="565"/>
      <c r="F53" s="565"/>
      <c r="G53" s="565"/>
      <c r="H53" s="564"/>
      <c r="I53" s="565"/>
      <c r="J53" s="565"/>
    </row>
    <row r="54" spans="1:10" ht="15.75">
      <c r="A54" s="539"/>
      <c r="B54" s="540"/>
      <c r="C54" s="559"/>
      <c r="D54" s="548"/>
      <c r="E54" s="548"/>
      <c r="F54" s="548"/>
      <c r="G54" s="548"/>
      <c r="H54" s="564"/>
      <c r="I54" s="565"/>
      <c r="J54" s="565"/>
    </row>
    <row r="55" spans="1:10" ht="15.75">
      <c r="A55" s="539"/>
      <c r="B55" s="540"/>
      <c r="C55" s="559"/>
      <c r="D55" s="548"/>
      <c r="E55" s="548"/>
      <c r="F55" s="548"/>
      <c r="G55" s="548"/>
      <c r="H55" s="564"/>
      <c r="I55" s="565"/>
      <c r="J55" s="565"/>
    </row>
    <row r="56" spans="1:10" ht="15.75">
      <c r="A56" s="558"/>
      <c r="B56" s="551"/>
      <c r="C56" s="559"/>
      <c r="D56" s="568"/>
      <c r="E56" s="568"/>
      <c r="F56" s="568"/>
      <c r="G56" s="568"/>
      <c r="H56" s="564"/>
      <c r="I56" s="565"/>
      <c r="J56" s="565"/>
    </row>
    <row r="57" spans="1:10">
      <c r="A57" s="536"/>
      <c r="B57" s="536"/>
      <c r="C57" s="536"/>
      <c r="D57" s="536"/>
      <c r="E57" s="536"/>
      <c r="F57" s="536"/>
      <c r="G57" s="536"/>
      <c r="H57" s="564"/>
      <c r="I57" s="565"/>
      <c r="J57" s="565"/>
    </row>
    <row r="58" spans="1:10" ht="15.75">
      <c r="A58" s="558"/>
      <c r="B58" s="559"/>
      <c r="C58" s="559"/>
      <c r="D58" s="569"/>
      <c r="E58" s="569"/>
      <c r="F58" s="569"/>
      <c r="G58" s="569"/>
      <c r="H58" s="564"/>
      <c r="I58" s="565"/>
      <c r="J58" s="565"/>
    </row>
    <row r="59" spans="1:10" ht="15.75">
      <c r="A59" s="558"/>
      <c r="B59" s="559"/>
      <c r="C59" s="559"/>
      <c r="D59" s="569"/>
      <c r="E59" s="569"/>
      <c r="F59" s="569"/>
      <c r="G59" s="569"/>
      <c r="H59" s="564"/>
    </row>
    <row r="60" spans="1:10" ht="15.75">
      <c r="A60" s="539"/>
      <c r="B60" s="545"/>
      <c r="C60" s="559"/>
      <c r="D60" s="548"/>
      <c r="E60" s="548"/>
      <c r="F60" s="548"/>
      <c r="G60" s="548"/>
      <c r="H60" s="564"/>
    </row>
    <row r="61" spans="1:10" ht="15.75">
      <c r="A61" s="451"/>
      <c r="B61" s="451"/>
      <c r="C61" s="451"/>
      <c r="D61" s="451"/>
      <c r="E61" s="451"/>
      <c r="F61" s="451"/>
      <c r="G61" s="451"/>
      <c r="H61" s="570"/>
    </row>
    <row r="62" spans="1:10" ht="15.75">
      <c r="A62" s="451"/>
      <c r="B62" s="451"/>
      <c r="C62" s="451"/>
      <c r="D62" s="451"/>
      <c r="E62" s="451"/>
      <c r="F62" s="451"/>
      <c r="G62" s="451"/>
      <c r="H62" s="570"/>
    </row>
    <row r="63" spans="1:10" ht="15" customHeight="1">
      <c r="A63" s="571"/>
      <c r="B63" s="571"/>
      <c r="C63" s="571"/>
      <c r="D63" s="571"/>
      <c r="E63" s="571"/>
      <c r="F63" s="571"/>
      <c r="G63" s="571"/>
      <c r="H63" s="570"/>
    </row>
    <row r="64" spans="1:10" ht="15" customHeight="1">
      <c r="A64" s="571"/>
      <c r="B64" s="571"/>
      <c r="C64" s="571"/>
      <c r="D64" s="571"/>
      <c r="E64" s="571"/>
      <c r="F64" s="571"/>
      <c r="G64" s="571"/>
    </row>
    <row r="65" spans="1:8" ht="15.75">
      <c r="A65" s="451"/>
      <c r="B65" s="451"/>
      <c r="C65" s="451"/>
      <c r="D65" s="451"/>
      <c r="E65" s="451"/>
      <c r="F65" s="451"/>
      <c r="G65" s="451"/>
    </row>
    <row r="66" spans="1:8" ht="15.75">
      <c r="A66" s="451"/>
      <c r="B66" s="451"/>
      <c r="C66" s="451"/>
      <c r="D66" s="451"/>
      <c r="E66" s="451"/>
      <c r="F66" s="451"/>
      <c r="G66" s="451"/>
      <c r="H66" s="572"/>
    </row>
    <row r="67" spans="1:8" ht="15.75">
      <c r="A67" s="451"/>
      <c r="B67" s="451"/>
      <c r="C67" s="451"/>
      <c r="D67" s="451"/>
      <c r="E67" s="451"/>
      <c r="F67" s="451"/>
      <c r="G67" s="451"/>
      <c r="H67" s="570"/>
    </row>
    <row r="68" spans="1:8" ht="15.75">
      <c r="A68" s="451"/>
      <c r="B68" s="451"/>
      <c r="C68" s="451"/>
      <c r="D68" s="451"/>
      <c r="E68" s="451"/>
      <c r="F68" s="451"/>
      <c r="G68" s="451"/>
    </row>
    <row r="69" spans="1:8" ht="15.75">
      <c r="A69" s="451"/>
      <c r="B69" s="451"/>
      <c r="C69" s="451"/>
      <c r="D69" s="451"/>
      <c r="E69" s="451"/>
      <c r="F69" s="451"/>
      <c r="G69" s="451"/>
    </row>
    <row r="70" spans="1:8" ht="15.75">
      <c r="A70" s="451"/>
      <c r="B70" s="451"/>
      <c r="C70" s="451"/>
      <c r="D70" s="451"/>
      <c r="E70" s="451"/>
      <c r="F70" s="451"/>
      <c r="G70" s="451"/>
    </row>
    <row r="71" spans="1:8" ht="15.75">
      <c r="A71" s="451"/>
      <c r="B71" s="451"/>
      <c r="C71" s="451"/>
      <c r="D71" s="451"/>
      <c r="E71" s="451"/>
      <c r="F71" s="451"/>
      <c r="G71" s="451"/>
    </row>
    <row r="72" spans="1:8" ht="15.75">
      <c r="A72" s="451"/>
      <c r="B72" s="451"/>
      <c r="C72" s="451"/>
      <c r="D72" s="451"/>
      <c r="E72" s="451"/>
      <c r="F72" s="451"/>
      <c r="G72" s="451"/>
    </row>
    <row r="73" spans="1:8" ht="15.75">
      <c r="A73" s="451"/>
      <c r="B73" s="451"/>
      <c r="C73" s="451"/>
      <c r="D73" s="451"/>
      <c r="E73" s="451"/>
      <c r="F73" s="451"/>
      <c r="G73" s="451"/>
    </row>
    <row r="74" spans="1:8" ht="15.75">
      <c r="A74" s="451"/>
      <c r="B74" s="451"/>
      <c r="C74" s="451"/>
      <c r="D74" s="451"/>
      <c r="E74" s="451"/>
      <c r="F74" s="451"/>
      <c r="G74" s="451"/>
    </row>
    <row r="75" spans="1:8" ht="15.75">
      <c r="A75" s="451"/>
      <c r="B75" s="451"/>
      <c r="C75" s="451"/>
      <c r="D75" s="451"/>
      <c r="E75" s="451"/>
      <c r="F75" s="451"/>
      <c r="G75" s="451"/>
    </row>
    <row r="76" spans="1:8" ht="15.75">
      <c r="A76" s="451"/>
      <c r="B76" s="451"/>
      <c r="C76" s="451"/>
      <c r="D76" s="451"/>
      <c r="E76" s="451"/>
      <c r="F76" s="451"/>
      <c r="G76" s="451"/>
    </row>
    <row r="77" spans="1:8" ht="15.75">
      <c r="A77" s="451"/>
      <c r="B77" s="451"/>
      <c r="C77" s="451"/>
      <c r="D77" s="451"/>
      <c r="E77" s="451"/>
      <c r="F77" s="451"/>
      <c r="G77" s="451"/>
    </row>
    <row r="78" spans="1:8" ht="15.75">
      <c r="A78" s="451"/>
      <c r="B78" s="451"/>
      <c r="C78" s="451"/>
      <c r="D78" s="451"/>
      <c r="E78" s="451"/>
      <c r="F78" s="451"/>
      <c r="G78" s="451"/>
    </row>
    <row r="79" spans="1:8" ht="15.75">
      <c r="A79" s="451"/>
      <c r="B79" s="451"/>
      <c r="C79" s="451"/>
      <c r="D79" s="451"/>
      <c r="E79" s="451"/>
      <c r="F79" s="451"/>
      <c r="G79" s="451"/>
    </row>
    <row r="80" spans="1:8" ht="15.75">
      <c r="A80" s="451"/>
      <c r="B80" s="451"/>
      <c r="C80" s="451"/>
      <c r="D80" s="451"/>
      <c r="E80" s="451"/>
      <c r="F80" s="451"/>
      <c r="G80" s="451"/>
    </row>
    <row r="81" spans="1:7" ht="15.75">
      <c r="A81" s="451"/>
      <c r="B81" s="451"/>
      <c r="C81" s="451"/>
      <c r="D81" s="451"/>
      <c r="E81" s="451"/>
      <c r="F81" s="451"/>
      <c r="G81" s="451"/>
    </row>
    <row r="82" spans="1:7">
      <c r="A82" s="536"/>
      <c r="B82" s="536"/>
      <c r="C82" s="536"/>
      <c r="D82" s="536"/>
      <c r="E82" s="536"/>
      <c r="F82" s="536"/>
      <c r="G82" s="536"/>
    </row>
    <row r="83" spans="1:7">
      <c r="A83" s="536"/>
      <c r="B83" s="536"/>
      <c r="C83" s="536"/>
      <c r="D83" s="536"/>
      <c r="E83" s="536"/>
      <c r="F83" s="536"/>
      <c r="G83" s="536"/>
    </row>
    <row r="84" spans="1:7">
      <c r="A84" s="536"/>
      <c r="B84" s="536"/>
      <c r="C84" s="536"/>
      <c r="D84" s="536"/>
      <c r="E84" s="536"/>
      <c r="F84" s="536"/>
      <c r="G84" s="536"/>
    </row>
    <row r="85" spans="1:7">
      <c r="A85" s="536"/>
      <c r="B85" s="536"/>
      <c r="C85" s="536"/>
      <c r="D85" s="536"/>
      <c r="E85" s="536"/>
      <c r="F85" s="536"/>
      <c r="G85" s="536"/>
    </row>
    <row r="86" spans="1:7">
      <c r="A86" s="536"/>
      <c r="B86" s="536"/>
      <c r="C86" s="536"/>
      <c r="D86" s="536"/>
      <c r="E86" s="536"/>
      <c r="F86" s="536"/>
      <c r="G86" s="536"/>
    </row>
    <row r="87" spans="1:7">
      <c r="A87" s="536"/>
      <c r="B87" s="536"/>
      <c r="C87" s="536"/>
      <c r="D87" s="536"/>
      <c r="E87" s="536"/>
      <c r="F87" s="536"/>
      <c r="G87" s="536"/>
    </row>
    <row r="88" spans="1:7">
      <c r="A88" s="536"/>
      <c r="B88" s="536"/>
      <c r="C88" s="536"/>
      <c r="D88" s="536"/>
      <c r="E88" s="536"/>
      <c r="F88" s="536"/>
      <c r="G88" s="536"/>
    </row>
    <row r="89" spans="1:7">
      <c r="A89" s="536"/>
      <c r="B89" s="536"/>
      <c r="C89" s="536"/>
      <c r="D89" s="536"/>
      <c r="E89" s="536"/>
      <c r="F89" s="536"/>
      <c r="G89" s="536"/>
    </row>
    <row r="90" spans="1:7">
      <c r="A90" s="536"/>
      <c r="B90" s="536"/>
      <c r="C90" s="536"/>
      <c r="D90" s="536"/>
      <c r="E90" s="536"/>
      <c r="F90" s="536"/>
      <c r="G90" s="536"/>
    </row>
    <row r="91" spans="1:7">
      <c r="A91" s="536"/>
      <c r="B91" s="536"/>
      <c r="C91" s="536"/>
      <c r="D91" s="536"/>
      <c r="E91" s="536"/>
      <c r="F91" s="536"/>
      <c r="G91" s="536"/>
    </row>
    <row r="92" spans="1:7">
      <c r="A92" s="536"/>
      <c r="B92" s="536"/>
      <c r="C92" s="536"/>
      <c r="D92" s="536"/>
      <c r="E92" s="536"/>
      <c r="F92" s="536"/>
      <c r="G92" s="536"/>
    </row>
    <row r="93" spans="1:7">
      <c r="A93" s="536"/>
      <c r="B93" s="536"/>
      <c r="C93" s="536"/>
      <c r="D93" s="536"/>
      <c r="E93" s="536"/>
      <c r="F93" s="536"/>
      <c r="G93" s="536"/>
    </row>
    <row r="94" spans="1:7">
      <c r="A94" s="536"/>
      <c r="B94" s="536"/>
      <c r="C94" s="536"/>
      <c r="D94" s="536"/>
      <c r="E94" s="536"/>
      <c r="F94" s="536"/>
      <c r="G94" s="536"/>
    </row>
    <row r="95" spans="1:7">
      <c r="A95" s="536"/>
      <c r="B95" s="536"/>
      <c r="C95" s="536"/>
      <c r="D95" s="536"/>
      <c r="E95" s="536"/>
      <c r="F95" s="536"/>
      <c r="G95" s="536"/>
    </row>
    <row r="96" spans="1:7">
      <c r="A96" s="536"/>
      <c r="B96" s="536"/>
      <c r="C96" s="536"/>
      <c r="D96" s="536"/>
      <c r="E96" s="536"/>
      <c r="F96" s="536"/>
      <c r="G96" s="536"/>
    </row>
    <row r="97" spans="1:7">
      <c r="A97" s="536"/>
      <c r="B97" s="536"/>
      <c r="C97" s="536"/>
      <c r="D97" s="536"/>
      <c r="E97" s="536"/>
      <c r="F97" s="536"/>
      <c r="G97" s="536"/>
    </row>
    <row r="98" spans="1:7">
      <c r="A98" s="536"/>
      <c r="B98" s="536"/>
      <c r="C98" s="536"/>
      <c r="D98" s="536"/>
      <c r="E98" s="536"/>
      <c r="F98" s="536"/>
      <c r="G98" s="536"/>
    </row>
    <row r="99" spans="1:7">
      <c r="A99" s="536"/>
      <c r="B99" s="536"/>
      <c r="C99" s="536"/>
      <c r="D99" s="536"/>
      <c r="E99" s="536"/>
      <c r="F99" s="536"/>
      <c r="G99" s="536"/>
    </row>
    <row r="100" spans="1:7">
      <c r="A100" s="536"/>
      <c r="B100" s="536"/>
      <c r="C100" s="536"/>
      <c r="D100" s="536"/>
      <c r="E100" s="536"/>
      <c r="F100" s="536"/>
      <c r="G100" s="536"/>
    </row>
    <row r="101" spans="1:7">
      <c r="A101" s="536"/>
      <c r="B101" s="536"/>
      <c r="C101" s="536"/>
      <c r="D101" s="536"/>
      <c r="E101" s="536"/>
      <c r="F101" s="536"/>
      <c r="G101" s="536"/>
    </row>
    <row r="102" spans="1:7">
      <c r="A102" s="536"/>
      <c r="B102" s="536"/>
      <c r="C102" s="536"/>
      <c r="D102" s="536"/>
      <c r="E102" s="536"/>
      <c r="F102" s="536"/>
      <c r="G102" s="536"/>
    </row>
    <row r="103" spans="1:7">
      <c r="A103" s="536"/>
      <c r="B103" s="536"/>
      <c r="C103" s="536"/>
      <c r="D103" s="536"/>
      <c r="E103" s="536"/>
      <c r="F103" s="536"/>
      <c r="G103" s="536"/>
    </row>
    <row r="104" spans="1:7">
      <c r="A104" s="536"/>
      <c r="B104" s="536"/>
      <c r="C104" s="536"/>
      <c r="D104" s="536"/>
      <c r="E104" s="536"/>
      <c r="F104" s="536"/>
      <c r="G104" s="536"/>
    </row>
    <row r="105" spans="1:7">
      <c r="A105" s="536"/>
      <c r="B105" s="536"/>
      <c r="C105" s="536"/>
      <c r="D105" s="536"/>
      <c r="E105" s="536"/>
      <c r="F105" s="536"/>
      <c r="G105" s="536"/>
    </row>
    <row r="106" spans="1:7">
      <c r="A106" s="536"/>
      <c r="B106" s="536"/>
      <c r="C106" s="536"/>
      <c r="D106" s="536"/>
      <c r="E106" s="536"/>
      <c r="F106" s="536"/>
      <c r="G106" s="536"/>
    </row>
    <row r="107" spans="1:7">
      <c r="A107" s="536"/>
      <c r="B107" s="536"/>
      <c r="C107" s="536"/>
      <c r="D107" s="536"/>
      <c r="E107" s="536"/>
      <c r="F107" s="536"/>
      <c r="G107" s="536"/>
    </row>
    <row r="108" spans="1:7">
      <c r="A108" s="536"/>
      <c r="B108" s="536"/>
      <c r="C108" s="536"/>
      <c r="D108" s="536"/>
      <c r="E108" s="536"/>
      <c r="F108" s="536"/>
      <c r="G108" s="536"/>
    </row>
    <row r="109" spans="1:7">
      <c r="A109" s="536"/>
      <c r="B109" s="536"/>
      <c r="C109" s="536"/>
      <c r="D109" s="536"/>
      <c r="E109" s="536"/>
      <c r="F109" s="536"/>
      <c r="G109" s="536"/>
    </row>
    <row r="110" spans="1:7">
      <c r="A110" s="536"/>
      <c r="B110" s="536"/>
      <c r="C110" s="536"/>
      <c r="D110" s="536"/>
      <c r="E110" s="536"/>
      <c r="F110" s="536"/>
      <c r="G110" s="536"/>
    </row>
    <row r="111" spans="1:7">
      <c r="A111" s="536"/>
      <c r="B111" s="536"/>
      <c r="C111" s="536"/>
      <c r="D111" s="536"/>
      <c r="E111" s="536"/>
      <c r="F111" s="536"/>
      <c r="G111" s="536"/>
    </row>
    <row r="112" spans="1:7">
      <c r="A112" s="536"/>
      <c r="B112" s="536"/>
      <c r="C112" s="536"/>
      <c r="D112" s="536"/>
      <c r="E112" s="536"/>
      <c r="F112" s="536"/>
      <c r="G112" s="536"/>
    </row>
    <row r="113" spans="1:7">
      <c r="A113" s="536"/>
      <c r="B113" s="536"/>
      <c r="C113" s="536"/>
      <c r="D113" s="536"/>
      <c r="E113" s="536"/>
      <c r="F113" s="536"/>
      <c r="G113" s="536"/>
    </row>
    <row r="114" spans="1:7">
      <c r="A114" s="536"/>
      <c r="B114" s="536"/>
      <c r="C114" s="536"/>
      <c r="D114" s="536"/>
      <c r="E114" s="536"/>
      <c r="F114" s="536"/>
      <c r="G114" s="536"/>
    </row>
    <row r="115" spans="1:7">
      <c r="A115" s="536"/>
      <c r="B115" s="536"/>
      <c r="C115" s="536"/>
      <c r="D115" s="536"/>
      <c r="E115" s="536"/>
      <c r="F115" s="536"/>
      <c r="G115" s="536"/>
    </row>
    <row r="116" spans="1:7">
      <c r="A116" s="536"/>
      <c r="B116" s="536"/>
      <c r="C116" s="536"/>
      <c r="D116" s="536"/>
      <c r="E116" s="536"/>
      <c r="F116" s="536"/>
      <c r="G116" s="536"/>
    </row>
    <row r="117" spans="1:7">
      <c r="A117" s="536"/>
      <c r="B117" s="536"/>
      <c r="C117" s="536"/>
      <c r="D117" s="536"/>
      <c r="E117" s="536"/>
      <c r="F117" s="536"/>
      <c r="G117" s="536"/>
    </row>
    <row r="118" spans="1:7">
      <c r="A118" s="536"/>
      <c r="B118" s="536"/>
      <c r="C118" s="536"/>
      <c r="D118" s="536"/>
      <c r="E118" s="536"/>
      <c r="F118" s="536"/>
      <c r="G118" s="536"/>
    </row>
    <row r="119" spans="1:7">
      <c r="A119" s="536"/>
      <c r="B119" s="536"/>
      <c r="C119" s="536"/>
      <c r="D119" s="536"/>
      <c r="E119" s="536"/>
      <c r="F119" s="536"/>
      <c r="G119" s="536"/>
    </row>
    <row r="120" spans="1:7">
      <c r="A120" s="536"/>
      <c r="B120" s="536"/>
      <c r="C120" s="536"/>
      <c r="D120" s="536"/>
      <c r="E120" s="536"/>
      <c r="F120" s="536"/>
      <c r="G120" s="536"/>
    </row>
    <row r="121" spans="1:7">
      <c r="A121" s="536"/>
      <c r="B121" s="536"/>
      <c r="C121" s="536"/>
      <c r="D121" s="536"/>
      <c r="E121" s="536"/>
      <c r="F121" s="536"/>
      <c r="G121" s="536"/>
    </row>
    <row r="122" spans="1:7">
      <c r="A122" s="536"/>
      <c r="B122" s="536"/>
      <c r="C122" s="536"/>
      <c r="D122" s="536"/>
      <c r="E122" s="536"/>
      <c r="F122" s="536"/>
      <c r="G122" s="536"/>
    </row>
    <row r="123" spans="1:7">
      <c r="A123" s="536"/>
      <c r="B123" s="536"/>
      <c r="C123" s="536"/>
      <c r="D123" s="536"/>
      <c r="E123" s="536"/>
      <c r="F123" s="536"/>
      <c r="G123" s="536"/>
    </row>
    <row r="124" spans="1:7">
      <c r="A124" s="536"/>
      <c r="B124" s="536"/>
      <c r="C124" s="536"/>
      <c r="D124" s="536"/>
      <c r="E124" s="536"/>
      <c r="F124" s="536"/>
      <c r="G124" s="536"/>
    </row>
    <row r="125" spans="1:7">
      <c r="A125" s="536"/>
      <c r="B125" s="536"/>
      <c r="C125" s="536"/>
      <c r="D125" s="536"/>
      <c r="E125" s="536"/>
      <c r="F125" s="536"/>
      <c r="G125" s="536"/>
    </row>
    <row r="126" spans="1:7">
      <c r="A126" s="536"/>
      <c r="B126" s="536"/>
      <c r="C126" s="536"/>
      <c r="D126" s="536"/>
      <c r="E126" s="536"/>
      <c r="F126" s="536"/>
      <c r="G126" s="536"/>
    </row>
    <row r="127" spans="1:7">
      <c r="A127" s="536"/>
      <c r="B127" s="536"/>
      <c r="C127" s="536"/>
      <c r="D127" s="536"/>
      <c r="E127" s="536"/>
      <c r="F127" s="536"/>
      <c r="G127" s="536"/>
    </row>
    <row r="128" spans="1:7">
      <c r="A128" s="536"/>
      <c r="B128" s="536"/>
      <c r="C128" s="536"/>
      <c r="D128" s="536"/>
      <c r="E128" s="536"/>
      <c r="F128" s="536"/>
      <c r="G128" s="536"/>
    </row>
    <row r="129" spans="1:7">
      <c r="A129" s="536"/>
      <c r="B129" s="536"/>
      <c r="C129" s="536"/>
      <c r="D129" s="536"/>
      <c r="E129" s="536"/>
      <c r="F129" s="536"/>
      <c r="G129" s="536"/>
    </row>
    <row r="130" spans="1:7">
      <c r="A130" s="536"/>
      <c r="B130" s="536"/>
      <c r="C130" s="536"/>
      <c r="D130" s="536"/>
      <c r="E130" s="536"/>
      <c r="F130" s="536"/>
      <c r="G130" s="536"/>
    </row>
    <row r="131" spans="1:7">
      <c r="A131" s="536"/>
      <c r="B131" s="536"/>
      <c r="C131" s="536"/>
      <c r="D131" s="536"/>
      <c r="E131" s="536"/>
      <c r="F131" s="536"/>
      <c r="G131" s="536"/>
    </row>
    <row r="132" spans="1:7">
      <c r="A132" s="536"/>
      <c r="B132" s="536"/>
      <c r="C132" s="536"/>
      <c r="D132" s="536"/>
      <c r="E132" s="536"/>
      <c r="F132" s="536"/>
      <c r="G132" s="536"/>
    </row>
    <row r="133" spans="1:7">
      <c r="A133" s="536"/>
      <c r="B133" s="536"/>
      <c r="C133" s="536"/>
      <c r="D133" s="536"/>
      <c r="E133" s="536"/>
      <c r="F133" s="536"/>
      <c r="G133" s="536"/>
    </row>
    <row r="134" spans="1:7">
      <c r="A134" s="536"/>
      <c r="B134" s="536"/>
      <c r="C134" s="536"/>
      <c r="D134" s="536"/>
      <c r="E134" s="536"/>
      <c r="F134" s="536"/>
      <c r="G134" s="536"/>
    </row>
    <row r="135" spans="1:7">
      <c r="A135" s="536"/>
      <c r="B135" s="536"/>
      <c r="C135" s="536"/>
      <c r="D135" s="536"/>
      <c r="E135" s="536"/>
      <c r="F135" s="536"/>
      <c r="G135" s="536"/>
    </row>
    <row r="136" spans="1:7">
      <c r="A136" s="536"/>
      <c r="B136" s="536"/>
      <c r="C136" s="536"/>
      <c r="D136" s="536"/>
      <c r="E136" s="536"/>
      <c r="F136" s="536"/>
      <c r="G136" s="536"/>
    </row>
    <row r="137" spans="1:7">
      <c r="A137" s="536"/>
      <c r="B137" s="536"/>
      <c r="C137" s="536"/>
      <c r="D137" s="536"/>
      <c r="E137" s="536"/>
      <c r="F137" s="536"/>
      <c r="G137" s="536"/>
    </row>
    <row r="138" spans="1:7">
      <c r="A138" s="536"/>
      <c r="B138" s="536"/>
      <c r="C138" s="536"/>
      <c r="D138" s="536"/>
      <c r="E138" s="536"/>
      <c r="F138" s="536"/>
      <c r="G138" s="536"/>
    </row>
    <row r="139" spans="1:7">
      <c r="A139" s="536"/>
      <c r="B139" s="536"/>
      <c r="C139" s="536"/>
      <c r="D139" s="536"/>
      <c r="E139" s="536"/>
      <c r="F139" s="536"/>
      <c r="G139" s="536"/>
    </row>
    <row r="140" spans="1:7">
      <c r="A140" s="536"/>
      <c r="B140" s="536"/>
      <c r="C140" s="536"/>
      <c r="D140" s="536"/>
      <c r="E140" s="536"/>
      <c r="F140" s="536"/>
      <c r="G140" s="536"/>
    </row>
    <row r="141" spans="1:7">
      <c r="A141" s="536"/>
      <c r="B141" s="536"/>
      <c r="C141" s="536"/>
      <c r="D141" s="536"/>
      <c r="E141" s="536"/>
      <c r="F141" s="536"/>
      <c r="G141" s="536"/>
    </row>
    <row r="142" spans="1:7">
      <c r="A142" s="536"/>
      <c r="B142" s="536"/>
      <c r="C142" s="536"/>
      <c r="D142" s="536"/>
      <c r="E142" s="536"/>
      <c r="F142" s="536"/>
      <c r="G142" s="536"/>
    </row>
    <row r="143" spans="1:7">
      <c r="A143" s="536"/>
      <c r="B143" s="536"/>
      <c r="C143" s="536"/>
      <c r="D143" s="536"/>
      <c r="E143" s="536"/>
      <c r="F143" s="536"/>
      <c r="G143" s="536"/>
    </row>
    <row r="144" spans="1:7">
      <c r="A144" s="536"/>
      <c r="B144" s="536"/>
      <c r="C144" s="536"/>
      <c r="D144" s="536"/>
      <c r="E144" s="536"/>
      <c r="F144" s="536"/>
      <c r="G144" s="536"/>
    </row>
    <row r="145" spans="1:7">
      <c r="A145" s="536"/>
      <c r="B145" s="536"/>
      <c r="C145" s="536"/>
      <c r="D145" s="536"/>
      <c r="E145" s="536"/>
      <c r="F145" s="536"/>
      <c r="G145" s="536"/>
    </row>
    <row r="146" spans="1:7">
      <c r="A146" s="536"/>
      <c r="B146" s="536"/>
      <c r="C146" s="536"/>
      <c r="D146" s="536"/>
      <c r="E146" s="536"/>
      <c r="F146" s="536"/>
      <c r="G146" s="536"/>
    </row>
    <row r="147" spans="1:7">
      <c r="A147" s="536"/>
      <c r="B147" s="536"/>
      <c r="C147" s="536"/>
      <c r="D147" s="536"/>
      <c r="E147" s="536"/>
      <c r="F147" s="536"/>
      <c r="G147" s="536"/>
    </row>
    <row r="148" spans="1:7">
      <c r="A148" s="536"/>
      <c r="B148" s="536"/>
      <c r="C148" s="536"/>
      <c r="D148" s="536"/>
      <c r="E148" s="536"/>
      <c r="F148" s="536"/>
      <c r="G148" s="536"/>
    </row>
    <row r="149" spans="1:7">
      <c r="A149" s="536"/>
      <c r="B149" s="536"/>
      <c r="C149" s="536"/>
      <c r="D149" s="536"/>
      <c r="E149" s="536"/>
      <c r="F149" s="536"/>
      <c r="G149" s="536"/>
    </row>
    <row r="150" spans="1:7">
      <c r="A150" s="536"/>
      <c r="B150" s="536"/>
      <c r="C150" s="536"/>
      <c r="D150" s="536"/>
      <c r="E150" s="536"/>
      <c r="F150" s="536"/>
      <c r="G150" s="536"/>
    </row>
    <row r="151" spans="1:7">
      <c r="A151" s="536"/>
      <c r="B151" s="536"/>
      <c r="C151" s="536"/>
      <c r="D151" s="536"/>
      <c r="E151" s="536"/>
      <c r="F151" s="536"/>
      <c r="G151" s="536"/>
    </row>
    <row r="152" spans="1:7">
      <c r="A152" s="536"/>
      <c r="B152" s="536"/>
      <c r="C152" s="536"/>
      <c r="D152" s="536"/>
      <c r="E152" s="536"/>
      <c r="F152" s="536"/>
      <c r="G152" s="536"/>
    </row>
    <row r="153" spans="1:7">
      <c r="A153" s="536"/>
      <c r="B153" s="536"/>
      <c r="C153" s="536"/>
      <c r="D153" s="536"/>
      <c r="E153" s="536"/>
      <c r="F153" s="536"/>
      <c r="G153" s="536"/>
    </row>
    <row r="154" spans="1:7">
      <c r="A154" s="536"/>
      <c r="B154" s="536"/>
      <c r="C154" s="536"/>
      <c r="D154" s="536"/>
      <c r="E154" s="536"/>
      <c r="F154" s="536"/>
      <c r="G154" s="536"/>
    </row>
    <row r="155" spans="1:7">
      <c r="A155" s="536"/>
      <c r="B155" s="536"/>
      <c r="C155" s="536"/>
      <c r="D155" s="536"/>
      <c r="E155" s="536"/>
      <c r="F155" s="536"/>
      <c r="G155" s="536"/>
    </row>
    <row r="156" spans="1:7">
      <c r="A156" s="536"/>
      <c r="B156" s="536"/>
      <c r="C156" s="536"/>
      <c r="D156" s="536"/>
      <c r="E156" s="536"/>
      <c r="F156" s="536"/>
      <c r="G156" s="536"/>
    </row>
    <row r="157" spans="1:7">
      <c r="A157" s="536"/>
      <c r="B157" s="536"/>
      <c r="C157" s="536"/>
      <c r="D157" s="536"/>
      <c r="E157" s="536"/>
      <c r="F157" s="536"/>
      <c r="G157" s="536"/>
    </row>
    <row r="158" spans="1:7">
      <c r="A158" s="536"/>
      <c r="B158" s="536"/>
      <c r="C158" s="536"/>
      <c r="D158" s="536"/>
      <c r="E158" s="536"/>
      <c r="F158" s="536"/>
      <c r="G158" s="536"/>
    </row>
    <row r="159" spans="1:7">
      <c r="A159" s="536"/>
      <c r="B159" s="536"/>
      <c r="C159" s="536"/>
      <c r="D159" s="536"/>
      <c r="E159" s="536"/>
      <c r="F159" s="536"/>
      <c r="G159" s="536"/>
    </row>
    <row r="160" spans="1:7">
      <c r="A160" s="536"/>
      <c r="B160" s="536"/>
      <c r="C160" s="536"/>
      <c r="D160" s="536"/>
      <c r="E160" s="536"/>
      <c r="F160" s="536"/>
      <c r="G160" s="536"/>
    </row>
    <row r="161" spans="1:7">
      <c r="A161" s="536"/>
      <c r="B161" s="536"/>
      <c r="C161" s="536"/>
      <c r="D161" s="536"/>
      <c r="E161" s="536"/>
      <c r="F161" s="536"/>
      <c r="G161" s="536"/>
    </row>
    <row r="162" spans="1:7">
      <c r="A162" s="536"/>
      <c r="B162" s="536"/>
      <c r="C162" s="536"/>
      <c r="D162" s="536"/>
      <c r="E162" s="536"/>
      <c r="F162" s="536"/>
      <c r="G162" s="536"/>
    </row>
    <row r="163" spans="1:7">
      <c r="A163" s="536"/>
      <c r="B163" s="536"/>
      <c r="C163" s="536"/>
      <c r="D163" s="536"/>
      <c r="E163" s="536"/>
      <c r="F163" s="536"/>
      <c r="G163" s="536"/>
    </row>
    <row r="164" spans="1:7">
      <c r="A164" s="536"/>
      <c r="B164" s="536"/>
      <c r="C164" s="536"/>
      <c r="D164" s="536"/>
      <c r="E164" s="536"/>
      <c r="F164" s="536"/>
      <c r="G164" s="536"/>
    </row>
    <row r="165" spans="1:7">
      <c r="A165" s="536"/>
      <c r="B165" s="536"/>
      <c r="C165" s="536"/>
      <c r="D165" s="536"/>
      <c r="E165" s="536"/>
      <c r="F165" s="536"/>
      <c r="G165" s="536"/>
    </row>
    <row r="166" spans="1:7">
      <c r="A166" s="536"/>
      <c r="B166" s="536"/>
      <c r="C166" s="536"/>
      <c r="D166" s="536"/>
      <c r="E166" s="536"/>
      <c r="F166" s="536"/>
      <c r="G166" s="536"/>
    </row>
    <row r="167" spans="1:7">
      <c r="A167" s="536"/>
      <c r="B167" s="536"/>
      <c r="C167" s="536"/>
      <c r="D167" s="536"/>
      <c r="E167" s="536"/>
      <c r="F167" s="536"/>
      <c r="G167" s="536"/>
    </row>
    <row r="168" spans="1:7">
      <c r="A168" s="536"/>
      <c r="B168" s="536"/>
      <c r="C168" s="536"/>
      <c r="D168" s="536"/>
      <c r="E168" s="536"/>
      <c r="F168" s="536"/>
      <c r="G168" s="536"/>
    </row>
    <row r="169" spans="1:7">
      <c r="A169" s="536"/>
      <c r="B169" s="536"/>
      <c r="C169" s="536"/>
      <c r="D169" s="536"/>
      <c r="E169" s="536"/>
      <c r="F169" s="536"/>
      <c r="G169" s="536"/>
    </row>
    <row r="170" spans="1:7">
      <c r="A170" s="536"/>
      <c r="B170" s="536"/>
      <c r="C170" s="536"/>
      <c r="D170" s="536"/>
      <c r="E170" s="536"/>
      <c r="F170" s="536"/>
      <c r="G170" s="536"/>
    </row>
    <row r="171" spans="1:7">
      <c r="A171" s="536"/>
      <c r="B171" s="536"/>
      <c r="C171" s="536"/>
      <c r="D171" s="536"/>
      <c r="E171" s="536"/>
      <c r="F171" s="536"/>
      <c r="G171" s="536"/>
    </row>
    <row r="172" spans="1:7">
      <c r="A172" s="536"/>
      <c r="B172" s="536"/>
      <c r="C172" s="536"/>
      <c r="D172" s="536"/>
      <c r="E172" s="536"/>
      <c r="F172" s="536"/>
      <c r="G172" s="536"/>
    </row>
    <row r="173" spans="1:7">
      <c r="A173" s="536"/>
      <c r="B173" s="536"/>
      <c r="C173" s="536"/>
      <c r="D173" s="536"/>
      <c r="E173" s="536"/>
      <c r="F173" s="536"/>
      <c r="G173" s="536"/>
    </row>
    <row r="174" spans="1:7">
      <c r="A174" s="536"/>
      <c r="B174" s="536"/>
      <c r="C174" s="536"/>
      <c r="D174" s="536"/>
      <c r="E174" s="536"/>
      <c r="F174" s="536"/>
      <c r="G174" s="536"/>
    </row>
    <row r="175" spans="1:7">
      <c r="A175" s="536"/>
      <c r="B175" s="536"/>
      <c r="C175" s="536"/>
      <c r="D175" s="536"/>
      <c r="E175" s="536"/>
      <c r="F175" s="536"/>
      <c r="G175" s="536"/>
    </row>
    <row r="176" spans="1:7">
      <c r="A176" s="536"/>
      <c r="B176" s="536"/>
      <c r="C176" s="536"/>
      <c r="D176" s="536"/>
      <c r="E176" s="536"/>
      <c r="F176" s="536"/>
      <c r="G176" s="536"/>
    </row>
    <row r="177" spans="1:7">
      <c r="A177" s="536"/>
      <c r="B177" s="536"/>
      <c r="C177" s="536"/>
      <c r="D177" s="536"/>
      <c r="E177" s="536"/>
      <c r="F177" s="536"/>
      <c r="G177" s="536"/>
    </row>
    <row r="178" spans="1:7">
      <c r="A178" s="536"/>
      <c r="B178" s="536"/>
      <c r="C178" s="536"/>
      <c r="D178" s="536"/>
      <c r="E178" s="536"/>
      <c r="F178" s="536"/>
      <c r="G178" s="536"/>
    </row>
    <row r="179" spans="1:7">
      <c r="A179" s="536"/>
      <c r="B179" s="536"/>
      <c r="C179" s="536"/>
      <c r="D179" s="536"/>
      <c r="E179" s="536"/>
      <c r="F179" s="536"/>
      <c r="G179" s="536"/>
    </row>
    <row r="180" spans="1:7">
      <c r="A180" s="536"/>
      <c r="B180" s="536"/>
      <c r="C180" s="536"/>
      <c r="D180" s="536"/>
      <c r="E180" s="536"/>
      <c r="F180" s="536"/>
      <c r="G180" s="536"/>
    </row>
    <row r="181" spans="1:7">
      <c r="A181" s="536"/>
      <c r="B181" s="536"/>
      <c r="C181" s="536"/>
      <c r="D181" s="536"/>
      <c r="E181" s="536"/>
      <c r="F181" s="536"/>
      <c r="G181" s="536"/>
    </row>
    <row r="182" spans="1:7">
      <c r="A182" s="536"/>
      <c r="B182" s="536"/>
      <c r="C182" s="536"/>
      <c r="D182" s="536"/>
      <c r="E182" s="536"/>
      <c r="F182" s="536"/>
      <c r="G182" s="536"/>
    </row>
    <row r="183" spans="1:7">
      <c r="A183" s="536"/>
      <c r="B183" s="536"/>
      <c r="C183" s="536"/>
      <c r="D183" s="536"/>
      <c r="E183" s="536"/>
      <c r="F183" s="536"/>
      <c r="G183" s="536"/>
    </row>
    <row r="184" spans="1:7">
      <c r="A184" s="536"/>
      <c r="B184" s="536"/>
      <c r="C184" s="536"/>
      <c r="D184" s="536"/>
      <c r="E184" s="536"/>
      <c r="F184" s="536"/>
      <c r="G184" s="536"/>
    </row>
    <row r="185" spans="1:7">
      <c r="A185" s="536"/>
      <c r="B185" s="536"/>
      <c r="C185" s="536"/>
      <c r="D185" s="536"/>
      <c r="E185" s="536"/>
      <c r="F185" s="536"/>
      <c r="G185" s="536"/>
    </row>
    <row r="186" spans="1:7">
      <c r="A186" s="536"/>
      <c r="B186" s="536"/>
      <c r="C186" s="536"/>
      <c r="D186" s="536"/>
      <c r="E186" s="536"/>
      <c r="F186" s="536"/>
      <c r="G186" s="536"/>
    </row>
    <row r="187" spans="1:7">
      <c r="A187" s="536"/>
      <c r="B187" s="536"/>
      <c r="C187" s="536"/>
      <c r="D187" s="536"/>
      <c r="E187" s="536"/>
      <c r="F187" s="536"/>
      <c r="G187" s="536"/>
    </row>
    <row r="188" spans="1:7">
      <c r="A188" s="536"/>
      <c r="B188" s="536"/>
      <c r="C188" s="536"/>
      <c r="D188" s="536"/>
      <c r="E188" s="536"/>
      <c r="F188" s="536"/>
      <c r="G188" s="536"/>
    </row>
    <row r="189" spans="1:7">
      <c r="A189" s="536"/>
      <c r="B189" s="536"/>
      <c r="C189" s="536"/>
      <c r="D189" s="536"/>
      <c r="E189" s="536"/>
      <c r="F189" s="536"/>
      <c r="G189" s="536"/>
    </row>
    <row r="190" spans="1:7">
      <c r="A190" s="536"/>
      <c r="B190" s="536"/>
      <c r="C190" s="536"/>
      <c r="D190" s="536"/>
      <c r="E190" s="536"/>
      <c r="F190" s="536"/>
      <c r="G190" s="536"/>
    </row>
    <row r="191" spans="1:7">
      <c r="A191" s="536"/>
      <c r="B191" s="536"/>
      <c r="C191" s="536"/>
      <c r="D191" s="536"/>
      <c r="E191" s="536"/>
      <c r="F191" s="536"/>
      <c r="G191" s="536"/>
    </row>
    <row r="192" spans="1:7">
      <c r="A192" s="536"/>
      <c r="B192" s="536"/>
      <c r="C192" s="536"/>
      <c r="D192" s="536"/>
      <c r="E192" s="536"/>
      <c r="F192" s="536"/>
      <c r="G192" s="536"/>
    </row>
    <row r="193" spans="1:7">
      <c r="A193" s="536"/>
      <c r="B193" s="536"/>
      <c r="C193" s="536"/>
      <c r="D193" s="536"/>
      <c r="E193" s="536"/>
      <c r="F193" s="536"/>
      <c r="G193" s="536"/>
    </row>
    <row r="194" spans="1:7">
      <c r="A194" s="536"/>
      <c r="B194" s="536"/>
      <c r="C194" s="536"/>
      <c r="D194" s="536"/>
      <c r="E194" s="536"/>
      <c r="F194" s="536"/>
      <c r="G194" s="536"/>
    </row>
    <row r="195" spans="1:7">
      <c r="A195" s="536"/>
      <c r="B195" s="536"/>
      <c r="C195" s="536"/>
      <c r="D195" s="536"/>
      <c r="E195" s="536"/>
      <c r="F195" s="536"/>
      <c r="G195" s="536"/>
    </row>
    <row r="196" spans="1:7">
      <c r="A196" s="536"/>
      <c r="B196" s="536"/>
      <c r="C196" s="536"/>
      <c r="D196" s="536"/>
      <c r="E196" s="536"/>
      <c r="F196" s="536"/>
      <c r="G196" s="536"/>
    </row>
    <row r="197" spans="1:7">
      <c r="A197" s="536"/>
      <c r="B197" s="536"/>
      <c r="C197" s="536"/>
      <c r="D197" s="536"/>
      <c r="E197" s="536"/>
      <c r="F197" s="536"/>
      <c r="G197" s="536"/>
    </row>
    <row r="198" spans="1:7">
      <c r="A198" s="536"/>
      <c r="B198" s="536"/>
      <c r="C198" s="536"/>
      <c r="D198" s="536"/>
      <c r="E198" s="536"/>
      <c r="F198" s="536"/>
      <c r="G198" s="536"/>
    </row>
    <row r="199" spans="1:7">
      <c r="A199" s="536"/>
      <c r="B199" s="536"/>
      <c r="C199" s="536"/>
      <c r="D199" s="536"/>
      <c r="E199" s="536"/>
      <c r="F199" s="536"/>
      <c r="G199" s="536"/>
    </row>
    <row r="200" spans="1:7">
      <c r="A200" s="536"/>
      <c r="B200" s="536"/>
      <c r="C200" s="536"/>
      <c r="D200" s="536"/>
      <c r="E200" s="536"/>
      <c r="F200" s="536"/>
      <c r="G200" s="536"/>
    </row>
    <row r="201" spans="1:7">
      <c r="A201" s="536"/>
      <c r="B201" s="536"/>
      <c r="C201" s="536"/>
      <c r="D201" s="536"/>
      <c r="E201" s="536"/>
      <c r="F201" s="536"/>
      <c r="G201" s="536"/>
    </row>
    <row r="202" spans="1:7">
      <c r="A202" s="536"/>
      <c r="B202" s="536"/>
      <c r="C202" s="536"/>
      <c r="D202" s="536"/>
      <c r="E202" s="536"/>
      <c r="F202" s="536"/>
      <c r="G202" s="536"/>
    </row>
    <row r="203" spans="1:7">
      <c r="A203" s="536"/>
      <c r="B203" s="536"/>
      <c r="C203" s="536"/>
      <c r="D203" s="536"/>
      <c r="E203" s="536"/>
      <c r="F203" s="536"/>
      <c r="G203" s="536"/>
    </row>
    <row r="204" spans="1:7">
      <c r="A204" s="536"/>
      <c r="B204" s="536"/>
      <c r="C204" s="536"/>
      <c r="D204" s="536"/>
      <c r="E204" s="536"/>
      <c r="F204" s="536"/>
      <c r="G204" s="536"/>
    </row>
    <row r="205" spans="1:7">
      <c r="A205" s="536"/>
      <c r="B205" s="536"/>
      <c r="C205" s="536"/>
      <c r="D205" s="536"/>
      <c r="E205" s="536"/>
      <c r="F205" s="536"/>
      <c r="G205" s="536"/>
    </row>
    <row r="206" spans="1:7">
      <c r="A206" s="536"/>
      <c r="B206" s="536"/>
      <c r="C206" s="536"/>
      <c r="D206" s="536"/>
      <c r="E206" s="536"/>
      <c r="F206" s="536"/>
      <c r="G206" s="536"/>
    </row>
    <row r="207" spans="1:7">
      <c r="A207" s="536"/>
      <c r="B207" s="536"/>
      <c r="C207" s="536"/>
      <c r="D207" s="536"/>
      <c r="E207" s="536"/>
      <c r="F207" s="536"/>
      <c r="G207" s="536"/>
    </row>
    <row r="208" spans="1:7">
      <c r="A208" s="536"/>
      <c r="B208" s="536"/>
      <c r="C208" s="536"/>
      <c r="D208" s="536"/>
      <c r="E208" s="536"/>
      <c r="F208" s="536"/>
      <c r="G208" s="536"/>
    </row>
    <row r="209" spans="1:7">
      <c r="A209" s="536"/>
      <c r="B209" s="536"/>
      <c r="C209" s="536"/>
      <c r="D209" s="536"/>
      <c r="E209" s="536"/>
      <c r="F209" s="536"/>
      <c r="G209" s="536"/>
    </row>
    <row r="210" spans="1:7">
      <c r="A210" s="536"/>
      <c r="B210" s="536"/>
      <c r="C210" s="536"/>
      <c r="D210" s="536"/>
      <c r="E210" s="536"/>
      <c r="F210" s="536"/>
      <c r="G210" s="536"/>
    </row>
    <row r="211" spans="1:7">
      <c r="A211" s="536"/>
      <c r="B211" s="536"/>
      <c r="C211" s="536"/>
      <c r="D211" s="536"/>
      <c r="E211" s="536"/>
      <c r="F211" s="536"/>
      <c r="G211" s="536"/>
    </row>
    <row r="212" spans="1:7">
      <c r="A212" s="536"/>
      <c r="B212" s="536"/>
      <c r="C212" s="536"/>
      <c r="D212" s="536"/>
      <c r="E212" s="536"/>
      <c r="F212" s="536"/>
      <c r="G212" s="536"/>
    </row>
    <row r="213" spans="1:7">
      <c r="A213" s="536"/>
      <c r="B213" s="536"/>
      <c r="C213" s="536"/>
      <c r="D213" s="536"/>
      <c r="E213" s="536"/>
      <c r="F213" s="536"/>
      <c r="G213" s="536"/>
    </row>
    <row r="214" spans="1:7">
      <c r="A214" s="536"/>
      <c r="B214" s="536"/>
      <c r="C214" s="536"/>
      <c r="D214" s="536"/>
      <c r="E214" s="536"/>
      <c r="F214" s="536"/>
      <c r="G214" s="536"/>
    </row>
    <row r="215" spans="1:7">
      <c r="A215" s="536"/>
      <c r="B215" s="536"/>
      <c r="C215" s="536"/>
      <c r="D215" s="536"/>
      <c r="E215" s="536"/>
      <c r="F215" s="536"/>
      <c r="G215" s="536"/>
    </row>
    <row r="216" spans="1:7">
      <c r="A216" s="536"/>
      <c r="B216" s="536"/>
      <c r="C216" s="536"/>
      <c r="D216" s="536"/>
      <c r="E216" s="536"/>
      <c r="F216" s="536"/>
      <c r="G216" s="536"/>
    </row>
    <row r="217" spans="1:7">
      <c r="A217" s="536"/>
      <c r="B217" s="536"/>
      <c r="C217" s="536"/>
      <c r="D217" s="536"/>
      <c r="E217" s="536"/>
      <c r="F217" s="536"/>
      <c r="G217" s="536"/>
    </row>
    <row r="218" spans="1:7">
      <c r="A218" s="536"/>
      <c r="B218" s="536"/>
      <c r="C218" s="536"/>
      <c r="D218" s="536"/>
      <c r="E218" s="536"/>
      <c r="F218" s="536"/>
      <c r="G218" s="536"/>
    </row>
    <row r="219" spans="1:7">
      <c r="A219" s="536"/>
      <c r="B219" s="536"/>
      <c r="C219" s="536"/>
      <c r="D219" s="536"/>
      <c r="E219" s="536"/>
      <c r="F219" s="536"/>
      <c r="G219" s="536"/>
    </row>
    <row r="220" spans="1:7">
      <c r="A220" s="536"/>
      <c r="B220" s="536"/>
      <c r="C220" s="536"/>
      <c r="D220" s="536"/>
      <c r="E220" s="536"/>
      <c r="F220" s="536"/>
      <c r="G220" s="536"/>
    </row>
    <row r="221" spans="1:7">
      <c r="A221" s="536"/>
      <c r="B221" s="536"/>
      <c r="C221" s="536"/>
      <c r="D221" s="536"/>
      <c r="E221" s="536"/>
      <c r="F221" s="536"/>
      <c r="G221" s="536"/>
    </row>
    <row r="222" spans="1:7">
      <c r="A222" s="536"/>
      <c r="B222" s="536"/>
      <c r="C222" s="536"/>
      <c r="D222" s="536"/>
      <c r="E222" s="536"/>
      <c r="F222" s="536"/>
      <c r="G222" s="536"/>
    </row>
    <row r="223" spans="1:7">
      <c r="A223" s="536"/>
      <c r="B223" s="536"/>
      <c r="C223" s="536"/>
      <c r="D223" s="536"/>
      <c r="E223" s="536"/>
      <c r="F223" s="536"/>
      <c r="G223" s="536"/>
    </row>
    <row r="224" spans="1:7">
      <c r="A224" s="536"/>
      <c r="B224" s="536"/>
      <c r="C224" s="536"/>
      <c r="D224" s="536"/>
      <c r="E224" s="536"/>
      <c r="F224" s="536"/>
      <c r="G224" s="536"/>
    </row>
    <row r="225" spans="1:7">
      <c r="A225" s="536"/>
      <c r="B225" s="536"/>
      <c r="C225" s="536"/>
      <c r="D225" s="536"/>
      <c r="E225" s="536"/>
      <c r="F225" s="536"/>
      <c r="G225" s="536"/>
    </row>
    <row r="226" spans="1:7">
      <c r="A226" s="536"/>
      <c r="B226" s="536"/>
      <c r="C226" s="536"/>
      <c r="D226" s="536"/>
      <c r="E226" s="536"/>
      <c r="F226" s="536"/>
      <c r="G226" s="536"/>
    </row>
    <row r="227" spans="1:7">
      <c r="A227" s="536"/>
      <c r="B227" s="536"/>
      <c r="C227" s="536"/>
      <c r="D227" s="536"/>
      <c r="E227" s="536"/>
      <c r="F227" s="536"/>
      <c r="G227" s="536"/>
    </row>
    <row r="228" spans="1:7">
      <c r="A228" s="536"/>
      <c r="B228" s="536"/>
      <c r="C228" s="536"/>
      <c r="D228" s="536"/>
      <c r="E228" s="536"/>
      <c r="F228" s="536"/>
      <c r="G228" s="536"/>
    </row>
    <row r="229" spans="1:7">
      <c r="A229" s="536"/>
      <c r="B229" s="536"/>
      <c r="C229" s="536"/>
      <c r="D229" s="536"/>
      <c r="E229" s="536"/>
      <c r="F229" s="536"/>
      <c r="G229" s="536"/>
    </row>
    <row r="230" spans="1:7">
      <c r="A230" s="536"/>
      <c r="B230" s="536"/>
      <c r="C230" s="536"/>
      <c r="D230" s="536"/>
      <c r="E230" s="536"/>
      <c r="F230" s="536"/>
      <c r="G230" s="536"/>
    </row>
    <row r="231" spans="1:7">
      <c r="A231" s="536"/>
      <c r="B231" s="536"/>
      <c r="C231" s="536"/>
      <c r="D231" s="536"/>
      <c r="E231" s="536"/>
      <c r="F231" s="536"/>
      <c r="G231" s="536"/>
    </row>
    <row r="232" spans="1:7">
      <c r="A232" s="536"/>
      <c r="B232" s="536"/>
      <c r="C232" s="536"/>
      <c r="D232" s="536"/>
      <c r="E232" s="536"/>
      <c r="F232" s="536"/>
      <c r="G232" s="536"/>
    </row>
    <row r="233" spans="1:7">
      <c r="A233" s="536"/>
      <c r="B233" s="536"/>
      <c r="C233" s="536"/>
      <c r="D233" s="536"/>
      <c r="E233" s="536"/>
      <c r="F233" s="536"/>
      <c r="G233" s="536"/>
    </row>
    <row r="234" spans="1:7">
      <c r="A234" s="536"/>
      <c r="B234" s="536"/>
      <c r="C234" s="536"/>
      <c r="D234" s="536"/>
      <c r="E234" s="536"/>
      <c r="F234" s="536"/>
      <c r="G234" s="536"/>
    </row>
    <row r="235" spans="1:7">
      <c r="A235" s="536"/>
      <c r="B235" s="536"/>
      <c r="C235" s="536"/>
      <c r="D235" s="536"/>
      <c r="E235" s="536"/>
      <c r="F235" s="536"/>
      <c r="G235" s="536"/>
    </row>
    <row r="236" spans="1:7">
      <c r="A236" s="536"/>
      <c r="B236" s="536"/>
      <c r="C236" s="536"/>
      <c r="D236" s="536"/>
      <c r="E236" s="536"/>
      <c r="F236" s="536"/>
      <c r="G236" s="536"/>
    </row>
    <row r="237" spans="1:7">
      <c r="A237" s="536"/>
      <c r="B237" s="536"/>
      <c r="C237" s="536"/>
      <c r="D237" s="536"/>
      <c r="E237" s="536"/>
      <c r="F237" s="536"/>
      <c r="G237" s="536"/>
    </row>
    <row r="238" spans="1:7">
      <c r="A238" s="536"/>
      <c r="B238" s="536"/>
      <c r="C238" s="536"/>
      <c r="D238" s="536"/>
      <c r="E238" s="536"/>
      <c r="F238" s="536"/>
      <c r="G238" s="536"/>
    </row>
    <row r="239" spans="1:7">
      <c r="A239" s="536"/>
      <c r="B239" s="536"/>
      <c r="C239" s="536"/>
      <c r="D239" s="536"/>
      <c r="E239" s="536"/>
      <c r="F239" s="536"/>
      <c r="G239" s="536"/>
    </row>
    <row r="240" spans="1:7">
      <c r="A240" s="536"/>
      <c r="B240" s="536"/>
      <c r="C240" s="536"/>
      <c r="D240" s="536"/>
      <c r="E240" s="536"/>
      <c r="F240" s="536"/>
      <c r="G240" s="536"/>
    </row>
    <row r="241" spans="1:7">
      <c r="A241" s="536"/>
      <c r="B241" s="536"/>
      <c r="C241" s="536"/>
      <c r="D241" s="536"/>
      <c r="E241" s="536"/>
      <c r="F241" s="536"/>
      <c r="G241" s="536"/>
    </row>
    <row r="242" spans="1:7">
      <c r="A242" s="536"/>
      <c r="B242" s="536"/>
      <c r="C242" s="536"/>
      <c r="D242" s="536"/>
      <c r="E242" s="536"/>
      <c r="F242" s="536"/>
      <c r="G242" s="536"/>
    </row>
    <row r="243" spans="1:7">
      <c r="A243" s="536"/>
      <c r="B243" s="536"/>
      <c r="C243" s="536"/>
      <c r="D243" s="536"/>
      <c r="E243" s="536"/>
      <c r="F243" s="536"/>
      <c r="G243" s="536"/>
    </row>
    <row r="244" spans="1:7">
      <c r="A244" s="536"/>
      <c r="B244" s="536"/>
      <c r="C244" s="536"/>
      <c r="D244" s="536"/>
      <c r="E244" s="536"/>
      <c r="F244" s="536"/>
      <c r="G244" s="536"/>
    </row>
    <row r="245" spans="1:7">
      <c r="A245" s="536"/>
      <c r="B245" s="536"/>
      <c r="C245" s="536"/>
      <c r="D245" s="536"/>
      <c r="E245" s="536"/>
      <c r="F245" s="536"/>
      <c r="G245" s="536"/>
    </row>
    <row r="246" spans="1:7">
      <c r="A246" s="536"/>
      <c r="B246" s="536"/>
      <c r="C246" s="536"/>
      <c r="D246" s="536"/>
      <c r="E246" s="536"/>
      <c r="F246" s="536"/>
      <c r="G246" s="536"/>
    </row>
    <row r="247" spans="1:7">
      <c r="A247" s="536"/>
      <c r="B247" s="536"/>
      <c r="C247" s="536"/>
      <c r="D247" s="536"/>
      <c r="E247" s="536"/>
      <c r="F247" s="536"/>
      <c r="G247" s="536"/>
    </row>
    <row r="248" spans="1:7">
      <c r="A248" s="536"/>
      <c r="B248" s="536"/>
      <c r="C248" s="536"/>
      <c r="D248" s="536"/>
      <c r="E248" s="536"/>
      <c r="F248" s="536"/>
      <c r="G248" s="536"/>
    </row>
    <row r="249" spans="1:7">
      <c r="A249" s="536"/>
      <c r="B249" s="536"/>
      <c r="C249" s="536"/>
      <c r="D249" s="536"/>
      <c r="E249" s="536"/>
      <c r="F249" s="536"/>
      <c r="G249" s="536"/>
    </row>
    <row r="250" spans="1:7">
      <c r="A250" s="536"/>
      <c r="B250" s="536"/>
      <c r="C250" s="536"/>
      <c r="D250" s="536"/>
      <c r="E250" s="536"/>
      <c r="F250" s="536"/>
      <c r="G250" s="536"/>
    </row>
    <row r="251" spans="1:7">
      <c r="A251" s="536"/>
      <c r="B251" s="536"/>
      <c r="C251" s="536"/>
      <c r="D251" s="536"/>
      <c r="E251" s="536"/>
      <c r="F251" s="536"/>
      <c r="G251" s="536"/>
    </row>
    <row r="252" spans="1:7">
      <c r="A252" s="536"/>
      <c r="B252" s="536"/>
      <c r="C252" s="536"/>
      <c r="D252" s="536"/>
      <c r="E252" s="536"/>
      <c r="F252" s="536"/>
      <c r="G252" s="536"/>
    </row>
    <row r="253" spans="1:7">
      <c r="A253" s="536"/>
      <c r="B253" s="536"/>
      <c r="C253" s="536"/>
      <c r="D253" s="536"/>
      <c r="E253" s="536"/>
      <c r="F253" s="536"/>
      <c r="G253" s="536"/>
    </row>
    <row r="254" spans="1:7">
      <c r="A254" s="536"/>
      <c r="B254" s="536"/>
      <c r="C254" s="536"/>
      <c r="D254" s="536"/>
      <c r="E254" s="536"/>
      <c r="F254" s="536"/>
      <c r="G254" s="536"/>
    </row>
    <row r="255" spans="1:7">
      <c r="A255" s="536"/>
      <c r="B255" s="536"/>
      <c r="C255" s="536"/>
      <c r="D255" s="536"/>
      <c r="E255" s="536"/>
      <c r="F255" s="536"/>
      <c r="G255" s="536"/>
    </row>
    <row r="256" spans="1:7">
      <c r="A256" s="536"/>
      <c r="B256" s="536"/>
      <c r="C256" s="536"/>
      <c r="D256" s="536"/>
      <c r="E256" s="536"/>
      <c r="F256" s="536"/>
      <c r="G256" s="536"/>
    </row>
    <row r="257" spans="1:7">
      <c r="A257" s="536"/>
      <c r="B257" s="536"/>
      <c r="C257" s="536"/>
      <c r="D257" s="536"/>
      <c r="E257" s="536"/>
      <c r="F257" s="536"/>
      <c r="G257" s="536"/>
    </row>
    <row r="258" spans="1:7">
      <c r="A258" s="536"/>
      <c r="B258" s="536"/>
      <c r="C258" s="536"/>
      <c r="D258" s="536"/>
      <c r="E258" s="536"/>
      <c r="F258" s="536"/>
      <c r="G258" s="536"/>
    </row>
    <row r="259" spans="1:7">
      <c r="A259" s="536"/>
      <c r="B259" s="536"/>
      <c r="C259" s="536"/>
      <c r="D259" s="536"/>
      <c r="E259" s="536"/>
      <c r="F259" s="536"/>
      <c r="G259" s="536"/>
    </row>
    <row r="260" spans="1:7">
      <c r="A260" s="536"/>
      <c r="B260" s="536"/>
      <c r="C260" s="536"/>
      <c r="D260" s="536"/>
      <c r="E260" s="536"/>
      <c r="F260" s="536"/>
      <c r="G260" s="536"/>
    </row>
    <row r="261" spans="1:7">
      <c r="A261" s="536"/>
      <c r="B261" s="536"/>
      <c r="C261" s="536"/>
      <c r="D261" s="536"/>
      <c r="E261" s="536"/>
      <c r="F261" s="536"/>
      <c r="G261" s="536"/>
    </row>
    <row r="262" spans="1:7">
      <c r="A262" s="536"/>
      <c r="B262" s="536"/>
      <c r="C262" s="536"/>
      <c r="D262" s="536"/>
      <c r="E262" s="536"/>
      <c r="F262" s="536"/>
      <c r="G262" s="536"/>
    </row>
    <row r="263" spans="1:7">
      <c r="A263" s="536"/>
      <c r="B263" s="536"/>
      <c r="C263" s="536"/>
      <c r="D263" s="536"/>
      <c r="E263" s="536"/>
      <c r="F263" s="536"/>
      <c r="G263" s="536"/>
    </row>
    <row r="264" spans="1:7">
      <c r="A264" s="536"/>
      <c r="B264" s="536"/>
      <c r="C264" s="536"/>
      <c r="D264" s="536"/>
      <c r="E264" s="536"/>
      <c r="F264" s="536"/>
      <c r="G264" s="536"/>
    </row>
    <row r="265" spans="1:7">
      <c r="A265" s="536"/>
      <c r="B265" s="536"/>
      <c r="C265" s="536"/>
      <c r="D265" s="536"/>
      <c r="E265" s="536"/>
      <c r="F265" s="536"/>
      <c r="G265" s="536"/>
    </row>
    <row r="266" spans="1:7">
      <c r="A266" s="536"/>
      <c r="B266" s="536"/>
      <c r="C266" s="536"/>
      <c r="D266" s="536"/>
      <c r="E266" s="536"/>
      <c r="F266" s="536"/>
      <c r="G266" s="536"/>
    </row>
    <row r="267" spans="1:7">
      <c r="A267" s="536"/>
      <c r="B267" s="536"/>
      <c r="C267" s="536"/>
      <c r="D267" s="536"/>
      <c r="E267" s="536"/>
      <c r="F267" s="536"/>
      <c r="G267" s="536"/>
    </row>
    <row r="268" spans="1:7">
      <c r="A268" s="536"/>
      <c r="B268" s="536"/>
      <c r="C268" s="536"/>
      <c r="D268" s="536"/>
      <c r="E268" s="536"/>
      <c r="F268" s="536"/>
      <c r="G268" s="536"/>
    </row>
    <row r="269" spans="1:7">
      <c r="A269" s="536"/>
      <c r="B269" s="536"/>
      <c r="C269" s="536"/>
      <c r="D269" s="536"/>
      <c r="E269" s="536"/>
      <c r="F269" s="536"/>
      <c r="G269" s="536"/>
    </row>
    <row r="270" spans="1:7">
      <c r="A270" s="536"/>
      <c r="B270" s="536"/>
      <c r="C270" s="536"/>
      <c r="D270" s="536"/>
      <c r="E270" s="536"/>
      <c r="F270" s="536"/>
      <c r="G270" s="536"/>
    </row>
    <row r="271" spans="1:7">
      <c r="A271" s="536"/>
      <c r="B271" s="536"/>
      <c r="C271" s="536"/>
      <c r="D271" s="536"/>
      <c r="E271" s="536"/>
      <c r="F271" s="536"/>
      <c r="G271" s="536"/>
    </row>
    <row r="272" spans="1:7">
      <c r="A272" s="536"/>
      <c r="B272" s="536"/>
      <c r="C272" s="536"/>
      <c r="D272" s="536"/>
      <c r="E272" s="536"/>
      <c r="F272" s="536"/>
      <c r="G272" s="536"/>
    </row>
    <row r="273" spans="1:7">
      <c r="A273" s="536"/>
      <c r="B273" s="536"/>
      <c r="C273" s="536"/>
      <c r="D273" s="536"/>
      <c r="E273" s="536"/>
      <c r="F273" s="536"/>
      <c r="G273" s="536"/>
    </row>
    <row r="274" spans="1:7">
      <c r="A274" s="536"/>
      <c r="B274" s="536"/>
      <c r="C274" s="536"/>
      <c r="D274" s="536"/>
      <c r="E274" s="536"/>
      <c r="F274" s="536"/>
      <c r="G274" s="536"/>
    </row>
    <row r="275" spans="1:7">
      <c r="A275" s="536"/>
      <c r="B275" s="536"/>
      <c r="C275" s="536"/>
      <c r="D275" s="536"/>
      <c r="E275" s="536"/>
      <c r="F275" s="536"/>
      <c r="G275" s="536"/>
    </row>
    <row r="276" spans="1:7">
      <c r="A276" s="536"/>
      <c r="B276" s="536"/>
      <c r="C276" s="536"/>
      <c r="D276" s="536"/>
      <c r="E276" s="536"/>
      <c r="F276" s="536"/>
      <c r="G276" s="536"/>
    </row>
    <row r="277" spans="1:7">
      <c r="A277" s="536"/>
      <c r="B277" s="536"/>
      <c r="C277" s="536"/>
      <c r="D277" s="536"/>
      <c r="E277" s="536"/>
      <c r="F277" s="536"/>
      <c r="G277" s="536"/>
    </row>
    <row r="278" spans="1:7">
      <c r="A278" s="536"/>
      <c r="B278" s="536"/>
      <c r="C278" s="536"/>
      <c r="D278" s="536"/>
      <c r="E278" s="536"/>
      <c r="F278" s="536"/>
      <c r="G278" s="536"/>
    </row>
    <row r="279" spans="1:7">
      <c r="A279" s="536"/>
      <c r="B279" s="536"/>
      <c r="C279" s="536"/>
      <c r="D279" s="536"/>
      <c r="E279" s="536"/>
      <c r="F279" s="536"/>
      <c r="G279" s="536"/>
    </row>
    <row r="280" spans="1:7">
      <c r="A280" s="536"/>
      <c r="B280" s="536"/>
      <c r="C280" s="536"/>
      <c r="D280" s="536"/>
      <c r="E280" s="536"/>
      <c r="F280" s="536"/>
      <c r="G280" s="536"/>
    </row>
    <row r="281" spans="1:7">
      <c r="A281" s="536"/>
      <c r="B281" s="536"/>
      <c r="C281" s="536"/>
      <c r="D281" s="536"/>
      <c r="E281" s="536"/>
      <c r="F281" s="536"/>
      <c r="G281" s="536"/>
    </row>
    <row r="282" spans="1:7">
      <c r="A282" s="536"/>
      <c r="B282" s="536"/>
      <c r="C282" s="536"/>
      <c r="D282" s="536"/>
      <c r="E282" s="536"/>
      <c r="F282" s="536"/>
      <c r="G282" s="536"/>
    </row>
    <row r="283" spans="1:7">
      <c r="A283" s="536"/>
      <c r="B283" s="536"/>
      <c r="C283" s="536"/>
      <c r="D283" s="536"/>
      <c r="E283" s="536"/>
      <c r="F283" s="536"/>
      <c r="G283" s="536"/>
    </row>
    <row r="284" spans="1:7">
      <c r="A284" s="536"/>
      <c r="B284" s="536"/>
      <c r="C284" s="536"/>
      <c r="D284" s="536"/>
      <c r="E284" s="536"/>
      <c r="F284" s="536"/>
      <c r="G284" s="536"/>
    </row>
    <row r="285" spans="1:7">
      <c r="A285" s="536"/>
      <c r="B285" s="536"/>
      <c r="C285" s="536"/>
      <c r="D285" s="536"/>
      <c r="E285" s="536"/>
      <c r="F285" s="536"/>
      <c r="G285" s="536"/>
    </row>
    <row r="286" spans="1:7">
      <c r="A286" s="536"/>
      <c r="B286" s="536"/>
      <c r="C286" s="536"/>
      <c r="D286" s="536"/>
      <c r="E286" s="536"/>
      <c r="F286" s="536"/>
      <c r="G286" s="536"/>
    </row>
    <row r="287" spans="1:7">
      <c r="A287" s="536"/>
      <c r="B287" s="536"/>
      <c r="C287" s="536"/>
      <c r="D287" s="536"/>
      <c r="E287" s="536"/>
      <c r="F287" s="536"/>
      <c r="G287" s="536"/>
    </row>
    <row r="288" spans="1:7">
      <c r="A288" s="536"/>
      <c r="B288" s="536"/>
      <c r="C288" s="536"/>
      <c r="D288" s="536"/>
      <c r="E288" s="536"/>
      <c r="F288" s="536"/>
      <c r="G288" s="536"/>
    </row>
    <row r="289" spans="1:7">
      <c r="A289" s="536"/>
      <c r="B289" s="536"/>
      <c r="C289" s="536"/>
      <c r="D289" s="536"/>
      <c r="E289" s="536"/>
      <c r="F289" s="536"/>
      <c r="G289" s="536"/>
    </row>
    <row r="290" spans="1:7">
      <c r="A290" s="536"/>
      <c r="B290" s="536"/>
      <c r="C290" s="536"/>
      <c r="D290" s="536"/>
      <c r="E290" s="536"/>
      <c r="F290" s="536"/>
      <c r="G290" s="536"/>
    </row>
    <row r="291" spans="1:7">
      <c r="A291" s="536"/>
      <c r="B291" s="536"/>
      <c r="C291" s="536"/>
      <c r="D291" s="536"/>
      <c r="E291" s="536"/>
      <c r="F291" s="536"/>
      <c r="G291" s="536"/>
    </row>
    <row r="292" spans="1:7">
      <c r="A292" s="536"/>
      <c r="B292" s="536"/>
      <c r="C292" s="536"/>
      <c r="D292" s="536"/>
      <c r="E292" s="536"/>
      <c r="F292" s="536"/>
      <c r="G292" s="536"/>
    </row>
    <row r="293" spans="1:7">
      <c r="A293" s="536"/>
      <c r="B293" s="536"/>
      <c r="C293" s="536"/>
      <c r="D293" s="536"/>
      <c r="E293" s="536"/>
      <c r="F293" s="536"/>
      <c r="G293" s="536"/>
    </row>
    <row r="294" spans="1:7">
      <c r="A294" s="536"/>
      <c r="B294" s="536"/>
      <c r="C294" s="536"/>
      <c r="D294" s="536"/>
      <c r="E294" s="536"/>
      <c r="F294" s="536"/>
      <c r="G294" s="536"/>
    </row>
    <row r="295" spans="1:7">
      <c r="A295" s="536"/>
      <c r="B295" s="536"/>
      <c r="C295" s="536"/>
      <c r="D295" s="536"/>
      <c r="E295" s="536"/>
      <c r="F295" s="536"/>
      <c r="G295" s="536"/>
    </row>
    <row r="296" spans="1:7">
      <c r="A296" s="536"/>
      <c r="B296" s="536"/>
      <c r="C296" s="536"/>
      <c r="D296" s="536"/>
      <c r="E296" s="536"/>
      <c r="F296" s="536"/>
      <c r="G296" s="536"/>
    </row>
    <row r="297" spans="1:7">
      <c r="A297" s="536"/>
      <c r="B297" s="536"/>
      <c r="C297" s="536"/>
      <c r="D297" s="536"/>
      <c r="E297" s="536"/>
      <c r="F297" s="536"/>
      <c r="G297" s="536"/>
    </row>
    <row r="298" spans="1:7">
      <c r="A298" s="536"/>
      <c r="B298" s="536"/>
      <c r="C298" s="536"/>
      <c r="D298" s="536"/>
      <c r="E298" s="536"/>
      <c r="F298" s="536"/>
      <c r="G298" s="536"/>
    </row>
    <row r="299" spans="1:7">
      <c r="A299" s="536"/>
      <c r="B299" s="536"/>
      <c r="C299" s="536"/>
      <c r="D299" s="536"/>
      <c r="E299" s="536"/>
      <c r="F299" s="536"/>
      <c r="G299" s="536"/>
    </row>
    <row r="300" spans="1:7">
      <c r="A300" s="536"/>
      <c r="B300" s="536"/>
      <c r="C300" s="536"/>
      <c r="D300" s="536"/>
      <c r="E300" s="536"/>
      <c r="F300" s="536"/>
      <c r="G300" s="536"/>
    </row>
    <row r="301" spans="1:7">
      <c r="A301" s="536"/>
      <c r="B301" s="536"/>
      <c r="C301" s="536"/>
      <c r="D301" s="536"/>
      <c r="E301" s="536"/>
      <c r="F301" s="536"/>
      <c r="G301" s="536"/>
    </row>
    <row r="302" spans="1:7">
      <c r="A302" s="536"/>
      <c r="B302" s="536"/>
      <c r="C302" s="536"/>
      <c r="D302" s="536"/>
      <c r="E302" s="536"/>
      <c r="F302" s="536"/>
      <c r="G302" s="536"/>
    </row>
    <row r="303" spans="1:7">
      <c r="A303" s="536"/>
      <c r="B303" s="536"/>
      <c r="C303" s="536"/>
      <c r="D303" s="536"/>
      <c r="E303" s="536"/>
      <c r="F303" s="536"/>
      <c r="G303" s="536"/>
    </row>
    <row r="304" spans="1:7">
      <c r="A304" s="536"/>
      <c r="B304" s="536"/>
      <c r="C304" s="536"/>
      <c r="D304" s="536"/>
      <c r="E304" s="536"/>
      <c r="F304" s="536"/>
      <c r="G304" s="536"/>
    </row>
    <row r="305" spans="1:7">
      <c r="A305" s="536"/>
      <c r="B305" s="536"/>
      <c r="C305" s="536"/>
      <c r="D305" s="536"/>
      <c r="E305" s="536"/>
      <c r="F305" s="536"/>
      <c r="G305" s="536"/>
    </row>
    <row r="306" spans="1:7">
      <c r="A306" s="536"/>
      <c r="B306" s="536"/>
      <c r="C306" s="536"/>
      <c r="D306" s="536"/>
      <c r="E306" s="536"/>
      <c r="F306" s="536"/>
      <c r="G306" s="536"/>
    </row>
    <row r="307" spans="1:7">
      <c r="A307" s="536"/>
      <c r="B307" s="536"/>
      <c r="C307" s="536"/>
      <c r="D307" s="536"/>
      <c r="E307" s="536"/>
      <c r="F307" s="536"/>
      <c r="G307" s="536"/>
    </row>
    <row r="308" spans="1:7">
      <c r="A308" s="536"/>
      <c r="B308" s="536"/>
      <c r="C308" s="536"/>
      <c r="D308" s="536"/>
      <c r="E308" s="536"/>
      <c r="F308" s="536"/>
      <c r="G308" s="536"/>
    </row>
    <row r="309" spans="1:7">
      <c r="A309" s="536"/>
      <c r="B309" s="536"/>
      <c r="C309" s="536"/>
      <c r="D309" s="536"/>
      <c r="E309" s="536"/>
      <c r="F309" s="536"/>
      <c r="G309" s="536"/>
    </row>
    <row r="310" spans="1:7">
      <c r="A310" s="536"/>
      <c r="B310" s="536"/>
      <c r="C310" s="536"/>
      <c r="D310" s="536"/>
      <c r="E310" s="536"/>
      <c r="F310" s="536"/>
      <c r="G310" s="536"/>
    </row>
    <row r="311" spans="1:7">
      <c r="A311" s="536"/>
      <c r="B311" s="536"/>
      <c r="C311" s="536"/>
      <c r="D311" s="536"/>
      <c r="E311" s="536"/>
      <c r="F311" s="536"/>
      <c r="G311" s="536"/>
    </row>
    <row r="312" spans="1:7">
      <c r="A312" s="536"/>
      <c r="B312" s="536"/>
      <c r="C312" s="536"/>
      <c r="D312" s="536"/>
      <c r="E312" s="536"/>
      <c r="F312" s="536"/>
      <c r="G312" s="536"/>
    </row>
    <row r="313" spans="1:7">
      <c r="A313" s="536"/>
      <c r="B313" s="536"/>
      <c r="C313" s="536"/>
      <c r="D313" s="536"/>
      <c r="E313" s="536"/>
      <c r="F313" s="536"/>
      <c r="G313" s="536"/>
    </row>
    <row r="314" spans="1:7">
      <c r="A314" s="536"/>
      <c r="B314" s="536"/>
      <c r="C314" s="536"/>
      <c r="D314" s="536"/>
      <c r="E314" s="536"/>
      <c r="F314" s="536"/>
      <c r="G314" s="536"/>
    </row>
    <row r="315" spans="1:7">
      <c r="A315" s="536"/>
      <c r="B315" s="536"/>
      <c r="C315" s="536"/>
      <c r="D315" s="536"/>
      <c r="E315" s="536"/>
      <c r="F315" s="536"/>
      <c r="G315" s="536"/>
    </row>
    <row r="316" spans="1:7">
      <c r="A316" s="536"/>
      <c r="B316" s="536"/>
      <c r="C316" s="536"/>
      <c r="D316" s="536"/>
      <c r="E316" s="536"/>
      <c r="F316" s="536"/>
      <c r="G316" s="536"/>
    </row>
    <row r="317" spans="1:7">
      <c r="A317" s="536"/>
      <c r="B317" s="536"/>
      <c r="C317" s="536"/>
      <c r="D317" s="536"/>
      <c r="E317" s="536"/>
      <c r="F317" s="536"/>
      <c r="G317" s="536"/>
    </row>
    <row r="318" spans="1:7">
      <c r="A318" s="536"/>
      <c r="B318" s="536"/>
      <c r="C318" s="536"/>
      <c r="D318" s="536"/>
      <c r="E318" s="536"/>
      <c r="F318" s="536"/>
      <c r="G318" s="536"/>
    </row>
    <row r="319" spans="1:7">
      <c r="A319" s="536"/>
      <c r="B319" s="536"/>
      <c r="C319" s="536"/>
      <c r="D319" s="536"/>
      <c r="E319" s="536"/>
      <c r="F319" s="536"/>
      <c r="G319" s="536"/>
    </row>
    <row r="320" spans="1:7">
      <c r="A320" s="536"/>
      <c r="B320" s="536"/>
      <c r="C320" s="536"/>
      <c r="D320" s="536"/>
      <c r="E320" s="536"/>
      <c r="F320" s="536"/>
      <c r="G320" s="536"/>
    </row>
    <row r="321" spans="1:7">
      <c r="A321" s="536"/>
      <c r="B321" s="536"/>
      <c r="C321" s="536"/>
      <c r="D321" s="536"/>
      <c r="E321" s="536"/>
      <c r="F321" s="536"/>
      <c r="G321" s="536"/>
    </row>
    <row r="322" spans="1:7">
      <c r="A322" s="536"/>
      <c r="B322" s="536"/>
      <c r="C322" s="536"/>
      <c r="D322" s="536"/>
      <c r="E322" s="536"/>
      <c r="F322" s="536"/>
      <c r="G322" s="536"/>
    </row>
    <row r="323" spans="1:7">
      <c r="A323" s="536"/>
      <c r="B323" s="536"/>
      <c r="C323" s="536"/>
      <c r="D323" s="536"/>
      <c r="E323" s="536"/>
      <c r="F323" s="536"/>
      <c r="G323" s="536"/>
    </row>
    <row r="324" spans="1:7">
      <c r="A324" s="536"/>
      <c r="B324" s="536"/>
      <c r="C324" s="536"/>
      <c r="D324" s="536"/>
      <c r="E324" s="536"/>
      <c r="F324" s="536"/>
      <c r="G324" s="536"/>
    </row>
    <row r="325" spans="1:7">
      <c r="A325" s="536"/>
      <c r="B325" s="536"/>
      <c r="C325" s="536"/>
      <c r="D325" s="536"/>
      <c r="E325" s="536"/>
      <c r="F325" s="536"/>
      <c r="G325" s="536"/>
    </row>
    <row r="326" spans="1:7">
      <c r="A326" s="536"/>
      <c r="B326" s="536"/>
      <c r="C326" s="536"/>
      <c r="D326" s="536"/>
      <c r="E326" s="536"/>
      <c r="F326" s="536"/>
      <c r="G326" s="536"/>
    </row>
    <row r="327" spans="1:7">
      <c r="A327" s="536"/>
      <c r="B327" s="536"/>
      <c r="C327" s="536"/>
      <c r="D327" s="536"/>
      <c r="E327" s="536"/>
      <c r="F327" s="536"/>
      <c r="G327" s="536"/>
    </row>
    <row r="328" spans="1:7">
      <c r="A328" s="536"/>
      <c r="B328" s="536"/>
      <c r="C328" s="536"/>
      <c r="D328" s="536"/>
      <c r="E328" s="536"/>
      <c r="F328" s="536"/>
      <c r="G328" s="536"/>
    </row>
  </sheetData>
  <mergeCells count="5">
    <mergeCell ref="K9:M9"/>
    <mergeCell ref="A1:G1"/>
    <mergeCell ref="A3:G3"/>
    <mergeCell ref="A5:G5"/>
    <mergeCell ref="D9:G9"/>
  </mergeCells>
  <printOptions horizontalCentered="1"/>
  <pageMargins left="0.9" right="0.7" top="0.75" bottom="0.75" header="0" footer="0.25"/>
  <pageSetup scale="79" orientation="portrait" horizontalDpi="300" verticalDpi="300" r:id="rId1"/>
  <rowBreaks count="2" manualBreakCount="2">
    <brk id="9" max="6" man="1"/>
    <brk id="40"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2"/>
  <dimension ref="A1:U55"/>
  <sheetViews>
    <sheetView zoomScaleNormal="100" workbookViewId="0">
      <selection sqref="A1:O1"/>
    </sheetView>
  </sheetViews>
  <sheetFormatPr defaultColWidth="8.88671875" defaultRowHeight="15.75"/>
  <cols>
    <col min="1" max="1" width="23.21875" style="365" customWidth="1"/>
    <col min="2" max="2" width="3.5546875" style="365" customWidth="1"/>
    <col min="3" max="3" width="12.88671875" style="365" customWidth="1"/>
    <col min="4" max="4" width="1.88671875" style="365" customWidth="1"/>
    <col min="5" max="5" width="15.88671875" style="365" customWidth="1"/>
    <col min="6" max="6" width="1.44140625" style="365" customWidth="1"/>
    <col min="7" max="8" width="10.88671875" style="365" customWidth="1"/>
    <col min="9" max="9" width="3.88671875" style="368" customWidth="1"/>
    <col min="10" max="10" width="12.88671875" style="365" customWidth="1"/>
    <col min="11" max="11" width="3.109375" style="365" customWidth="1"/>
    <col min="12" max="12" width="15.88671875" style="365" customWidth="1"/>
    <col min="13" max="13" width="2.88671875" style="365" customWidth="1"/>
    <col min="14" max="15" width="10.88671875" style="365" customWidth="1"/>
    <col min="16" max="17" width="8.88671875" style="365"/>
    <col min="18" max="18" width="11.88671875" style="365" customWidth="1"/>
    <col min="19" max="19" width="11.109375" style="365" customWidth="1"/>
    <col min="20" max="20" width="12.33203125" style="365" customWidth="1"/>
    <col min="21" max="21" width="12.77734375" style="365" customWidth="1"/>
    <col min="22" max="16384" width="8.88671875" style="365"/>
  </cols>
  <sheetData>
    <row r="1" spans="1:20">
      <c r="A1" s="880" t="str">
        <f>+'Fly Sheet'!A15:H15</f>
        <v>Consolidated Disposal Services, Inc.</v>
      </c>
      <c r="B1" s="880"/>
      <c r="C1" s="880"/>
      <c r="D1" s="880"/>
      <c r="E1" s="880"/>
      <c r="F1" s="880"/>
      <c r="G1" s="880"/>
      <c r="H1" s="880"/>
      <c r="I1" s="880"/>
      <c r="J1" s="880"/>
      <c r="K1" s="880"/>
      <c r="L1" s="880"/>
      <c r="M1" s="880"/>
      <c r="N1" s="880"/>
      <c r="O1" s="880"/>
    </row>
    <row r="2" spans="1:20">
      <c r="A2" s="366"/>
      <c r="B2" s="367"/>
      <c r="C2" s="367"/>
      <c r="D2" s="367"/>
      <c r="E2" s="367"/>
      <c r="F2" s="367"/>
      <c r="G2" s="367"/>
    </row>
    <row r="3" spans="1:20">
      <c r="A3" s="881" t="s">
        <v>861</v>
      </c>
      <c r="B3" s="881"/>
      <c r="C3" s="881"/>
      <c r="D3" s="881"/>
      <c r="E3" s="881"/>
      <c r="F3" s="881"/>
      <c r="G3" s="881"/>
      <c r="H3" s="881"/>
      <c r="I3" s="881"/>
      <c r="J3" s="881"/>
      <c r="K3" s="881"/>
      <c r="L3" s="881"/>
      <c r="M3" s="881"/>
      <c r="N3" s="881"/>
      <c r="O3" s="881"/>
    </row>
    <row r="4" spans="1:20">
      <c r="A4" s="369"/>
      <c r="B4" s="369"/>
      <c r="C4" s="369"/>
      <c r="D4" s="369"/>
      <c r="E4" s="369"/>
      <c r="F4" s="369"/>
      <c r="G4" s="369"/>
    </row>
    <row r="5" spans="1:20">
      <c r="A5" s="880" t="str">
        <f>'WP-6 - Affiliated '!A5:G5</f>
        <v>In Support of Tariff 7 effective April 1, 2023</v>
      </c>
      <c r="B5" s="880"/>
      <c r="C5" s="880"/>
      <c r="D5" s="880"/>
      <c r="E5" s="880"/>
      <c r="F5" s="880"/>
      <c r="G5" s="880"/>
      <c r="H5" s="880"/>
      <c r="I5" s="880"/>
      <c r="J5" s="880"/>
      <c r="K5" s="880"/>
      <c r="L5" s="880"/>
      <c r="M5" s="880"/>
      <c r="N5" s="880"/>
      <c r="O5" s="880"/>
    </row>
    <row r="6" spans="1:20">
      <c r="I6" s="370"/>
    </row>
    <row r="7" spans="1:20">
      <c r="C7" s="883" t="s">
        <v>974</v>
      </c>
      <c r="D7" s="883"/>
      <c r="E7" s="883"/>
      <c r="F7" s="883"/>
      <c r="G7" s="883"/>
      <c r="H7" s="883"/>
      <c r="J7" s="883" t="s">
        <v>768</v>
      </c>
      <c r="K7" s="883"/>
      <c r="L7" s="883"/>
      <c r="M7" s="883"/>
      <c r="N7" s="883"/>
      <c r="O7" s="883"/>
      <c r="Q7" s="365" t="s">
        <v>1077</v>
      </c>
    </row>
    <row r="8" spans="1:20">
      <c r="A8" s="371"/>
      <c r="B8" s="371"/>
      <c r="C8" s="372" t="s">
        <v>146</v>
      </c>
      <c r="D8" s="372"/>
      <c r="E8" s="373"/>
      <c r="F8" s="374"/>
      <c r="G8" s="884" t="s">
        <v>874</v>
      </c>
      <c r="H8" s="884"/>
      <c r="J8" s="372" t="s">
        <v>146</v>
      </c>
      <c r="K8" s="372"/>
      <c r="L8" s="373"/>
      <c r="M8" s="374"/>
      <c r="N8" s="884" t="s">
        <v>874</v>
      </c>
      <c r="O8" s="884"/>
    </row>
    <row r="9" spans="1:20">
      <c r="A9" s="371"/>
      <c r="B9" s="371"/>
      <c r="C9" s="372" t="s">
        <v>24</v>
      </c>
      <c r="D9" s="372"/>
      <c r="E9" s="375" t="s">
        <v>24</v>
      </c>
      <c r="F9" s="374"/>
      <c r="G9" s="884" t="s">
        <v>125</v>
      </c>
      <c r="H9" s="884"/>
      <c r="I9" s="376"/>
      <c r="J9" s="372" t="s">
        <v>24</v>
      </c>
      <c r="K9" s="372"/>
      <c r="L9" s="375" t="s">
        <v>24</v>
      </c>
      <c r="M9" s="374"/>
      <c r="N9" s="884" t="s">
        <v>125</v>
      </c>
      <c r="O9" s="884"/>
      <c r="P9" s="365" t="s">
        <v>1078</v>
      </c>
    </row>
    <row r="10" spans="1:20">
      <c r="A10" s="371"/>
      <c r="B10" s="371"/>
      <c r="C10" s="377" t="s">
        <v>88</v>
      </c>
      <c r="D10" s="377"/>
      <c r="E10" s="378" t="s">
        <v>126</v>
      </c>
      <c r="F10" s="379"/>
      <c r="G10" s="882" t="s">
        <v>208</v>
      </c>
      <c r="H10" s="882"/>
      <c r="I10" s="376"/>
      <c r="J10" s="377" t="s">
        <v>88</v>
      </c>
      <c r="K10" s="377"/>
      <c r="L10" s="378" t="s">
        <v>126</v>
      </c>
      <c r="M10" s="379"/>
      <c r="N10" s="882" t="s">
        <v>208</v>
      </c>
      <c r="O10" s="882"/>
      <c r="P10" s="365" t="s">
        <v>1079</v>
      </c>
      <c r="Q10" s="365" t="s">
        <v>1080</v>
      </c>
      <c r="R10" s="365" t="s">
        <v>1081</v>
      </c>
      <c r="S10" s="365" t="s">
        <v>1082</v>
      </c>
    </row>
    <row r="11" spans="1:20" ht="15" customHeight="1">
      <c r="A11" s="380">
        <v>44197</v>
      </c>
      <c r="B11" s="371"/>
      <c r="C11" s="381">
        <v>11013.12</v>
      </c>
      <c r="D11" s="371"/>
      <c r="E11" s="650">
        <v>27280.959999999999</v>
      </c>
      <c r="F11" s="371"/>
      <c r="G11" s="382">
        <f>+E11/C11</f>
        <v>2.4771327289632725</v>
      </c>
      <c r="H11" s="365" t="s">
        <v>127</v>
      </c>
      <c r="I11" s="370"/>
      <c r="J11" s="651">
        <v>0</v>
      </c>
      <c r="K11" s="371"/>
      <c r="L11" s="652">
        <v>0</v>
      </c>
      <c r="M11" s="371"/>
      <c r="N11" s="382"/>
      <c r="P11" s="389">
        <f>27605.56-E11</f>
        <v>324.60000000000218</v>
      </c>
      <c r="Q11" s="365">
        <f>126.11+194.16+68.3</f>
        <v>388.57</v>
      </c>
      <c r="T11" s="389">
        <f>+R11+Q11+P11+E11</f>
        <v>27994.13</v>
      </c>
    </row>
    <row r="12" spans="1:20" ht="15" customHeight="1">
      <c r="A12" s="380">
        <v>44228</v>
      </c>
      <c r="B12" s="371"/>
      <c r="C12" s="381">
        <v>20606.77</v>
      </c>
      <c r="D12" s="371"/>
      <c r="E12" s="650">
        <v>58004.25</v>
      </c>
      <c r="F12" s="371"/>
      <c r="G12" s="382">
        <f t="shared" ref="G12:G22" si="0">+E12/C12</f>
        <v>2.8148152281992762</v>
      </c>
      <c r="H12" s="365" t="s">
        <v>127</v>
      </c>
      <c r="I12" s="370"/>
      <c r="J12" s="651">
        <v>0</v>
      </c>
      <c r="K12" s="371"/>
      <c r="L12" s="652">
        <v>0</v>
      </c>
      <c r="M12" s="371"/>
      <c r="N12" s="382"/>
      <c r="P12" s="389">
        <f>58312.63-E12</f>
        <v>308.37999999999738</v>
      </c>
      <c r="Q12" s="365">
        <f>80.07+136.58+192.16+1.89</f>
        <v>410.7</v>
      </c>
      <c r="R12" s="365">
        <v>150.58000000000001</v>
      </c>
      <c r="T12" s="389">
        <f>+R12+Q12+P12+E12</f>
        <v>58873.909999999996</v>
      </c>
    </row>
    <row r="13" spans="1:20" ht="15" customHeight="1">
      <c r="A13" s="380">
        <v>44256</v>
      </c>
      <c r="B13" s="371"/>
      <c r="C13" s="381">
        <v>18421.919999999998</v>
      </c>
      <c r="D13" s="371"/>
      <c r="E13" s="650">
        <v>53872.060000000005</v>
      </c>
      <c r="F13" s="371"/>
      <c r="G13" s="382">
        <f t="shared" si="0"/>
        <v>2.924345562243241</v>
      </c>
      <c r="H13" s="365" t="s">
        <v>127</v>
      </c>
      <c r="I13" s="383"/>
      <c r="J13" s="651">
        <v>2999</v>
      </c>
      <c r="K13" s="371"/>
      <c r="L13" s="652">
        <v>8405.2999999999993</v>
      </c>
      <c r="M13" s="371"/>
      <c r="N13" s="382">
        <f>+L13/J13</f>
        <v>2.8027009003001</v>
      </c>
      <c r="O13" s="365" t="s">
        <v>127</v>
      </c>
      <c r="P13" s="389">
        <f>62277.36-E13-L13</f>
        <v>0</v>
      </c>
      <c r="Q13" s="365">
        <f>118.1+154.13</f>
        <v>272.23</v>
      </c>
      <c r="S13" s="365">
        <v>5761.88</v>
      </c>
      <c r="T13" s="389">
        <f t="shared" ref="T13:T23" si="1">+S13+R13+Q13+P13+L13+E13</f>
        <v>68311.47</v>
      </c>
    </row>
    <row r="14" spans="1:20" ht="15" customHeight="1">
      <c r="A14" s="380">
        <v>44287</v>
      </c>
      <c r="B14" s="371"/>
      <c r="C14" s="381">
        <v>21022.35</v>
      </c>
      <c r="D14" s="371"/>
      <c r="E14" s="650">
        <v>62204.469999999994</v>
      </c>
      <c r="F14" s="371"/>
      <c r="G14" s="382">
        <f t="shared" si="0"/>
        <v>2.9589684312172522</v>
      </c>
      <c r="H14" s="365" t="s">
        <v>127</v>
      </c>
      <c r="I14" s="383"/>
      <c r="J14" s="651">
        <v>0</v>
      </c>
      <c r="K14" s="371"/>
      <c r="L14" s="652">
        <v>0</v>
      </c>
      <c r="M14" s="371"/>
      <c r="N14" s="382"/>
      <c r="P14" s="389">
        <f>62204.47-E14</f>
        <v>0</v>
      </c>
      <c r="Q14" s="365">
        <f>162.14+170.14</f>
        <v>332.28</v>
      </c>
      <c r="T14" s="389">
        <f t="shared" si="1"/>
        <v>62536.749999999993</v>
      </c>
    </row>
    <row r="15" spans="1:20" ht="15" customHeight="1">
      <c r="A15" s="380">
        <v>44317</v>
      </c>
      <c r="B15" s="371"/>
      <c r="C15" s="381">
        <v>20698.61</v>
      </c>
      <c r="D15" s="371"/>
      <c r="E15" s="650">
        <v>65165.149999999994</v>
      </c>
      <c r="F15" s="371"/>
      <c r="G15" s="382">
        <f t="shared" si="0"/>
        <v>3.1482862858906948</v>
      </c>
      <c r="H15" s="365" t="s">
        <v>127</v>
      </c>
      <c r="I15" s="383"/>
      <c r="J15" s="651">
        <v>0</v>
      </c>
      <c r="K15" s="371"/>
      <c r="L15" s="652">
        <v>0</v>
      </c>
      <c r="M15" s="371"/>
      <c r="N15" s="382"/>
      <c r="P15" s="389">
        <f>65165.15-E15</f>
        <v>0</v>
      </c>
      <c r="Q15" s="365">
        <f>214.63+214.24+120.11</f>
        <v>548.98</v>
      </c>
      <c r="S15" s="365">
        <f>2329.76+450.33-1257.44</f>
        <v>1522.65</v>
      </c>
      <c r="T15" s="389">
        <f t="shared" si="1"/>
        <v>67236.78</v>
      </c>
    </row>
    <row r="16" spans="1:20" ht="15" customHeight="1">
      <c r="A16" s="380">
        <v>44348</v>
      </c>
      <c r="B16" s="371"/>
      <c r="C16" s="381">
        <v>9836.6299999999992</v>
      </c>
      <c r="D16" s="371"/>
      <c r="E16" s="650">
        <v>32430.95</v>
      </c>
      <c r="F16" s="371"/>
      <c r="G16" s="382">
        <f t="shared" si="0"/>
        <v>3.2969573929282694</v>
      </c>
      <c r="H16" s="365" t="s">
        <v>127</v>
      </c>
      <c r="I16" s="383"/>
      <c r="J16" s="651">
        <v>1699</v>
      </c>
      <c r="K16" s="371"/>
      <c r="L16" s="652">
        <v>5282.19</v>
      </c>
      <c r="M16" s="371"/>
      <c r="N16" s="382">
        <f t="shared" ref="N16:N21" si="2">+L16/J16</f>
        <v>3.1089994114184814</v>
      </c>
      <c r="O16" s="365" t="s">
        <v>127</v>
      </c>
      <c r="P16" s="389">
        <f>37713.14-E16-L16</f>
        <v>0</v>
      </c>
      <c r="Q16" s="365">
        <v>200.18</v>
      </c>
      <c r="S16" s="365">
        <f>6215.32+634.79+48.02+47.46+653.19+1978.71+92.82+25.82+241.95+57.67-556.9+220.25+1781.03</f>
        <v>11440.130000000003</v>
      </c>
      <c r="T16" s="389">
        <f t="shared" si="1"/>
        <v>49353.450000000004</v>
      </c>
    </row>
    <row r="17" spans="1:21" ht="15" customHeight="1">
      <c r="A17" s="380">
        <v>44378</v>
      </c>
      <c r="B17" s="371"/>
      <c r="C17" s="381">
        <v>21052.61</v>
      </c>
      <c r="D17" s="371"/>
      <c r="E17" s="650">
        <v>69679.8</v>
      </c>
      <c r="F17" s="371"/>
      <c r="G17" s="382">
        <f t="shared" si="0"/>
        <v>3.3097938925387398</v>
      </c>
      <c r="H17" s="365" t="s">
        <v>127</v>
      </c>
      <c r="I17" s="383"/>
      <c r="J17" s="651">
        <v>0</v>
      </c>
      <c r="K17" s="371"/>
      <c r="L17" s="652">
        <v>0</v>
      </c>
      <c r="M17" s="371"/>
      <c r="N17" s="382"/>
      <c r="P17" s="389">
        <f>69679.8-E17</f>
        <v>0</v>
      </c>
      <c r="Q17" s="365">
        <f>92.51+76.07</f>
        <v>168.57999999999998</v>
      </c>
      <c r="S17" s="365">
        <v>29.53</v>
      </c>
      <c r="T17" s="389">
        <f t="shared" si="1"/>
        <v>69877.91</v>
      </c>
    </row>
    <row r="18" spans="1:21" ht="15" customHeight="1">
      <c r="A18" s="380">
        <v>44409</v>
      </c>
      <c r="B18" s="371"/>
      <c r="C18" s="381">
        <v>21428.71</v>
      </c>
      <c r="D18" s="371"/>
      <c r="E18" s="650">
        <v>70812.56</v>
      </c>
      <c r="F18" s="371"/>
      <c r="G18" s="382">
        <f t="shared" si="0"/>
        <v>3.3045647638145272</v>
      </c>
      <c r="H18" s="365" t="s">
        <v>127</v>
      </c>
      <c r="I18" s="383"/>
      <c r="J18" s="651">
        <v>0</v>
      </c>
      <c r="K18" s="371"/>
      <c r="L18" s="652">
        <v>0</v>
      </c>
      <c r="M18" s="371"/>
      <c r="N18" s="382"/>
      <c r="P18" s="389">
        <f>70812.56-E18</f>
        <v>0</v>
      </c>
      <c r="Q18" s="365">
        <v>194.76</v>
      </c>
      <c r="S18" s="365">
        <f>20+179.68+63.93+192.24+300.12+32.52+26.02+346.27+6215.32</f>
        <v>7376.0999999999995</v>
      </c>
      <c r="T18" s="389">
        <f t="shared" si="1"/>
        <v>78383.42</v>
      </c>
    </row>
    <row r="19" spans="1:21" ht="15" customHeight="1">
      <c r="A19" s="380">
        <v>44440</v>
      </c>
      <c r="B19" s="371"/>
      <c r="C19" s="381">
        <v>19901.990000000002</v>
      </c>
      <c r="D19" s="371"/>
      <c r="E19" s="650">
        <v>65914.399999999994</v>
      </c>
      <c r="F19" s="371"/>
      <c r="G19" s="382">
        <f t="shared" si="0"/>
        <v>3.3119502120139739</v>
      </c>
      <c r="H19" s="365" t="s">
        <v>127</v>
      </c>
      <c r="I19" s="383"/>
      <c r="J19" s="651">
        <v>1101</v>
      </c>
      <c r="K19" s="371"/>
      <c r="L19" s="652">
        <v>3501.18</v>
      </c>
      <c r="M19" s="371"/>
      <c r="N19" s="382">
        <f t="shared" si="2"/>
        <v>3.1799999999999997</v>
      </c>
      <c r="O19" s="365" t="s">
        <v>127</v>
      </c>
      <c r="P19" s="389">
        <f>69415.58-E19-L19</f>
        <v>7.73070496506989E-12</v>
      </c>
      <c r="Q19" s="365">
        <f>142.12+240.2</f>
        <v>382.32</v>
      </c>
      <c r="S19" s="365">
        <f>275.07+1353.94+302.81+10.04+486.5+300.41+255.6</f>
        <v>2984.3699999999994</v>
      </c>
      <c r="T19" s="389">
        <f t="shared" si="1"/>
        <v>72782.27</v>
      </c>
    </row>
    <row r="20" spans="1:21" ht="15" customHeight="1">
      <c r="A20" s="380">
        <v>44470</v>
      </c>
      <c r="B20" s="371"/>
      <c r="C20" s="384">
        <v>11008.71</v>
      </c>
      <c r="D20" s="385"/>
      <c r="E20" s="650">
        <v>39862.959999999999</v>
      </c>
      <c r="F20" s="371"/>
      <c r="G20" s="382">
        <f t="shared" si="0"/>
        <v>3.6210382506215537</v>
      </c>
      <c r="H20" s="365" t="s">
        <v>127</v>
      </c>
      <c r="I20" s="383"/>
      <c r="J20" s="651">
        <v>0</v>
      </c>
      <c r="K20" s="385"/>
      <c r="L20" s="652">
        <v>0</v>
      </c>
      <c r="M20" s="371"/>
      <c r="N20" s="382"/>
      <c r="P20" s="389">
        <f>39862.96-E20</f>
        <v>0</v>
      </c>
      <c r="Q20" s="365">
        <f>371+265.2</f>
        <v>636.20000000000005</v>
      </c>
      <c r="S20" s="365">
        <f>17.5+175.74+135.29+36.42+8255.32+31.14+950.35</f>
        <v>9601.76</v>
      </c>
      <c r="T20" s="389">
        <f t="shared" si="1"/>
        <v>50100.92</v>
      </c>
    </row>
    <row r="21" spans="1:21" ht="15" customHeight="1">
      <c r="A21" s="380">
        <v>44501</v>
      </c>
      <c r="B21" s="371"/>
      <c r="C21" s="384">
        <v>32391.69</v>
      </c>
      <c r="D21" s="385"/>
      <c r="E21" s="650">
        <v>115526.5</v>
      </c>
      <c r="F21" s="371"/>
      <c r="G21" s="382">
        <f t="shared" si="0"/>
        <v>3.5665474694281158</v>
      </c>
      <c r="H21" s="365" t="s">
        <v>127</v>
      </c>
      <c r="I21" s="383"/>
      <c r="J21" s="651">
        <v>1299</v>
      </c>
      <c r="K21" s="385"/>
      <c r="L21" s="652">
        <v>5037.5200000000004</v>
      </c>
      <c r="M21" s="371"/>
      <c r="N21" s="382">
        <f t="shared" si="2"/>
        <v>3.8779984603541191</v>
      </c>
      <c r="O21" s="365" t="s">
        <v>127</v>
      </c>
      <c r="P21" s="389">
        <f>121514.52-L21-E21</f>
        <v>950.5</v>
      </c>
      <c r="Q21" s="365">
        <v>249.03</v>
      </c>
      <c r="S21" s="365">
        <f>313.49+201.76+28.05+6824.72</f>
        <v>7368.02</v>
      </c>
      <c r="T21" s="389">
        <f t="shared" si="1"/>
        <v>129131.57</v>
      </c>
    </row>
    <row r="22" spans="1:21" ht="15" customHeight="1">
      <c r="A22" s="380">
        <v>44531</v>
      </c>
      <c r="B22" s="371"/>
      <c r="C22" s="386">
        <v>11321.15</v>
      </c>
      <c r="D22" s="385"/>
      <c r="E22" s="650">
        <v>40874.740000000005</v>
      </c>
      <c r="F22" s="371"/>
      <c r="G22" s="382">
        <f t="shared" si="0"/>
        <v>3.6104759675474671</v>
      </c>
      <c r="H22" s="365" t="s">
        <v>127</v>
      </c>
      <c r="I22" s="387"/>
      <c r="J22" s="653">
        <v>0</v>
      </c>
      <c r="K22" s="385"/>
      <c r="L22" s="652">
        <v>0</v>
      </c>
      <c r="M22" s="371"/>
      <c r="N22" s="382"/>
      <c r="P22" s="389">
        <f>41174.74-E22</f>
        <v>299.99999999999272</v>
      </c>
      <c r="Q22" s="365">
        <f>248.32+334.02+168.72</f>
        <v>751.06</v>
      </c>
      <c r="R22" s="365">
        <v>358.67</v>
      </c>
      <c r="S22" s="365">
        <f>625.7-35.54+16.49+178.3+346.27+110.17+163.23+176.63+228.87</f>
        <v>1810.12</v>
      </c>
      <c r="T22" s="389">
        <f t="shared" si="1"/>
        <v>44094.59</v>
      </c>
    </row>
    <row r="23" spans="1:21" ht="16.5" thickBot="1">
      <c r="C23" s="388">
        <f>SUM(C11:C22)</f>
        <v>218704.25999999998</v>
      </c>
      <c r="E23" s="389">
        <f>SUM(E11:E22)</f>
        <v>701628.79999999993</v>
      </c>
      <c r="I23" s="390"/>
      <c r="J23" s="663">
        <f>SUM(J11:J22)</f>
        <v>7098</v>
      </c>
      <c r="L23" s="389">
        <f>SUM(L11:L22)</f>
        <v>22226.19</v>
      </c>
      <c r="P23" s="389">
        <f>SUM(P11:P22)</f>
        <v>1883.48</v>
      </c>
      <c r="Q23" s="389">
        <f t="shared" ref="Q23:S23" si="3">SUM(Q11:Q22)</f>
        <v>4534.8900000000003</v>
      </c>
      <c r="R23" s="389">
        <f t="shared" si="3"/>
        <v>509.25</v>
      </c>
      <c r="S23" s="389">
        <f t="shared" si="3"/>
        <v>47894.560000000005</v>
      </c>
      <c r="T23" s="389">
        <f t="shared" si="1"/>
        <v>778677.16999999993</v>
      </c>
      <c r="U23" s="365" t="s">
        <v>1083</v>
      </c>
    </row>
    <row r="24" spans="1:21" ht="16.5" thickTop="1">
      <c r="C24" s="391"/>
      <c r="E24" s="389"/>
      <c r="I24" s="390"/>
      <c r="J24" s="389"/>
    </row>
    <row r="25" spans="1:21">
      <c r="C25" s="372" t="s">
        <v>234</v>
      </c>
      <c r="E25" s="389"/>
      <c r="G25" s="884" t="s">
        <v>971</v>
      </c>
      <c r="H25" s="884"/>
      <c r="I25" s="390"/>
      <c r="J25" s="372" t="s">
        <v>234</v>
      </c>
      <c r="N25" s="884" t="s">
        <v>971</v>
      </c>
      <c r="O25" s="884"/>
    </row>
    <row r="26" spans="1:21">
      <c r="C26" s="372" t="s">
        <v>24</v>
      </c>
      <c r="E26" s="375" t="s">
        <v>24</v>
      </c>
      <c r="G26" s="884" t="s">
        <v>125</v>
      </c>
      <c r="H26" s="884"/>
      <c r="I26" s="390"/>
      <c r="J26" s="372" t="s">
        <v>24</v>
      </c>
      <c r="L26" s="375" t="s">
        <v>24</v>
      </c>
      <c r="N26" s="884" t="s">
        <v>125</v>
      </c>
      <c r="O26" s="884"/>
    </row>
    <row r="27" spans="1:21">
      <c r="C27" s="377" t="s">
        <v>88</v>
      </c>
      <c r="E27" s="378" t="s">
        <v>126</v>
      </c>
      <c r="G27" s="882" t="s">
        <v>208</v>
      </c>
      <c r="H27" s="882"/>
      <c r="I27" s="390"/>
      <c r="J27" s="377" t="s">
        <v>88</v>
      </c>
      <c r="L27" s="378" t="s">
        <v>126</v>
      </c>
      <c r="N27" s="882" t="s">
        <v>208</v>
      </c>
      <c r="O27" s="882"/>
      <c r="P27" s="735" t="s">
        <v>1078</v>
      </c>
      <c r="R27" s="365" t="s">
        <v>1084</v>
      </c>
    </row>
    <row r="28" spans="1:21">
      <c r="A28" s="380">
        <v>44562</v>
      </c>
      <c r="C28" s="649">
        <v>20822.244999999999</v>
      </c>
      <c r="E28" s="389">
        <v>81141.210000000006</v>
      </c>
      <c r="G28" s="382">
        <f>+E28/C28</f>
        <v>3.8968521405833045</v>
      </c>
      <c r="H28" s="365" t="s">
        <v>127</v>
      </c>
      <c r="I28" s="390"/>
      <c r="J28" s="389">
        <v>0</v>
      </c>
      <c r="L28" s="389">
        <v>0</v>
      </c>
      <c r="N28" s="382"/>
      <c r="P28" s="365">
        <v>600</v>
      </c>
      <c r="R28" s="389">
        <f t="shared" ref="R28:R39" si="4">+E28+L28+P28</f>
        <v>81741.210000000006</v>
      </c>
      <c r="S28" s="365">
        <v>81741.210000000006</v>
      </c>
    </row>
    <row r="29" spans="1:21">
      <c r="A29" s="380">
        <v>44593</v>
      </c>
      <c r="C29" s="649">
        <v>20653.866000000002</v>
      </c>
      <c r="E29" s="389">
        <v>80109.39</v>
      </c>
      <c r="G29" s="382">
        <f t="shared" ref="G29:G39" si="5">+E29/C29</f>
        <v>3.8786632003906676</v>
      </c>
      <c r="H29" s="365" t="s">
        <v>127</v>
      </c>
      <c r="I29" s="390"/>
      <c r="J29" s="389">
        <v>4083</v>
      </c>
      <c r="L29" s="389">
        <v>13780.13</v>
      </c>
      <c r="N29" s="382">
        <f t="shared" ref="N29:N38" si="6">+L29/J29</f>
        <v>3.375001224589762</v>
      </c>
      <c r="O29" s="365" t="s">
        <v>127</v>
      </c>
      <c r="P29" s="365">
        <v>570</v>
      </c>
      <c r="R29" s="389">
        <f t="shared" si="4"/>
        <v>94459.520000000004</v>
      </c>
      <c r="S29" s="365">
        <v>94459.520000000004</v>
      </c>
    </row>
    <row r="30" spans="1:21">
      <c r="A30" s="380">
        <v>44621</v>
      </c>
      <c r="C30" s="649">
        <v>11654.121999999999</v>
      </c>
      <c r="E30" s="389">
        <v>56476.800000000003</v>
      </c>
      <c r="G30" s="382">
        <f t="shared" si="5"/>
        <v>4.8460793528675952</v>
      </c>
      <c r="H30" s="365" t="s">
        <v>127</v>
      </c>
      <c r="I30" s="390"/>
      <c r="J30" s="389">
        <v>0</v>
      </c>
      <c r="L30" s="389">
        <v>0</v>
      </c>
      <c r="N30" s="382"/>
      <c r="R30" s="389">
        <f t="shared" si="4"/>
        <v>56476.800000000003</v>
      </c>
      <c r="S30" s="365">
        <v>56476.800000000003</v>
      </c>
    </row>
    <row r="31" spans="1:21">
      <c r="A31" s="380">
        <v>44652</v>
      </c>
      <c r="C31" s="649">
        <v>20824.030999999999</v>
      </c>
      <c r="E31" s="389">
        <v>104417.18000000001</v>
      </c>
      <c r="G31" s="382">
        <f t="shared" si="5"/>
        <v>5.0142635688546573</v>
      </c>
      <c r="H31" s="365" t="s">
        <v>127</v>
      </c>
      <c r="I31" s="390"/>
      <c r="J31" s="389">
        <v>0</v>
      </c>
      <c r="L31" s="389">
        <v>0</v>
      </c>
      <c r="N31" s="382"/>
      <c r="R31" s="389">
        <f t="shared" si="4"/>
        <v>104417.18000000001</v>
      </c>
      <c r="S31" s="365">
        <v>104417.18</v>
      </c>
    </row>
    <row r="32" spans="1:21">
      <c r="A32" s="380">
        <v>44682</v>
      </c>
      <c r="C32" s="649">
        <v>20667.558000000001</v>
      </c>
      <c r="E32" s="389">
        <v>107969.98</v>
      </c>
      <c r="G32" s="382">
        <f t="shared" si="5"/>
        <v>5.2241285593585847</v>
      </c>
      <c r="H32" s="365" t="s">
        <v>127</v>
      </c>
      <c r="I32" s="390"/>
      <c r="J32" s="389">
        <v>0</v>
      </c>
      <c r="L32" s="389">
        <v>0</v>
      </c>
      <c r="N32" s="382"/>
      <c r="R32" s="389">
        <f t="shared" si="4"/>
        <v>107969.98</v>
      </c>
      <c r="S32" s="365">
        <v>107969.98</v>
      </c>
    </row>
    <row r="33" spans="1:19">
      <c r="A33" s="380">
        <v>44713</v>
      </c>
      <c r="C33" s="649">
        <v>20967.324000000001</v>
      </c>
      <c r="E33" s="389">
        <v>127411.5</v>
      </c>
      <c r="G33" s="382">
        <f t="shared" si="5"/>
        <v>6.0766695835863462</v>
      </c>
      <c r="H33" s="365" t="s">
        <v>127</v>
      </c>
      <c r="I33" s="390"/>
      <c r="J33" s="389">
        <v>0</v>
      </c>
      <c r="L33" s="389">
        <v>0</v>
      </c>
      <c r="N33" s="382"/>
      <c r="R33" s="389">
        <f t="shared" si="4"/>
        <v>127411.5</v>
      </c>
      <c r="S33" s="365">
        <v>127411.5</v>
      </c>
    </row>
    <row r="34" spans="1:19">
      <c r="A34" s="380">
        <v>44743</v>
      </c>
      <c r="C34" s="649">
        <v>11207.03</v>
      </c>
      <c r="E34" s="389">
        <v>64288.95</v>
      </c>
      <c r="G34" s="382">
        <f t="shared" si="5"/>
        <v>5.7364841532502364</v>
      </c>
      <c r="H34" s="365" t="s">
        <v>127</v>
      </c>
      <c r="I34" s="390"/>
      <c r="J34" s="389">
        <v>0</v>
      </c>
      <c r="L34" s="389">
        <v>0</v>
      </c>
      <c r="N34" s="382"/>
      <c r="R34" s="389">
        <f t="shared" si="4"/>
        <v>64288.95</v>
      </c>
      <c r="S34" s="365">
        <v>64288.95</v>
      </c>
    </row>
    <row r="35" spans="1:19">
      <c r="A35" s="380">
        <v>44774</v>
      </c>
      <c r="C35" s="649">
        <v>31356.36</v>
      </c>
      <c r="E35" s="389">
        <v>147773.47999999998</v>
      </c>
      <c r="G35" s="382">
        <f t="shared" si="5"/>
        <v>4.7127115519786091</v>
      </c>
      <c r="H35" s="365" t="s">
        <v>127</v>
      </c>
      <c r="I35" s="390"/>
      <c r="J35" s="389">
        <v>0</v>
      </c>
      <c r="L35" s="389">
        <v>0</v>
      </c>
      <c r="N35" s="382"/>
      <c r="R35" s="389">
        <f t="shared" si="4"/>
        <v>147773.47999999998</v>
      </c>
      <c r="S35" s="365">
        <v>147773.48000000001</v>
      </c>
    </row>
    <row r="36" spans="1:19">
      <c r="A36" s="380">
        <v>44805</v>
      </c>
      <c r="C36" s="649">
        <v>11593.144</v>
      </c>
      <c r="E36" s="389">
        <v>50764.100000000006</v>
      </c>
      <c r="G36" s="382">
        <f t="shared" si="5"/>
        <v>4.3788035411274118</v>
      </c>
      <c r="H36" s="365" t="s">
        <v>127</v>
      </c>
      <c r="I36" s="390"/>
      <c r="J36" s="389">
        <v>0</v>
      </c>
      <c r="L36" s="389">
        <v>0</v>
      </c>
      <c r="N36" s="382"/>
      <c r="R36" s="389">
        <f t="shared" si="4"/>
        <v>50764.100000000006</v>
      </c>
      <c r="S36" s="365">
        <v>50764.1</v>
      </c>
    </row>
    <row r="37" spans="1:19">
      <c r="A37" s="380">
        <v>44835</v>
      </c>
      <c r="C37" s="649">
        <v>21119.05</v>
      </c>
      <c r="E37" s="389">
        <v>103702.37</v>
      </c>
      <c r="G37" s="382">
        <f t="shared" si="5"/>
        <v>4.9103709683910974</v>
      </c>
      <c r="H37" s="365" t="s">
        <v>127</v>
      </c>
      <c r="I37" s="390"/>
      <c r="J37" s="389">
        <v>0</v>
      </c>
      <c r="L37" s="389">
        <v>0</v>
      </c>
      <c r="N37" s="382"/>
      <c r="P37" s="365">
        <v>300</v>
      </c>
      <c r="R37" s="389">
        <f t="shared" si="4"/>
        <v>104002.37</v>
      </c>
      <c r="S37" s="365">
        <v>104002.37</v>
      </c>
    </row>
    <row r="38" spans="1:19">
      <c r="A38" s="380">
        <v>44866</v>
      </c>
      <c r="C38" s="649">
        <v>17373.740000000002</v>
      </c>
      <c r="E38" s="389">
        <v>90537.14</v>
      </c>
      <c r="G38" s="382">
        <f t="shared" si="5"/>
        <v>5.211148549477544</v>
      </c>
      <c r="H38" s="365" t="s">
        <v>127</v>
      </c>
      <c r="I38" s="390"/>
      <c r="J38" s="389">
        <v>3700</v>
      </c>
      <c r="L38" s="389">
        <v>15913.7</v>
      </c>
      <c r="N38" s="382">
        <f t="shared" si="6"/>
        <v>4.3010000000000002</v>
      </c>
      <c r="O38" s="365" t="s">
        <v>127</v>
      </c>
      <c r="P38" s="365">
        <v>840</v>
      </c>
      <c r="R38" s="389">
        <f t="shared" si="4"/>
        <v>107290.84</v>
      </c>
      <c r="S38" s="365">
        <v>107290.84</v>
      </c>
    </row>
    <row r="39" spans="1:19">
      <c r="A39" s="380">
        <v>44896</v>
      </c>
      <c r="C39" s="649">
        <v>21386.74</v>
      </c>
      <c r="E39" s="389">
        <v>84971.47</v>
      </c>
      <c r="G39" s="382">
        <f t="shared" si="5"/>
        <v>3.9730912705723265</v>
      </c>
      <c r="H39" s="365" t="s">
        <v>127</v>
      </c>
      <c r="I39" s="390"/>
      <c r="J39" s="654">
        <v>0</v>
      </c>
      <c r="L39" s="389">
        <v>0</v>
      </c>
      <c r="N39" s="382"/>
      <c r="P39" s="365">
        <v>1665</v>
      </c>
      <c r="R39" s="389">
        <f t="shared" si="4"/>
        <v>86636.47</v>
      </c>
      <c r="S39" s="365">
        <v>86636.47</v>
      </c>
    </row>
    <row r="40" spans="1:19" ht="16.5" thickBot="1">
      <c r="A40" s="380"/>
      <c r="C40" s="388">
        <f>SUM(C28:C39)</f>
        <v>229625.21</v>
      </c>
      <c r="E40" s="389">
        <f>SUM(E28:E39)</f>
        <v>1099563.57</v>
      </c>
      <c r="G40" s="382"/>
      <c r="I40" s="390"/>
      <c r="J40" s="389">
        <f>SUM(J28:J39)</f>
        <v>7783</v>
      </c>
      <c r="N40" s="382"/>
    </row>
    <row r="41" spans="1:19" ht="17.25" thickTop="1" thickBot="1">
      <c r="C41" s="391"/>
      <c r="E41" s="389"/>
      <c r="I41" s="390"/>
      <c r="J41" s="389"/>
    </row>
    <row r="42" spans="1:19" ht="16.5" thickBot="1">
      <c r="A42" s="640"/>
      <c r="B42" s="641"/>
      <c r="C42" s="662" t="s">
        <v>974</v>
      </c>
      <c r="D42" s="641"/>
      <c r="E42" s="661" t="s">
        <v>975</v>
      </c>
      <c r="F42" s="641"/>
      <c r="G42" s="641"/>
      <c r="H42" s="642"/>
      <c r="I42" s="390"/>
      <c r="J42" s="389"/>
    </row>
    <row r="43" spans="1:19" ht="16.5" thickBot="1">
      <c r="A43" s="643" t="s">
        <v>401</v>
      </c>
      <c r="C43" s="665">
        <f>+C23</f>
        <v>218704.25999999998</v>
      </c>
      <c r="E43" s="664">
        <f>+J23</f>
        <v>7098</v>
      </c>
      <c r="G43" s="659">
        <f>AVERAGE(G28:G39)</f>
        <v>4.8216055367031982</v>
      </c>
      <c r="H43" s="660" t="s">
        <v>972</v>
      </c>
      <c r="I43" s="390"/>
    </row>
    <row r="44" spans="1:19">
      <c r="A44" s="643"/>
      <c r="C44" s="391"/>
      <c r="E44" s="389"/>
      <c r="G44" s="659">
        <f>AVERAGE(N29:N39)</f>
        <v>3.8380006122948811</v>
      </c>
      <c r="H44" s="660" t="s">
        <v>973</v>
      </c>
      <c r="I44" s="390"/>
    </row>
    <row r="45" spans="1:19">
      <c r="A45" s="646" t="s">
        <v>128</v>
      </c>
      <c r="B45" s="371"/>
      <c r="C45" s="371"/>
      <c r="D45" s="371"/>
      <c r="E45" s="655">
        <f>(C43*G43)+(E43*G44)</f>
        <v>1081747.7992626447</v>
      </c>
      <c r="F45" s="371"/>
      <c r="G45" s="656"/>
      <c r="H45" s="657"/>
      <c r="J45" s="368"/>
      <c r="K45" s="368"/>
      <c r="L45" s="368"/>
    </row>
    <row r="46" spans="1:19">
      <c r="A46" s="646" t="s">
        <v>183</v>
      </c>
      <c r="B46" s="371"/>
      <c r="C46" s="371"/>
      <c r="D46" s="371"/>
      <c r="E46" s="655">
        <f>SUM(P23:S23)</f>
        <v>54822.180000000008</v>
      </c>
      <c r="F46" s="645"/>
      <c r="G46" s="371"/>
      <c r="H46" s="644"/>
      <c r="J46" s="368"/>
      <c r="K46" s="392"/>
      <c r="L46" s="392"/>
    </row>
    <row r="47" spans="1:19">
      <c r="A47" s="646" t="s">
        <v>1085</v>
      </c>
      <c r="B47" s="371"/>
      <c r="C47" s="371"/>
      <c r="D47" s="371"/>
      <c r="E47" s="655">
        <f>+'IS-PBC'!O129</f>
        <v>85590.62</v>
      </c>
      <c r="F47" s="645"/>
      <c r="G47" s="371"/>
      <c r="H47" s="644"/>
      <c r="J47" s="368"/>
      <c r="K47" s="392"/>
      <c r="L47" s="392"/>
    </row>
    <row r="48" spans="1:19">
      <c r="A48" s="646" t="s">
        <v>129</v>
      </c>
      <c r="B48" s="371"/>
      <c r="C48" s="371"/>
      <c r="D48" s="371"/>
      <c r="E48" s="655">
        <f>SUM(E45:E47)</f>
        <v>1222160.5992626445</v>
      </c>
      <c r="F48" s="371"/>
      <c r="G48" s="371"/>
      <c r="H48" s="644"/>
      <c r="J48" s="611"/>
      <c r="K48" s="368"/>
      <c r="L48" s="392"/>
    </row>
    <row r="49" spans="1:14">
      <c r="A49" s="643"/>
      <c r="E49" s="389"/>
      <c r="H49" s="644"/>
      <c r="J49" s="613"/>
      <c r="K49" s="611"/>
      <c r="L49" s="616"/>
      <c r="M49" s="611"/>
      <c r="N49" s="616"/>
    </row>
    <row r="50" spans="1:14">
      <c r="A50" s="646" t="s">
        <v>36</v>
      </c>
      <c r="B50" s="371"/>
      <c r="C50" s="371"/>
      <c r="D50" s="371"/>
      <c r="E50" s="612">
        <f>-Operations!C48</f>
        <v>-864267.79</v>
      </c>
      <c r="F50" s="371"/>
      <c r="G50" s="371"/>
      <c r="H50" s="644"/>
      <c r="J50" s="613"/>
      <c r="K50" s="611"/>
      <c r="L50" s="616"/>
      <c r="M50" s="611"/>
      <c r="N50" s="616"/>
    </row>
    <row r="51" spans="1:14">
      <c r="A51" s="643"/>
      <c r="H51" s="644"/>
      <c r="J51" s="614"/>
      <c r="K51" s="615"/>
      <c r="L51" s="614"/>
      <c r="M51" s="611"/>
      <c r="N51" s="611"/>
    </row>
    <row r="52" spans="1:14" ht="16.5" thickBot="1">
      <c r="A52" s="646" t="s">
        <v>1087</v>
      </c>
      <c r="B52" s="371"/>
      <c r="C52" s="371"/>
      <c r="D52" s="371"/>
      <c r="E52" s="736">
        <f>+E48+E50</f>
        <v>357892.8092626445</v>
      </c>
      <c r="F52" s="371"/>
      <c r="G52" s="371"/>
      <c r="H52" s="644"/>
      <c r="J52" s="368"/>
      <c r="K52" s="368"/>
      <c r="L52" s="368"/>
    </row>
    <row r="53" spans="1:14" ht="17.25" thickTop="1" thickBot="1">
      <c r="A53" s="658" t="s">
        <v>1086</v>
      </c>
      <c r="B53" s="647"/>
      <c r="C53" s="647"/>
      <c r="D53" s="647"/>
      <c r="E53" s="737">
        <f>+E52*'WP -11 Non-Regulated'!K29</f>
        <v>168262.49493834158</v>
      </c>
      <c r="F53" s="647"/>
      <c r="G53" s="647"/>
      <c r="H53" s="648"/>
      <c r="J53" s="368"/>
      <c r="K53" s="368"/>
      <c r="L53" s="368"/>
    </row>
    <row r="54" spans="1:14" s="368" customFormat="1">
      <c r="A54" s="393"/>
      <c r="B54" s="393"/>
      <c r="C54" s="393"/>
      <c r="D54" s="393"/>
      <c r="E54" s="393"/>
      <c r="F54" s="393"/>
      <c r="G54" s="393"/>
    </row>
    <row r="55" spans="1:14">
      <c r="J55" s="368"/>
      <c r="K55" s="368"/>
      <c r="L55" s="368"/>
    </row>
  </sheetData>
  <mergeCells count="17">
    <mergeCell ref="G25:H25"/>
    <mergeCell ref="G26:H26"/>
    <mergeCell ref="G27:H27"/>
    <mergeCell ref="N25:O25"/>
    <mergeCell ref="N26:O26"/>
    <mergeCell ref="N27:O27"/>
    <mergeCell ref="A5:O5"/>
    <mergeCell ref="A3:O3"/>
    <mergeCell ref="A1:O1"/>
    <mergeCell ref="N10:O10"/>
    <mergeCell ref="C7:H7"/>
    <mergeCell ref="J7:O7"/>
    <mergeCell ref="G8:H8"/>
    <mergeCell ref="G9:H9"/>
    <mergeCell ref="G10:H10"/>
    <mergeCell ref="N8:O8"/>
    <mergeCell ref="N9:O9"/>
  </mergeCells>
  <printOptions horizontalCentered="1"/>
  <pageMargins left="0.7" right="0.7" top="0.75" bottom="0.75" header="0.3" footer="0.3"/>
  <pageSetup scale="34"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4"/>
  <dimension ref="A1:O31"/>
  <sheetViews>
    <sheetView topLeftCell="A11" zoomScaleNormal="100" workbookViewId="0">
      <selection activeCell="A31" sqref="A31"/>
    </sheetView>
  </sheetViews>
  <sheetFormatPr defaultColWidth="8.88671875" defaultRowHeight="24.95" customHeight="1"/>
  <cols>
    <col min="1" max="1" width="17.6640625" style="492" customWidth="1"/>
    <col min="2" max="2" width="9.109375" style="492" customWidth="1"/>
    <col min="3" max="3" width="14" style="492" customWidth="1"/>
    <col min="4" max="4" width="11.21875" style="492" customWidth="1"/>
    <col min="5" max="5" width="7" style="492" bestFit="1" customWidth="1"/>
    <col min="6" max="7" width="8.5546875" style="492" bestFit="1" customWidth="1"/>
    <col min="8" max="9" width="9" style="492" bestFit="1" customWidth="1"/>
    <col min="10" max="10" width="7.44140625" style="492" bestFit="1" customWidth="1"/>
    <col min="11" max="11" width="7.88671875" style="492" bestFit="1" customWidth="1"/>
    <col min="12" max="12" width="8.88671875" style="492" bestFit="1" customWidth="1"/>
    <col min="13" max="13" width="7.44140625" style="492" bestFit="1" customWidth="1"/>
    <col min="14" max="16384" width="8.88671875" style="492"/>
  </cols>
  <sheetData>
    <row r="1" spans="1:15" ht="24.95" customHeight="1">
      <c r="A1" s="880" t="str">
        <f>'WP-7 - Fuel'!A1:G1</f>
        <v>Consolidated Disposal Services, Inc.</v>
      </c>
      <c r="B1" s="880"/>
      <c r="C1" s="880"/>
      <c r="D1" s="880"/>
      <c r="E1" s="880"/>
      <c r="F1" s="880"/>
      <c r="G1" s="880"/>
      <c r="H1" s="880"/>
    </row>
    <row r="2" spans="1:15" ht="5.0999999999999996" customHeight="1">
      <c r="A2" s="366"/>
      <c r="B2" s="367"/>
      <c r="C2" s="367"/>
      <c r="D2" s="367"/>
      <c r="E2" s="367"/>
      <c r="F2" s="367"/>
      <c r="G2" s="367"/>
      <c r="H2" s="493"/>
      <c r="I2" s="493"/>
      <c r="J2" s="493"/>
    </row>
    <row r="3" spans="1:15" ht="24.95" customHeight="1">
      <c r="A3" s="881" t="s">
        <v>862</v>
      </c>
      <c r="B3" s="881"/>
      <c r="C3" s="881"/>
      <c r="D3" s="881"/>
      <c r="E3" s="881"/>
      <c r="F3" s="881"/>
      <c r="G3" s="881"/>
      <c r="H3" s="881"/>
    </row>
    <row r="4" spans="1:15" ht="5.0999999999999996" customHeight="1">
      <c r="A4" s="369"/>
      <c r="B4" s="369"/>
      <c r="C4" s="369"/>
      <c r="D4" s="369"/>
      <c r="E4" s="369"/>
      <c r="F4" s="369"/>
      <c r="G4" s="369"/>
      <c r="H4" s="494"/>
      <c r="I4" s="494"/>
      <c r="J4" s="494"/>
      <c r="K4" s="494"/>
    </row>
    <row r="5" spans="1:15" ht="24.95" customHeight="1">
      <c r="A5" s="880" t="str">
        <f>'WP-7 - Fuel'!$A$5</f>
        <v>In Support of Tariff 7 effective April 1, 2023</v>
      </c>
      <c r="B5" s="880"/>
      <c r="C5" s="880"/>
      <c r="D5" s="880"/>
      <c r="E5" s="880"/>
      <c r="F5" s="880"/>
      <c r="G5" s="880"/>
      <c r="H5" s="880"/>
      <c r="I5" s="494"/>
      <c r="J5" s="494"/>
      <c r="K5" s="494"/>
    </row>
    <row r="6" spans="1:15" ht="24.95" customHeight="1">
      <c r="A6" s="419"/>
      <c r="B6" s="419"/>
      <c r="C6" s="419"/>
      <c r="D6" s="419"/>
      <c r="E6" s="419"/>
      <c r="F6" s="419"/>
      <c r="G6" s="419"/>
      <c r="H6" s="419"/>
      <c r="I6" s="494"/>
      <c r="J6" s="494"/>
      <c r="K6" s="494"/>
    </row>
    <row r="7" spans="1:15" ht="20.100000000000001" customHeight="1">
      <c r="A7" s="890"/>
      <c r="B7" s="891" t="s">
        <v>388</v>
      </c>
      <c r="C7" s="891"/>
      <c r="D7" s="891"/>
      <c r="H7" s="495"/>
      <c r="I7" s="495"/>
      <c r="J7" s="495"/>
      <c r="K7" s="495"/>
      <c r="L7" s="495"/>
      <c r="M7" s="495"/>
      <c r="N7" s="495"/>
      <c r="O7" s="495"/>
    </row>
    <row r="8" spans="1:15" ht="20.100000000000001" customHeight="1">
      <c r="A8" s="890"/>
      <c r="B8" s="891"/>
      <c r="C8" s="891"/>
      <c r="D8" s="891"/>
      <c r="E8" s="494"/>
      <c r="F8" s="494"/>
      <c r="G8" s="494"/>
      <c r="H8" s="495"/>
      <c r="I8" s="495"/>
      <c r="J8" s="495"/>
      <c r="K8" s="495"/>
      <c r="L8" s="495"/>
      <c r="M8" s="495"/>
      <c r="N8" s="495"/>
      <c r="O8" s="495"/>
    </row>
    <row r="9" spans="1:15" ht="20.100000000000001" customHeight="1">
      <c r="A9" s="494"/>
      <c r="B9" s="518"/>
      <c r="C9" s="518" t="s">
        <v>1019</v>
      </c>
      <c r="D9" s="518" t="s">
        <v>1020</v>
      </c>
      <c r="E9" s="494"/>
      <c r="F9" s="494"/>
      <c r="G9" s="494"/>
      <c r="H9" s="495"/>
      <c r="I9" s="495"/>
      <c r="J9" s="495"/>
      <c r="K9" s="495"/>
      <c r="L9" s="495"/>
      <c r="M9" s="495"/>
      <c r="N9" s="495"/>
      <c r="O9" s="495"/>
    </row>
    <row r="10" spans="1:15" ht="24.95" customHeight="1">
      <c r="A10" s="520" t="s">
        <v>829</v>
      </c>
      <c r="B10" s="887">
        <f>+'IS-PBC'!B206+'IS-PBC'!B207+'IS-PBC'!B209+'IS-PBC'!B210</f>
        <v>252.04</v>
      </c>
      <c r="C10" s="887"/>
      <c r="D10" s="495">
        <f>+'IS-PBC'!B206+'IS-PBC'!B207</f>
        <v>436.62</v>
      </c>
    </row>
    <row r="11" spans="1:15" ht="24.95" customHeight="1">
      <c r="A11" s="520" t="s">
        <v>830</v>
      </c>
      <c r="B11" s="887">
        <f>+'IS-PBC'!C206+'IS-PBC'!C207+'IS-PBC'!C209+'IS-PBC'!C210</f>
        <v>267.49</v>
      </c>
      <c r="C11" s="887"/>
      <c r="D11" s="495">
        <f>+'IS-PBC'!C206+'IS-PBC'!C207</f>
        <v>501.13</v>
      </c>
      <c r="O11" s="495"/>
    </row>
    <row r="12" spans="1:15" ht="24.95" customHeight="1">
      <c r="A12" s="520" t="s">
        <v>831</v>
      </c>
      <c r="B12" s="887">
        <f>+'IS-PBC'!D206+'IS-PBC'!D207+'IS-PBC'!D209+'IS-PBC'!D210</f>
        <v>-32.42</v>
      </c>
      <c r="C12" s="887"/>
      <c r="D12" s="495">
        <f>+'IS-PBC'!D206+'IS-PBC'!D207</f>
        <v>185.03</v>
      </c>
      <c r="E12" s="495"/>
      <c r="F12" s="495"/>
      <c r="G12" s="495"/>
      <c r="H12" s="495"/>
      <c r="I12" s="495"/>
      <c r="J12" s="495"/>
      <c r="K12" s="495"/>
      <c r="L12" s="495"/>
      <c r="M12" s="495"/>
      <c r="N12" s="495"/>
      <c r="O12" s="495"/>
    </row>
    <row r="13" spans="1:15" ht="24.95" customHeight="1">
      <c r="A13" s="520" t="s">
        <v>838</v>
      </c>
      <c r="B13" s="887">
        <f>+'IS-PBC'!E206+'IS-PBC'!E207+'IS-PBC'!E209+'IS-PBC'!E210</f>
        <v>-119.7</v>
      </c>
      <c r="C13" s="887"/>
      <c r="D13" s="495">
        <f>+'IS-PBC'!E206+'IS-PBC'!E207</f>
        <v>202.13</v>
      </c>
      <c r="E13" s="495"/>
      <c r="F13" s="495"/>
      <c r="G13" s="495"/>
      <c r="H13" s="495"/>
      <c r="I13" s="495"/>
      <c r="J13" s="495"/>
      <c r="K13" s="495"/>
      <c r="L13" s="495"/>
      <c r="M13" s="495"/>
      <c r="N13" s="495"/>
      <c r="O13" s="495"/>
    </row>
    <row r="14" spans="1:15" ht="24.95" customHeight="1">
      <c r="A14" s="520" t="s">
        <v>839</v>
      </c>
      <c r="B14" s="887">
        <f>+'IS-PBC'!F206+'IS-PBC'!F207+'IS-PBC'!F209+'IS-PBC'!F210</f>
        <v>395.26</v>
      </c>
      <c r="C14" s="887"/>
      <c r="D14" s="495">
        <f>+'IS-PBC'!F206+'IS-PBC'!F207</f>
        <v>530.49</v>
      </c>
      <c r="E14" s="495"/>
      <c r="F14" s="495"/>
      <c r="G14" s="495"/>
      <c r="H14" s="495"/>
      <c r="I14" s="495"/>
      <c r="J14" s="495"/>
      <c r="K14" s="495"/>
      <c r="L14" s="495"/>
      <c r="M14" s="495"/>
      <c r="N14" s="495"/>
      <c r="O14" s="495"/>
    </row>
    <row r="15" spans="1:15" ht="24.95" customHeight="1">
      <c r="A15" s="520" t="s">
        <v>840</v>
      </c>
      <c r="B15" s="887">
        <f>+'IS-PBC'!G206+'IS-PBC'!G207+'IS-PBC'!G209+'IS-PBC'!G210</f>
        <v>90.63</v>
      </c>
      <c r="C15" s="887"/>
      <c r="D15" s="495">
        <f>+'IS-PBC'!G206+'IS-PBC'!G207</f>
        <v>90.63</v>
      </c>
      <c r="E15" s="495"/>
      <c r="F15" s="495"/>
      <c r="G15" s="495"/>
      <c r="H15" s="495"/>
      <c r="I15" s="495"/>
      <c r="J15" s="495"/>
      <c r="K15" s="495"/>
      <c r="L15" s="495"/>
      <c r="M15" s="495"/>
      <c r="N15" s="495"/>
      <c r="O15" s="495"/>
    </row>
    <row r="16" spans="1:15" ht="24.95" customHeight="1">
      <c r="A16" s="520" t="s">
        <v>832</v>
      </c>
      <c r="B16" s="887">
        <f>+'IS-PBC'!H206+'IS-PBC'!H207+'IS-PBC'!H209+'IS-PBC'!H210</f>
        <v>43.12</v>
      </c>
      <c r="C16" s="887"/>
      <c r="D16" s="495">
        <f>+'IS-PBC'!H206+'IS-PBC'!H207</f>
        <v>90.63</v>
      </c>
      <c r="E16" s="495"/>
      <c r="F16" s="495"/>
      <c r="G16" s="495"/>
      <c r="H16" s="495"/>
      <c r="I16" s="495"/>
      <c r="J16" s="495"/>
      <c r="K16" s="495"/>
      <c r="L16" s="495"/>
      <c r="M16" s="495"/>
      <c r="N16" s="495"/>
      <c r="O16" s="495"/>
    </row>
    <row r="17" spans="1:15" ht="24.95" customHeight="1">
      <c r="A17" s="520" t="s">
        <v>833</v>
      </c>
      <c r="B17" s="887">
        <f>+'IS-PBC'!I206+'IS-PBC'!I207+'IS-PBC'!I209+'IS-PBC'!I210</f>
        <v>1024.0800000000002</v>
      </c>
      <c r="C17" s="887"/>
      <c r="D17" s="495">
        <f>+'IS-PBC'!I206+'IS-PBC'!I207</f>
        <v>1140.8600000000001</v>
      </c>
      <c r="E17" s="495"/>
      <c r="F17" s="495"/>
      <c r="G17" s="495"/>
      <c r="H17" s="495"/>
      <c r="I17" s="495"/>
      <c r="J17" s="495"/>
      <c r="K17" s="495"/>
      <c r="L17" s="495"/>
      <c r="M17" s="495"/>
      <c r="N17" s="495"/>
      <c r="O17" s="495"/>
    </row>
    <row r="18" spans="1:15" ht="24.95" customHeight="1">
      <c r="A18" s="520" t="s">
        <v>834</v>
      </c>
      <c r="B18" s="887">
        <f>+'IS-PBC'!J206+'IS-PBC'!J207+'IS-PBC'!J209+'IS-PBC'!J210</f>
        <v>1532.3999999999999</v>
      </c>
      <c r="C18" s="887"/>
      <c r="D18" s="495">
        <f>+'IS-PBC'!J206+'IS-PBC'!J207</f>
        <v>1663.37</v>
      </c>
      <c r="E18" s="495"/>
      <c r="F18" s="495"/>
      <c r="G18" s="495"/>
      <c r="H18" s="495"/>
      <c r="I18" s="495"/>
      <c r="J18" s="495"/>
      <c r="K18" s="495"/>
      <c r="L18" s="495"/>
      <c r="M18" s="495"/>
      <c r="N18" s="495"/>
      <c r="O18" s="495"/>
    </row>
    <row r="19" spans="1:15" ht="24.95" customHeight="1">
      <c r="A19" s="520" t="s">
        <v>835</v>
      </c>
      <c r="B19" s="887">
        <f>+'IS-PBC'!K206+'IS-PBC'!K207+'IS-PBC'!K209+'IS-PBC'!K210</f>
        <v>244.82000000000005</v>
      </c>
      <c r="C19" s="887"/>
      <c r="D19" s="495">
        <f>+'IS-PBC'!K206+'IS-PBC'!K207</f>
        <v>292.23</v>
      </c>
      <c r="E19" s="495"/>
      <c r="F19" s="495"/>
      <c r="G19" s="495"/>
      <c r="H19" s="496"/>
      <c r="I19" s="496"/>
      <c r="J19" s="496"/>
      <c r="K19" s="495"/>
      <c r="L19" s="495"/>
      <c r="M19" s="495"/>
      <c r="N19" s="495"/>
      <c r="O19" s="495"/>
    </row>
    <row r="20" spans="1:15" ht="24.95" customHeight="1">
      <c r="A20" s="520" t="s">
        <v>836</v>
      </c>
      <c r="B20" s="887">
        <f>+'IS-PBC'!L206+'IS-PBC'!L207+'IS-PBC'!L209+'IS-PBC'!L210</f>
        <v>1014.8199999999999</v>
      </c>
      <c r="C20" s="887"/>
      <c r="D20" s="495">
        <f>+'IS-PBC'!L206+'IS-PBC'!L207</f>
        <v>1092.75</v>
      </c>
      <c r="E20" s="495"/>
      <c r="F20" s="495"/>
      <c r="G20" s="495"/>
      <c r="H20" s="495"/>
      <c r="I20" s="495"/>
      <c r="J20" s="495"/>
      <c r="K20" s="495"/>
      <c r="L20" s="495"/>
      <c r="M20" s="495"/>
      <c r="N20" s="495"/>
      <c r="O20" s="495"/>
    </row>
    <row r="21" spans="1:15" ht="24.95" customHeight="1">
      <c r="A21" s="520" t="s">
        <v>837</v>
      </c>
      <c r="B21" s="888">
        <f>+'IS-PBC'!M206+'IS-PBC'!M207+'IS-PBC'!M209+'IS-PBC'!M210</f>
        <v>104.50999999999999</v>
      </c>
      <c r="C21" s="888"/>
      <c r="D21" s="495">
        <f>+'IS-PBC'!M206+'IS-PBC'!M207</f>
        <v>226.67</v>
      </c>
      <c r="E21" s="495"/>
      <c r="F21" s="495"/>
      <c r="G21" s="495"/>
      <c r="H21" s="495"/>
      <c r="I21" s="495"/>
      <c r="J21" s="495"/>
      <c r="K21" s="495"/>
      <c r="L21" s="495"/>
      <c r="M21" s="495"/>
      <c r="N21" s="495"/>
      <c r="O21" s="495"/>
    </row>
    <row r="22" spans="1:15" ht="5.0999999999999996" customHeight="1">
      <c r="B22" s="889"/>
      <c r="C22" s="889"/>
      <c r="D22" s="495"/>
      <c r="E22" s="495"/>
      <c r="F22" s="495"/>
      <c r="G22" s="495"/>
      <c r="H22" s="495"/>
      <c r="I22" s="495"/>
      <c r="J22" s="495"/>
      <c r="K22" s="495"/>
      <c r="L22" s="495"/>
      <c r="M22" s="495"/>
      <c r="N22" s="495"/>
      <c r="O22" s="495"/>
    </row>
    <row r="23" spans="1:15" ht="25.5" customHeight="1">
      <c r="A23" s="492" t="s">
        <v>0</v>
      </c>
      <c r="B23" s="887">
        <f>SUM(B10:C21)</f>
        <v>4817.05</v>
      </c>
      <c r="C23" s="887"/>
      <c r="D23" s="495">
        <f>SUM(D10:E21)</f>
        <v>6452.5399999999991</v>
      </c>
      <c r="E23" s="495"/>
      <c r="F23" s="497" t="s">
        <v>391</v>
      </c>
      <c r="G23" s="498"/>
    </row>
    <row r="24" spans="1:15" ht="59.25" customHeight="1">
      <c r="A24" s="518" t="s">
        <v>36</v>
      </c>
      <c r="B24" s="887">
        <f>+Operations!C39</f>
        <v>-76223.270000000019</v>
      </c>
      <c r="C24" s="887"/>
      <c r="D24" s="495">
        <f>+D23</f>
        <v>6452.5399999999991</v>
      </c>
      <c r="E24" s="498"/>
      <c r="F24" s="498"/>
      <c r="G24" s="498"/>
    </row>
    <row r="25" spans="1:15" ht="48" customHeight="1">
      <c r="A25" s="519" t="s">
        <v>389</v>
      </c>
      <c r="B25" s="888">
        <f>+B23-B24</f>
        <v>81040.320000000022</v>
      </c>
      <c r="C25" s="888"/>
      <c r="D25" s="524"/>
      <c r="E25" s="524"/>
      <c r="F25" s="524"/>
      <c r="G25" s="495"/>
    </row>
    <row r="26" spans="1:15" ht="24.95" customHeight="1" thickBot="1">
      <c r="A26" s="492" t="s">
        <v>390</v>
      </c>
      <c r="B26" s="885">
        <f>+B24+B25</f>
        <v>4817.0500000000029</v>
      </c>
      <c r="C26" s="886"/>
      <c r="D26" s="707">
        <f>+D24+D25</f>
        <v>6452.5399999999991</v>
      </c>
      <c r="E26" s="708"/>
    </row>
    <row r="27" spans="1:15" ht="24.95" customHeight="1" thickTop="1"/>
    <row r="28" spans="1:15" ht="24.95" customHeight="1">
      <c r="A28" s="492" t="s">
        <v>184</v>
      </c>
      <c r="C28" s="516">
        <f>+Operations!E80</f>
        <v>5991534.2911216691</v>
      </c>
    </row>
    <row r="29" spans="1:15" ht="24.95" customHeight="1">
      <c r="A29" s="492" t="s">
        <v>828</v>
      </c>
      <c r="C29" s="517">
        <f>+(B26+D26)/C28</f>
        <v>1.8809188852844292E-3</v>
      </c>
    </row>
    <row r="31" spans="1:15" ht="24.95" customHeight="1">
      <c r="A31" s="677"/>
    </row>
  </sheetData>
  <mergeCells count="22">
    <mergeCell ref="A5:H5"/>
    <mergeCell ref="B13:C13"/>
    <mergeCell ref="A3:H3"/>
    <mergeCell ref="A1:H1"/>
    <mergeCell ref="A7:A8"/>
    <mergeCell ref="B7:D8"/>
    <mergeCell ref="B26:C26"/>
    <mergeCell ref="B23:C23"/>
    <mergeCell ref="B25:C25"/>
    <mergeCell ref="B22:C22"/>
    <mergeCell ref="B10:C10"/>
    <mergeCell ref="B11:C11"/>
    <mergeCell ref="B12:C12"/>
    <mergeCell ref="B15:C15"/>
    <mergeCell ref="B16:C16"/>
    <mergeCell ref="B21:C21"/>
    <mergeCell ref="B20:C20"/>
    <mergeCell ref="B14:C14"/>
    <mergeCell ref="B24:C24"/>
    <mergeCell ref="B17:C17"/>
    <mergeCell ref="B18:C18"/>
    <mergeCell ref="B19:C19"/>
  </mergeCells>
  <phoneticPr fontId="174" type="noConversion"/>
  <printOptions horizontalCentered="1"/>
  <pageMargins left="0.7" right="0.7" top="0.75" bottom="0.75" header="0.3" footer="0.3"/>
  <pageSetup scale="72" fitToWidth="0" fitToHeight="0"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0">
    <pageSetUpPr fitToPage="1"/>
  </sheetPr>
  <dimension ref="A1:Y324"/>
  <sheetViews>
    <sheetView topLeftCell="B13" zoomScaleNormal="100" zoomScaleSheetLayoutView="55" workbookViewId="0">
      <selection activeCell="P48" sqref="P48"/>
    </sheetView>
  </sheetViews>
  <sheetFormatPr defaultColWidth="8.88671875" defaultRowHeight="15.75"/>
  <cols>
    <col min="1" max="1" width="32.109375" style="492" customWidth="1"/>
    <col min="2" max="13" width="12.88671875" style="492" customWidth="1"/>
    <col min="14" max="14" width="1.88671875" style="492" customWidth="1"/>
    <col min="15" max="15" width="12.88671875" style="492" customWidth="1"/>
    <col min="16" max="16" width="24.88671875" style="492" customWidth="1"/>
    <col min="17" max="17" width="12.21875" style="492" bestFit="1" customWidth="1"/>
    <col min="18" max="18" width="1.88671875" style="492" customWidth="1"/>
    <col min="19" max="21" width="8.88671875" style="492"/>
    <col min="22" max="22" width="11.21875" style="492" customWidth="1"/>
    <col min="23" max="16384" width="8.88671875" style="492"/>
  </cols>
  <sheetData>
    <row r="1" spans="1:25">
      <c r="A1" s="880" t="str">
        <f>+'WP-8 - Bad Debts'!A1:H1</f>
        <v>Consolidated Disposal Services, Inc.</v>
      </c>
      <c r="B1" s="880"/>
      <c r="C1" s="880"/>
      <c r="D1" s="880"/>
      <c r="E1" s="880"/>
      <c r="F1" s="880"/>
      <c r="G1" s="880"/>
      <c r="H1" s="500"/>
    </row>
    <row r="2" spans="1:25" ht="18" customHeight="1">
      <c r="A2" s="366"/>
      <c r="B2" s="367"/>
      <c r="C2" s="367"/>
      <c r="D2" s="367"/>
      <c r="E2" s="367"/>
      <c r="F2" s="367"/>
      <c r="G2" s="367"/>
      <c r="H2" s="493"/>
      <c r="I2" s="583"/>
      <c r="J2" s="493"/>
    </row>
    <row r="3" spans="1:25">
      <c r="A3" s="881" t="s">
        <v>863</v>
      </c>
      <c r="B3" s="881"/>
      <c r="C3" s="881"/>
      <c r="D3" s="881"/>
      <c r="E3" s="881"/>
      <c r="F3" s="881"/>
      <c r="G3" s="881"/>
      <c r="I3" s="501"/>
      <c r="J3" s="501"/>
      <c r="K3" s="501"/>
      <c r="L3" s="501"/>
      <c r="M3" s="501"/>
      <c r="N3" s="501"/>
      <c r="O3" s="501"/>
      <c r="P3" s="501"/>
      <c r="Q3" s="501"/>
    </row>
    <row r="4" spans="1:25">
      <c r="A4" s="369"/>
      <c r="B4" s="369"/>
      <c r="C4" s="369"/>
      <c r="D4" s="369"/>
      <c r="E4" s="369"/>
      <c r="F4" s="369"/>
      <c r="G4" s="369"/>
      <c r="H4" s="494"/>
      <c r="I4" s="501"/>
      <c r="J4" s="501"/>
      <c r="K4" s="501"/>
      <c r="L4" s="501"/>
      <c r="M4" s="501"/>
      <c r="N4" s="501"/>
      <c r="O4" s="501"/>
      <c r="P4" s="501"/>
      <c r="Q4" s="501"/>
    </row>
    <row r="5" spans="1:25">
      <c r="A5" s="880" t="str">
        <f>+'WP-8 - Bad Debts'!A5:H5</f>
        <v>In Support of Tariff 7 effective April 1, 2023</v>
      </c>
      <c r="B5" s="880"/>
      <c r="C5" s="880"/>
      <c r="D5" s="880"/>
      <c r="E5" s="880"/>
      <c r="F5" s="880"/>
      <c r="G5" s="880"/>
      <c r="H5" s="494"/>
      <c r="I5" s="494"/>
      <c r="J5" s="494"/>
      <c r="K5" s="494"/>
    </row>
    <row r="6" spans="1:25">
      <c r="A6" s="419"/>
      <c r="B6" s="419"/>
      <c r="C6" s="419"/>
      <c r="D6" s="419"/>
      <c r="E6" s="419"/>
      <c r="F6" s="419"/>
      <c r="G6" s="419"/>
      <c r="H6" s="494"/>
      <c r="I6" s="494"/>
      <c r="J6" s="494"/>
      <c r="K6" s="494"/>
    </row>
    <row r="7" spans="1:25" customFormat="1">
      <c r="A7" s="666" t="s">
        <v>853</v>
      </c>
      <c r="B7" s="492"/>
      <c r="C7" s="492"/>
      <c r="D7" s="492"/>
      <c r="E7" s="492"/>
      <c r="F7" s="492"/>
      <c r="G7" s="492"/>
      <c r="H7" s="492"/>
      <c r="I7" s="492"/>
      <c r="J7" s="492"/>
      <c r="K7" s="492"/>
      <c r="L7" s="492"/>
      <c r="M7" s="492"/>
      <c r="N7" s="492"/>
      <c r="O7" s="492"/>
      <c r="P7" s="492"/>
      <c r="Q7" s="492"/>
    </row>
    <row r="8" spans="1:25" customFormat="1">
      <c r="A8" s="492"/>
      <c r="B8" s="492"/>
      <c r="C8" s="492"/>
      <c r="D8" s="492"/>
      <c r="E8" s="495"/>
      <c r="F8" s="495"/>
      <c r="G8" s="492"/>
      <c r="H8" s="492"/>
      <c r="I8" s="492"/>
      <c r="J8" s="492"/>
      <c r="K8" s="492"/>
      <c r="L8" s="492"/>
      <c r="M8" s="492"/>
      <c r="N8" s="492"/>
      <c r="O8" s="492"/>
      <c r="P8" s="652">
        <v>69.12</v>
      </c>
      <c r="Q8" s="492" t="s">
        <v>1024</v>
      </c>
      <c r="S8" s="525"/>
      <c r="T8" s="525"/>
      <c r="U8" s="525"/>
    </row>
    <row r="9" spans="1:25" customFormat="1">
      <c r="A9" s="492"/>
      <c r="B9" s="494">
        <v>2021</v>
      </c>
      <c r="C9" s="494">
        <v>2021</v>
      </c>
      <c r="D9" s="494">
        <v>2021</v>
      </c>
      <c r="E9" s="494">
        <v>2021</v>
      </c>
      <c r="F9" s="494">
        <v>2021</v>
      </c>
      <c r="G9" s="494">
        <v>2021</v>
      </c>
      <c r="H9" s="494">
        <v>2021</v>
      </c>
      <c r="I9" s="494">
        <v>2021</v>
      </c>
      <c r="J9" s="494">
        <v>2021</v>
      </c>
      <c r="K9" s="494">
        <v>2021</v>
      </c>
      <c r="L9" s="494">
        <v>2021</v>
      </c>
      <c r="M9" s="494">
        <v>2021</v>
      </c>
      <c r="N9" s="492"/>
      <c r="O9" s="492"/>
      <c r="P9" s="652">
        <v>81</v>
      </c>
      <c r="Q9" s="716" t="s">
        <v>1032</v>
      </c>
    </row>
    <row r="10" spans="1:25" customFormat="1">
      <c r="A10" s="711"/>
      <c r="B10" s="712" t="s">
        <v>63</v>
      </c>
      <c r="C10" s="712" t="s">
        <v>64</v>
      </c>
      <c r="D10" s="712" t="s">
        <v>65</v>
      </c>
      <c r="E10" s="712" t="s">
        <v>66</v>
      </c>
      <c r="F10" s="712" t="s">
        <v>67</v>
      </c>
      <c r="G10" s="712" t="s">
        <v>68</v>
      </c>
      <c r="H10" s="712" t="s">
        <v>69</v>
      </c>
      <c r="I10" s="712" t="s">
        <v>70</v>
      </c>
      <c r="J10" s="712" t="s">
        <v>62</v>
      </c>
      <c r="K10" s="712" t="s">
        <v>61</v>
      </c>
      <c r="L10" s="712" t="s">
        <v>60</v>
      </c>
      <c r="M10" s="712" t="s">
        <v>59</v>
      </c>
      <c r="N10" s="492"/>
      <c r="O10" s="712" t="s">
        <v>6</v>
      </c>
      <c r="P10" s="714">
        <v>47.62</v>
      </c>
      <c r="Q10" s="716" t="s">
        <v>1033</v>
      </c>
      <c r="S10" s="748"/>
      <c r="T10" s="498"/>
      <c r="U10" s="498"/>
      <c r="V10" s="498"/>
      <c r="W10" s="498"/>
      <c r="X10" s="498"/>
      <c r="Y10" s="498"/>
    </row>
    <row r="11" spans="1:25" customFormat="1">
      <c r="A11" s="685" t="s">
        <v>851</v>
      </c>
      <c r="B11" s="492"/>
      <c r="C11" s="492"/>
      <c r="D11" s="492"/>
      <c r="E11" s="492"/>
      <c r="F11" s="492"/>
      <c r="G11" s="492"/>
      <c r="H11" s="492"/>
      <c r="I11" s="492"/>
      <c r="J11" s="492"/>
      <c r="K11" s="492"/>
      <c r="L11" s="492"/>
      <c r="M11" s="492"/>
      <c r="N11" s="492"/>
      <c r="O11" s="492"/>
      <c r="P11" s="495">
        <f>+A46</f>
        <v>80</v>
      </c>
      <c r="Q11" s="716" t="s">
        <v>1034</v>
      </c>
      <c r="S11" s="498"/>
      <c r="T11" s="498"/>
      <c r="U11" s="498"/>
      <c r="V11" s="498"/>
      <c r="W11" s="498"/>
      <c r="X11" s="498"/>
      <c r="Y11" s="498"/>
    </row>
    <row r="12" spans="1:25" customFormat="1">
      <c r="A12" s="584" t="s">
        <v>1029</v>
      </c>
      <c r="B12" s="652">
        <v>120.79000000000003</v>
      </c>
      <c r="C12" s="652">
        <v>66.599999999999994</v>
      </c>
      <c r="D12" s="652">
        <v>115.98000000000002</v>
      </c>
      <c r="E12" s="652">
        <v>120.69999999999999</v>
      </c>
      <c r="F12" s="652">
        <v>92.64</v>
      </c>
      <c r="G12" s="652">
        <v>144.05000000000001</v>
      </c>
      <c r="H12" s="652">
        <v>86.120000000000019</v>
      </c>
      <c r="I12" s="652">
        <v>166.45</v>
      </c>
      <c r="J12" s="652">
        <v>152.09000000000003</v>
      </c>
      <c r="K12" s="652">
        <v>191.21</v>
      </c>
      <c r="L12" s="652">
        <v>218.14</v>
      </c>
      <c r="M12" s="652">
        <v>219.16936196132175</v>
      </c>
      <c r="N12" s="652"/>
      <c r="O12" s="750">
        <f>SUM(B12:N12)</f>
        <v>1693.9393619613218</v>
      </c>
      <c r="P12" s="495">
        <f>+O12*P11</f>
        <v>135515.14895690573</v>
      </c>
      <c r="Q12" s="492"/>
      <c r="S12" s="752" t="s">
        <v>1186</v>
      </c>
      <c r="T12" s="498"/>
      <c r="U12" s="498"/>
      <c r="V12" s="498"/>
      <c r="W12" s="498"/>
      <c r="X12" s="498"/>
      <c r="Y12" s="498"/>
    </row>
    <row r="13" spans="1:25" customFormat="1">
      <c r="A13" s="584" t="s">
        <v>1030</v>
      </c>
      <c r="B13" s="652">
        <v>86.38</v>
      </c>
      <c r="C13" s="652">
        <v>71.44</v>
      </c>
      <c r="D13" s="652">
        <v>115.95000000000002</v>
      </c>
      <c r="E13" s="652">
        <v>101.97999999999999</v>
      </c>
      <c r="F13" s="652">
        <v>107.17</v>
      </c>
      <c r="G13" s="652">
        <v>128.9</v>
      </c>
      <c r="H13" s="652">
        <v>106.97999999999999</v>
      </c>
      <c r="I13" s="652">
        <v>128.54</v>
      </c>
      <c r="J13" s="652">
        <v>97.260000000000019</v>
      </c>
      <c r="K13" s="652">
        <v>76.52</v>
      </c>
      <c r="L13" s="652">
        <v>116.99000000000001</v>
      </c>
      <c r="M13" s="652">
        <v>76.810500989797461</v>
      </c>
      <c r="N13" s="652"/>
      <c r="O13" s="750">
        <f>SUM(B13:N13)</f>
        <v>1214.9205009897976</v>
      </c>
      <c r="P13" s="495">
        <f>+O13*P11</f>
        <v>97193.64007918381</v>
      </c>
      <c r="Q13" s="492"/>
      <c r="S13" s="525"/>
    </row>
    <row r="14" spans="1:25" customFormat="1">
      <c r="A14" s="584" t="s">
        <v>1031</v>
      </c>
      <c r="B14" s="652">
        <v>179.76</v>
      </c>
      <c r="C14" s="652">
        <v>179.84</v>
      </c>
      <c r="D14" s="652">
        <v>221.11000000000004</v>
      </c>
      <c r="E14" s="652">
        <v>220.35</v>
      </c>
      <c r="F14" s="652">
        <v>210.59000000000003</v>
      </c>
      <c r="G14" s="652">
        <v>241.09000000000003</v>
      </c>
      <c r="H14" s="652">
        <v>230.62</v>
      </c>
      <c r="I14" s="652">
        <v>243.74</v>
      </c>
      <c r="J14" s="652">
        <v>254.72</v>
      </c>
      <c r="K14" s="652">
        <v>228.16999999999996</v>
      </c>
      <c r="L14" s="652">
        <v>237.05</v>
      </c>
      <c r="M14" s="652">
        <v>196.42013704888078</v>
      </c>
      <c r="N14" s="652"/>
      <c r="O14" s="750">
        <f>SUM(B14:N14)</f>
        <v>2643.4601370488813</v>
      </c>
      <c r="P14" s="495">
        <f>+O14*P11</f>
        <v>211476.81096391051</v>
      </c>
      <c r="Q14" s="492"/>
      <c r="S14" s="492" t="s">
        <v>1123</v>
      </c>
      <c r="T14" s="581" t="s">
        <v>1124</v>
      </c>
      <c r="U14" s="525"/>
      <c r="V14" s="525"/>
    </row>
    <row r="15" spans="1:25" customFormat="1">
      <c r="A15" s="584" t="s">
        <v>1025</v>
      </c>
      <c r="B15" s="731">
        <v>1156.02</v>
      </c>
      <c r="C15" s="731">
        <v>1088.5838129496401</v>
      </c>
      <c r="D15" s="731">
        <v>2288.2908441831164</v>
      </c>
      <c r="E15" s="731">
        <v>2096.3773624527507</v>
      </c>
      <c r="F15" s="731">
        <v>1815.8160436791263</v>
      </c>
      <c r="G15" s="731">
        <v>2505.8082738345233</v>
      </c>
      <c r="H15" s="731">
        <v>2519.7127257454854</v>
      </c>
      <c r="I15" s="731">
        <v>2150.3368332633354</v>
      </c>
      <c r="J15" s="731">
        <v>2270.4905501889966</v>
      </c>
      <c r="K15" s="731">
        <v>2043.9019319613615</v>
      </c>
      <c r="L15" s="731">
        <v>2071.7818143637123</v>
      </c>
      <c r="M15" s="731">
        <v>2067.823183536329</v>
      </c>
      <c r="N15" s="710"/>
      <c r="O15" s="710">
        <f>SUM(B15:M15)</f>
        <v>24074.943376158375</v>
      </c>
      <c r="P15" s="713">
        <f>+(B15+C15)*27.8+(D15+E15+F15+G15+H15+I15+J15+K15+L15+M15)*P$10</f>
        <v>1101960.7560000001</v>
      </c>
      <c r="Q15" s="516"/>
      <c r="S15" s="581">
        <f>+O15*'WP -11 Non-Regulated'!$O$16</f>
        <v>4146.2402481161635</v>
      </c>
      <c r="T15">
        <f>+O15/18*5</f>
        <v>6687.4842711551037</v>
      </c>
    </row>
    <row r="16" spans="1:25" customFormat="1">
      <c r="A16" s="584" t="s">
        <v>1026</v>
      </c>
      <c r="B16" s="731">
        <v>578.54640287769791</v>
      </c>
      <c r="C16" s="731">
        <v>569.98884892086323</v>
      </c>
      <c r="D16" s="731">
        <v>470.92713145737088</v>
      </c>
      <c r="E16" s="731">
        <v>553.83704325913482</v>
      </c>
      <c r="F16" s="731">
        <v>571.54283914321718</v>
      </c>
      <c r="G16" s="731">
        <v>674.32990340193203</v>
      </c>
      <c r="H16" s="731">
        <v>690.46010079798407</v>
      </c>
      <c r="I16" s="731">
        <v>649.98992020159608</v>
      </c>
      <c r="J16" s="731">
        <v>696.24002519949602</v>
      </c>
      <c r="K16" s="731">
        <v>548.53989920201604</v>
      </c>
      <c r="L16" s="731">
        <v>475.86014279714414</v>
      </c>
      <c r="M16" s="731">
        <v>255.20999580008404</v>
      </c>
      <c r="N16" s="710"/>
      <c r="O16" s="710">
        <f>SUM(B16:M16)</f>
        <v>6735.4722530585377</v>
      </c>
      <c r="P16" s="713">
        <f>+(B16+C16)*27.8+(D16+E16+F16+G16+H16+I16+J16+K16+L16+M16)*P10</f>
        <v>297979.22000000009</v>
      </c>
      <c r="Q16" s="516"/>
      <c r="S16" s="581">
        <f>+O16*'WP -11 Non-Regulated'!$O$16</f>
        <v>1159.9979991378591</v>
      </c>
      <c r="T16">
        <f t="shared" ref="T16:T17" si="0">+O16/18*5</f>
        <v>1870.9645147384826</v>
      </c>
    </row>
    <row r="17" spans="1:22" customFormat="1">
      <c r="A17" s="584" t="s">
        <v>1028</v>
      </c>
      <c r="B17" s="710">
        <v>1382.2611510791367</v>
      </c>
      <c r="C17" s="710">
        <v>1022.3460431654677</v>
      </c>
      <c r="D17" s="710">
        <v>1475.8477530449391</v>
      </c>
      <c r="E17" s="710">
        <v>1136.0235195296095</v>
      </c>
      <c r="F17" s="710">
        <v>784.9101217975641</v>
      </c>
      <c r="G17" s="710">
        <v>830.09113817723653</v>
      </c>
      <c r="H17" s="710">
        <v>844.22154556908868</v>
      </c>
      <c r="I17" s="710">
        <v>946.30764384712302</v>
      </c>
      <c r="J17" s="710">
        <v>1055.4924401511971</v>
      </c>
      <c r="K17" s="710">
        <v>934.64069718605629</v>
      </c>
      <c r="L17" s="710">
        <v>1282.0438891222177</v>
      </c>
      <c r="M17" s="710">
        <v>803.57454850902991</v>
      </c>
      <c r="N17" s="710"/>
      <c r="O17" s="710">
        <f t="shared" ref="O17:O18" si="1">SUM(B17:M17)</f>
        <v>12497.760491178666</v>
      </c>
      <c r="P17" s="713">
        <f>+(B17+C17)*27.8+(D17+E17+F17+G17+H17+I17+J17+K17+L17+M17)*P10</f>
        <v>547484.03999999992</v>
      </c>
      <c r="Q17" s="516"/>
      <c r="S17" s="581">
        <f>+O17*'WP -11 Non-Regulated'!$O$16</f>
        <v>2152.392084591881</v>
      </c>
      <c r="T17">
        <f t="shared" si="0"/>
        <v>3471.6001364385183</v>
      </c>
    </row>
    <row r="18" spans="1:22" customFormat="1">
      <c r="A18" s="584" t="s">
        <v>1062</v>
      </c>
      <c r="B18" s="710">
        <v>1259.6359712230214</v>
      </c>
      <c r="C18" s="710">
        <v>1194.0723021582733</v>
      </c>
      <c r="D18" s="710">
        <v>1432.5585888282235</v>
      </c>
      <c r="E18" s="710">
        <v>2180.2261654766903</v>
      </c>
      <c r="F18" s="710">
        <v>1873.6976060478792</v>
      </c>
      <c r="G18" s="710">
        <v>1934.1474170516592</v>
      </c>
      <c r="H18" s="710">
        <v>1634.5684586308273</v>
      </c>
      <c r="I18" s="710">
        <v>2139.7360352792944</v>
      </c>
      <c r="J18" s="710">
        <v>1798.9953800923984</v>
      </c>
      <c r="K18" s="710">
        <v>1684.3771524569509</v>
      </c>
      <c r="L18" s="710">
        <v>1833.452120957581</v>
      </c>
      <c r="M18" s="710">
        <v>1195.5184796304075</v>
      </c>
      <c r="N18" s="710"/>
      <c r="O18" s="751">
        <f t="shared" si="1"/>
        <v>20160.985677833203</v>
      </c>
      <c r="P18" s="713">
        <f>+(B18+C18)*27.8+(D18+E18+F18+G18+H18+I18+J18+K18+L18+M18)*P10</f>
        <v>911433.6399999999</v>
      </c>
      <c r="Q18" s="516"/>
      <c r="S18" s="762">
        <v>0</v>
      </c>
      <c r="T18" s="762">
        <f>+O18</f>
        <v>20160.985677833203</v>
      </c>
    </row>
    <row r="19" spans="1:22" customFormat="1">
      <c r="A19" s="584" t="s">
        <v>1021</v>
      </c>
      <c r="B19" s="710">
        <v>16.57</v>
      </c>
      <c r="C19" s="710">
        <v>14.91</v>
      </c>
      <c r="D19" s="710">
        <v>16.739999999999998</v>
      </c>
      <c r="E19" s="710">
        <v>27.66</v>
      </c>
      <c r="F19" s="710">
        <v>22.77</v>
      </c>
      <c r="G19" s="710">
        <v>21.49</v>
      </c>
      <c r="H19" s="710">
        <v>29.06</v>
      </c>
      <c r="I19" s="710">
        <v>23.12</v>
      </c>
      <c r="J19" s="710">
        <v>30.86</v>
      </c>
      <c r="K19" s="710">
        <v>12.59</v>
      </c>
      <c r="L19" s="710">
        <v>14.27</v>
      </c>
      <c r="M19" s="710">
        <v>20.27</v>
      </c>
      <c r="N19" s="710"/>
      <c r="O19" s="750">
        <f>SUM(B19:M19)</f>
        <v>250.31000000000003</v>
      </c>
      <c r="P19" s="710">
        <f>+O19*P9</f>
        <v>20275.110000000004</v>
      </c>
      <c r="Q19" s="516"/>
      <c r="S19">
        <f>SUM(S15:S18)</f>
        <v>7458.630331845904</v>
      </c>
      <c r="T19">
        <f>SUM(T15:T18)</f>
        <v>32191.034600165309</v>
      </c>
    </row>
    <row r="20" spans="1:22" customFormat="1">
      <c r="A20" s="584" t="s">
        <v>1011</v>
      </c>
      <c r="B20" s="715">
        <v>28.27</v>
      </c>
      <c r="C20" s="715">
        <v>30.92</v>
      </c>
      <c r="D20" s="715">
        <v>33.42</v>
      </c>
      <c r="E20" s="715">
        <v>26.37</v>
      </c>
      <c r="F20" s="715">
        <v>29.11</v>
      </c>
      <c r="G20" s="715">
        <v>36.07</v>
      </c>
      <c r="H20" s="715">
        <v>21.47</v>
      </c>
      <c r="I20" s="715">
        <v>30.4</v>
      </c>
      <c r="J20" s="715">
        <v>37.03</v>
      </c>
      <c r="K20" s="715">
        <v>20.67</v>
      </c>
      <c r="L20" s="715">
        <v>26.84</v>
      </c>
      <c r="M20" s="715">
        <v>33.450000000000003</v>
      </c>
      <c r="N20" s="710"/>
      <c r="O20" s="750">
        <f>SUM(B20:M20)</f>
        <v>354.02</v>
      </c>
      <c r="P20" s="710">
        <f>+O20*P9</f>
        <v>28675.62</v>
      </c>
      <c r="Q20" s="516"/>
      <c r="S20" s="703">
        <f>+S19/T19</f>
        <v>0.23169899397416702</v>
      </c>
      <c r="T20" s="581" t="s">
        <v>1125</v>
      </c>
    </row>
    <row r="21" spans="1:22" customFormat="1">
      <c r="A21" s="584" t="s">
        <v>1022</v>
      </c>
      <c r="B21" s="710">
        <v>16.96</v>
      </c>
      <c r="C21" s="710">
        <v>14.75</v>
      </c>
      <c r="D21" s="710">
        <v>23.38</v>
      </c>
      <c r="E21" s="710">
        <v>36.07</v>
      </c>
      <c r="F21" s="710">
        <v>41.61</v>
      </c>
      <c r="G21" s="710">
        <v>36.65</v>
      </c>
      <c r="H21" s="710">
        <v>41.77</v>
      </c>
      <c r="I21" s="710">
        <v>35.26</v>
      </c>
      <c r="J21" s="710">
        <v>33.81</v>
      </c>
      <c r="K21" s="710">
        <v>37.43</v>
      </c>
      <c r="L21" s="710">
        <v>33.36</v>
      </c>
      <c r="M21" s="710">
        <v>21.18</v>
      </c>
      <c r="N21" s="710"/>
      <c r="O21" s="750">
        <f>SUM(B21:M21)</f>
        <v>372.23</v>
      </c>
      <c r="P21" s="710">
        <f>+O21*P8</f>
        <v>25728.537600000003</v>
      </c>
      <c r="Q21" s="516"/>
    </row>
    <row r="22" spans="1:22" customFormat="1">
      <c r="A22" s="584" t="s">
        <v>1023</v>
      </c>
      <c r="B22" s="710">
        <v>45.57</v>
      </c>
      <c r="C22" s="710">
        <v>38.25</v>
      </c>
      <c r="D22" s="710">
        <v>53.25</v>
      </c>
      <c r="E22" s="710">
        <v>59.17</v>
      </c>
      <c r="F22" s="710">
        <v>50.72</v>
      </c>
      <c r="G22" s="710">
        <v>57.2</v>
      </c>
      <c r="H22" s="710">
        <v>56.75</v>
      </c>
      <c r="I22" s="710">
        <v>55.66</v>
      </c>
      <c r="J22" s="710">
        <v>56.71</v>
      </c>
      <c r="K22" s="710">
        <v>51.62</v>
      </c>
      <c r="L22" s="710">
        <v>48.5</v>
      </c>
      <c r="M22" s="710">
        <v>43.78</v>
      </c>
      <c r="N22" s="710"/>
      <c r="O22" s="750">
        <f>SUM(B22:M22)</f>
        <v>617.17999999999995</v>
      </c>
      <c r="P22" s="717">
        <f>+O22*P8</f>
        <v>42659.481599999999</v>
      </c>
      <c r="Q22" s="516"/>
    </row>
    <row r="23" spans="1:22" customFormat="1">
      <c r="A23" s="584"/>
      <c r="B23" s="710"/>
      <c r="C23" s="710"/>
      <c r="D23" s="710"/>
      <c r="E23" s="710"/>
      <c r="F23" s="710"/>
      <c r="G23" s="710"/>
      <c r="H23" s="710"/>
      <c r="I23" s="710"/>
      <c r="J23" s="710"/>
      <c r="K23" s="710"/>
      <c r="L23" s="710"/>
      <c r="M23" s="710"/>
      <c r="N23" s="710"/>
      <c r="O23" s="710"/>
      <c r="P23" s="710">
        <f>SUM(P12:P22)</f>
        <v>3420382.0052</v>
      </c>
      <c r="Q23" s="516"/>
      <c r="S23" s="492">
        <f>+Operations!C46</f>
        <v>3431652.9099999997</v>
      </c>
      <c r="T23">
        <f>+S23-P23</f>
        <v>11270.904799999669</v>
      </c>
      <c r="U23" s="581" t="s">
        <v>1071</v>
      </c>
    </row>
    <row r="24" spans="1:22" customFormat="1">
      <c r="A24" s="584" t="s">
        <v>1070</v>
      </c>
      <c r="B24" s="710">
        <f>SUM(B12:B23)</f>
        <v>4870.7635251798556</v>
      </c>
      <c r="C24" s="710">
        <f t="shared" ref="C24:N24" si="2">SUM(C12:C23)</f>
        <v>4291.7010071942441</v>
      </c>
      <c r="D24" s="710">
        <f t="shared" si="2"/>
        <v>6247.4543175136505</v>
      </c>
      <c r="E24" s="710">
        <f t="shared" si="2"/>
        <v>6558.764090718184</v>
      </c>
      <c r="F24" s="710">
        <f t="shared" si="2"/>
        <v>5600.5766106677866</v>
      </c>
      <c r="G24" s="710">
        <f t="shared" si="2"/>
        <v>6609.8267324653498</v>
      </c>
      <c r="H24" s="710">
        <f t="shared" si="2"/>
        <v>6261.7328307433863</v>
      </c>
      <c r="I24" s="710">
        <f t="shared" si="2"/>
        <v>6569.5404325913487</v>
      </c>
      <c r="J24" s="710">
        <f t="shared" si="2"/>
        <v>6483.6983956320882</v>
      </c>
      <c r="K24" s="710">
        <f t="shared" si="2"/>
        <v>5829.6696808063853</v>
      </c>
      <c r="L24" s="710">
        <f t="shared" si="2"/>
        <v>6358.2879672406552</v>
      </c>
      <c r="M24" s="710">
        <f t="shared" si="2"/>
        <v>4933.2062074758505</v>
      </c>
      <c r="N24" s="710">
        <f t="shared" si="2"/>
        <v>0</v>
      </c>
      <c r="O24" s="710">
        <f>SUM(B24:M24)</f>
        <v>70615.221798228798</v>
      </c>
      <c r="P24" s="516"/>
      <c r="Q24" s="492"/>
    </row>
    <row r="25" spans="1:22" customFormat="1">
      <c r="A25" s="584"/>
      <c r="B25" s="492"/>
      <c r="C25" s="492"/>
      <c r="D25" s="492"/>
      <c r="E25" s="763"/>
      <c r="F25" s="763"/>
      <c r="G25" s="763"/>
      <c r="H25" s="763"/>
      <c r="I25" s="763"/>
      <c r="J25" s="763"/>
      <c r="K25" s="763"/>
      <c r="L25" s="763"/>
      <c r="M25" s="763"/>
      <c r="N25" s="492"/>
      <c r="O25" s="710">
        <f t="shared" ref="O25:O26" si="3">SUM(B25:M25)</f>
        <v>0</v>
      </c>
      <c r="P25" s="516">
        <f>-P12-P17</f>
        <v>-682999.18895690562</v>
      </c>
      <c r="Q25" s="492" t="s">
        <v>1048</v>
      </c>
    </row>
    <row r="26" spans="1:22" customFormat="1">
      <c r="A26" s="764"/>
      <c r="B26" s="711"/>
      <c r="C26" s="711"/>
      <c r="D26" s="711"/>
      <c r="E26" s="711"/>
      <c r="F26" s="765"/>
      <c r="G26" s="765"/>
      <c r="H26" s="765"/>
      <c r="I26" s="765"/>
      <c r="J26" s="765"/>
      <c r="K26" s="765"/>
      <c r="L26" s="765"/>
      <c r="M26" s="765"/>
      <c r="N26" s="492"/>
      <c r="O26" s="717">
        <f t="shared" si="3"/>
        <v>0</v>
      </c>
      <c r="P26" s="516"/>
      <c r="Q26" s="516"/>
    </row>
    <row r="27" spans="1:22" customFormat="1" ht="15">
      <c r="P27">
        <f>+P23+P25</f>
        <v>2737382.8162430944</v>
      </c>
      <c r="Q27" s="581" t="s">
        <v>1049</v>
      </c>
    </row>
    <row r="28" spans="1:22" customFormat="1">
      <c r="A28" s="584" t="s">
        <v>206</v>
      </c>
      <c r="B28" s="710">
        <f t="shared" ref="B28:M28" si="4">+B13+B14+B15+B16+B19+B20+B21+B22</f>
        <v>2108.0764028776975</v>
      </c>
      <c r="C28" s="710">
        <f t="shared" si="4"/>
        <v>2008.6826618705034</v>
      </c>
      <c r="D28" s="710">
        <f t="shared" si="4"/>
        <v>3223.067975640487</v>
      </c>
      <c r="E28" s="710">
        <f t="shared" si="4"/>
        <v>3121.8144057118857</v>
      </c>
      <c r="F28" s="710">
        <f t="shared" si="4"/>
        <v>2849.328882822344</v>
      </c>
      <c r="G28" s="710">
        <f t="shared" si="4"/>
        <v>3701.5381772364553</v>
      </c>
      <c r="H28" s="710">
        <f t="shared" si="4"/>
        <v>3696.8228265434691</v>
      </c>
      <c r="I28" s="710">
        <f t="shared" si="4"/>
        <v>3317.046753464931</v>
      </c>
      <c r="J28" s="710">
        <f t="shared" si="4"/>
        <v>3477.1205753884929</v>
      </c>
      <c r="K28" s="710">
        <f t="shared" si="4"/>
        <v>3019.4418311633772</v>
      </c>
      <c r="L28" s="710">
        <f t="shared" si="4"/>
        <v>3024.6519571608569</v>
      </c>
      <c r="M28" s="710">
        <f t="shared" si="4"/>
        <v>2714.9438173750909</v>
      </c>
      <c r="N28" s="710"/>
      <c r="O28" s="710">
        <f>SUM(B28:M28)</f>
        <v>36262.536267255593</v>
      </c>
      <c r="P28" s="516"/>
      <c r="Q28" s="516"/>
      <c r="T28" t="s">
        <v>1037</v>
      </c>
      <c r="V28" t="s">
        <v>1040</v>
      </c>
    </row>
    <row r="29" spans="1:22" customFormat="1">
      <c r="A29" s="584" t="s">
        <v>1129</v>
      </c>
      <c r="B29" s="710">
        <f>-B19-B20-B21-B22-187.84-65.6</f>
        <v>-360.81000000000006</v>
      </c>
      <c r="C29" s="710">
        <f>-C19-C20-C21-C22-231.55-77.89</f>
        <v>-408.27</v>
      </c>
      <c r="D29" s="710">
        <f>-D19-D20-D21-D22-267.71-6.08</f>
        <v>-400.58</v>
      </c>
      <c r="E29" s="710">
        <f>-E19-E20-E21-E22-291.8-6.22</f>
        <v>-447.29</v>
      </c>
      <c r="F29" s="710">
        <f>-F19-F20-F21-F22-269.2-14.57</f>
        <v>-427.97999999999996</v>
      </c>
      <c r="G29" s="710">
        <f>-G19-G20-G21-G22-342.74-16.07</f>
        <v>-510.22</v>
      </c>
      <c r="H29" s="710">
        <f>-H19-H20-H21-H22-317.08-18.1</f>
        <v>-484.23</v>
      </c>
      <c r="I29" s="710">
        <f>-I19-I20-I21-I22-366.18</f>
        <v>-510.62</v>
      </c>
      <c r="J29" s="710">
        <f>-J19-J20-J21-J22-364.46-17.73</f>
        <v>-540.6</v>
      </c>
      <c r="K29" s="710">
        <f>-K19-K20-K21-K22-369.8</f>
        <v>-492.11</v>
      </c>
      <c r="L29" s="710">
        <f>-L19-L20-L21-L22-367.29</f>
        <v>-490.26</v>
      </c>
      <c r="M29" s="710">
        <f>-M19-M20-M21-M22-381.65-4.92</f>
        <v>-505.25</v>
      </c>
      <c r="N29" s="710"/>
      <c r="O29" s="710">
        <f>SUM(B29:M29)</f>
        <v>-5578.22</v>
      </c>
      <c r="P29" s="516"/>
      <c r="Q29" s="516"/>
      <c r="S29" s="581" t="s">
        <v>1049</v>
      </c>
      <c r="T29">
        <f>+P31</f>
        <v>308670.45104309422</v>
      </c>
      <c r="V29">
        <f>+P32</f>
        <v>1221355.3199999998</v>
      </c>
    </row>
    <row r="30" spans="1:22" customFormat="1">
      <c r="A30" s="584" t="s">
        <v>1042</v>
      </c>
      <c r="B30" s="699">
        <f>SUM(B28:B29)</f>
        <v>1747.2664028776976</v>
      </c>
      <c r="C30" s="699">
        <f>SUM(C28:C29)</f>
        <v>1600.4126618705034</v>
      </c>
      <c r="D30" s="699">
        <f t="shared" ref="D30:L30" si="5">SUM(D28:D29)</f>
        <v>2822.4879756404871</v>
      </c>
      <c r="E30" s="699">
        <f t="shared" si="5"/>
        <v>2674.5244057118857</v>
      </c>
      <c r="F30" s="699">
        <f t="shared" si="5"/>
        <v>2421.348882822344</v>
      </c>
      <c r="G30" s="699">
        <f t="shared" si="5"/>
        <v>3191.3181772364551</v>
      </c>
      <c r="H30" s="699">
        <f t="shared" si="5"/>
        <v>3212.5928265434691</v>
      </c>
      <c r="I30" s="699">
        <f t="shared" si="5"/>
        <v>2806.4267534649312</v>
      </c>
      <c r="J30" s="699">
        <f t="shared" si="5"/>
        <v>2936.5205753884929</v>
      </c>
      <c r="K30" s="699">
        <f t="shared" si="5"/>
        <v>2527.331831163377</v>
      </c>
      <c r="L30" s="699">
        <f t="shared" si="5"/>
        <v>2534.3919571608567</v>
      </c>
      <c r="M30" s="699">
        <f>SUM(M28:M29)</f>
        <v>2209.6938173750909</v>
      </c>
      <c r="N30" s="1"/>
      <c r="O30" s="710">
        <f>SUM(B30:M30)</f>
        <v>30684.316267255592</v>
      </c>
      <c r="P30" s="516"/>
      <c r="Q30" s="516"/>
      <c r="S30" s="581" t="s">
        <v>1048</v>
      </c>
      <c r="T30">
        <f>+P12</f>
        <v>135515.14895690573</v>
      </c>
      <c r="V30">
        <f>9716.55*P10</f>
        <v>462702.11099999992</v>
      </c>
    </row>
    <row r="31" spans="1:22" customFormat="1">
      <c r="A31" s="584" t="s">
        <v>1035</v>
      </c>
      <c r="B31" s="699">
        <f t="shared" ref="B31:M31" si="6">+B13+B14</f>
        <v>266.14</v>
      </c>
      <c r="C31" s="699">
        <f t="shared" si="6"/>
        <v>251.28</v>
      </c>
      <c r="D31" s="699">
        <f t="shared" si="6"/>
        <v>337.06000000000006</v>
      </c>
      <c r="E31" s="699">
        <f t="shared" si="6"/>
        <v>322.33</v>
      </c>
      <c r="F31" s="699">
        <f t="shared" si="6"/>
        <v>317.76000000000005</v>
      </c>
      <c r="G31" s="699">
        <f t="shared" si="6"/>
        <v>369.99</v>
      </c>
      <c r="H31" s="699">
        <f t="shared" si="6"/>
        <v>337.6</v>
      </c>
      <c r="I31" s="699">
        <f t="shared" si="6"/>
        <v>372.28</v>
      </c>
      <c r="J31" s="699">
        <f t="shared" si="6"/>
        <v>351.98</v>
      </c>
      <c r="K31" s="699">
        <f t="shared" si="6"/>
        <v>304.68999999999994</v>
      </c>
      <c r="L31" s="699">
        <f t="shared" si="6"/>
        <v>354.04</v>
      </c>
      <c r="M31" s="699">
        <f t="shared" si="6"/>
        <v>273.23063803867825</v>
      </c>
      <c r="N31" s="1"/>
      <c r="O31" s="710">
        <f t="shared" ref="O31:O35" si="7">SUM(B31:M31)</f>
        <v>3858.3806380386777</v>
      </c>
      <c r="P31" s="516">
        <f>+O31*P11</f>
        <v>308670.45104309422</v>
      </c>
      <c r="Q31" s="516"/>
      <c r="S31" t="s">
        <v>1038</v>
      </c>
      <c r="T31">
        <f>+T29+T30</f>
        <v>444185.59999999998</v>
      </c>
      <c r="V31">
        <f>SUM(V29:V30)</f>
        <v>1684057.4309999999</v>
      </c>
    </row>
    <row r="32" spans="1:22" customFormat="1">
      <c r="A32" s="584" t="s">
        <v>1036</v>
      </c>
      <c r="B32" s="699">
        <f>+B30-B31</f>
        <v>1481.1264028776977</v>
      </c>
      <c r="C32" s="699">
        <f t="shared" ref="C32:M32" si="8">+C30-C31</f>
        <v>1349.1326618705034</v>
      </c>
      <c r="D32" s="699">
        <f t="shared" si="8"/>
        <v>2485.4279756404871</v>
      </c>
      <c r="E32" s="699">
        <f t="shared" si="8"/>
        <v>2352.1944057118858</v>
      </c>
      <c r="F32" s="699">
        <f t="shared" si="8"/>
        <v>2103.5888828223437</v>
      </c>
      <c r="G32" s="699">
        <f t="shared" si="8"/>
        <v>2821.3281772364553</v>
      </c>
      <c r="H32" s="699">
        <f t="shared" si="8"/>
        <v>2874.9928265434692</v>
      </c>
      <c r="I32" s="699">
        <f t="shared" si="8"/>
        <v>2434.146753464931</v>
      </c>
      <c r="J32" s="699">
        <f t="shared" si="8"/>
        <v>2584.5405753884929</v>
      </c>
      <c r="K32" s="699">
        <f t="shared" si="8"/>
        <v>2222.641831163377</v>
      </c>
      <c r="L32" s="699">
        <f t="shared" si="8"/>
        <v>2180.3519571608567</v>
      </c>
      <c r="M32" s="699">
        <f t="shared" si="8"/>
        <v>1936.4631793364126</v>
      </c>
      <c r="N32" s="1"/>
      <c r="O32" s="710">
        <f t="shared" si="7"/>
        <v>26825.935629216907</v>
      </c>
      <c r="P32" s="710">
        <f>+(B32+C32)*27.8+(D32+E32+F32+G32+H32+I32+J32+K32+L32+M32)*P$10</f>
        <v>1221355.3199999998</v>
      </c>
      <c r="Q32" s="516"/>
      <c r="S32" s="581" t="s">
        <v>1063</v>
      </c>
      <c r="V32">
        <f>+P18</f>
        <v>911433.6399999999</v>
      </c>
    </row>
    <row r="33" spans="1:22" customFormat="1">
      <c r="A33" s="584" t="s">
        <v>1043</v>
      </c>
      <c r="B33" s="731">
        <f>+B12+B17</f>
        <v>1503.0511510791366</v>
      </c>
      <c r="C33" s="731">
        <f>+C12+C17-140.56</f>
        <v>948.38604316546775</v>
      </c>
      <c r="D33" s="731">
        <f>+D12+D17-199.64</f>
        <v>1392.1877530449392</v>
      </c>
      <c r="E33" s="731">
        <f>+E12+E17-183.35</f>
        <v>1073.3735195296097</v>
      </c>
      <c r="F33" s="731">
        <f>+F12+F17-138.59</f>
        <v>738.96012179756406</v>
      </c>
      <c r="G33" s="731">
        <f>+G12+G17-129.62</f>
        <v>844.52113817723659</v>
      </c>
      <c r="H33" s="731">
        <f>+H12+H17-212.71</f>
        <v>717.63154556908864</v>
      </c>
      <c r="I33" s="731">
        <f>+I12+I17-134.58</f>
        <v>978.17764384712302</v>
      </c>
      <c r="J33" s="731">
        <f>+J12+J17-206.73</f>
        <v>1000.8524401511972</v>
      </c>
      <c r="K33" s="731">
        <f>+K12+K17-137.45</f>
        <v>988.40069718605628</v>
      </c>
      <c r="L33" s="731">
        <f>+L12+L17-159.11</f>
        <v>1341.0738891222177</v>
      </c>
      <c r="M33" s="731">
        <f>+M12+M17-138.05</f>
        <v>884.69391047035174</v>
      </c>
      <c r="N33" s="731">
        <f t="shared" ref="N33" si="9">+N12+N17</f>
        <v>0</v>
      </c>
      <c r="O33" s="710">
        <f t="shared" si="7"/>
        <v>12411.309853139988</v>
      </c>
      <c r="P33" s="516"/>
      <c r="Q33" s="516"/>
      <c r="S33" t="s">
        <v>1039</v>
      </c>
      <c r="T33">
        <f>+'IS-PBC'!O139</f>
        <v>444260.6</v>
      </c>
      <c r="V33">
        <f>+'IS-PBC'!O131</f>
        <v>2590581.39</v>
      </c>
    </row>
    <row r="34" spans="1:22" customFormat="1">
      <c r="A34" s="584" t="s">
        <v>1035</v>
      </c>
      <c r="B34" s="731">
        <f>+B12</f>
        <v>120.79000000000003</v>
      </c>
      <c r="C34" s="731">
        <f t="shared" ref="C34:M34" si="10">+C12</f>
        <v>66.599999999999994</v>
      </c>
      <c r="D34" s="731">
        <f t="shared" si="10"/>
        <v>115.98000000000002</v>
      </c>
      <c r="E34" s="731">
        <f t="shared" si="10"/>
        <v>120.69999999999999</v>
      </c>
      <c r="F34" s="731">
        <f t="shared" si="10"/>
        <v>92.64</v>
      </c>
      <c r="G34" s="731">
        <f t="shared" si="10"/>
        <v>144.05000000000001</v>
      </c>
      <c r="H34" s="731">
        <f t="shared" si="10"/>
        <v>86.120000000000019</v>
      </c>
      <c r="I34" s="731">
        <f t="shared" si="10"/>
        <v>166.45</v>
      </c>
      <c r="J34" s="731">
        <f t="shared" si="10"/>
        <v>152.09000000000003</v>
      </c>
      <c r="K34" s="731">
        <f t="shared" si="10"/>
        <v>191.21</v>
      </c>
      <c r="L34" s="731">
        <f t="shared" si="10"/>
        <v>218.14</v>
      </c>
      <c r="M34" s="731">
        <f t="shared" si="10"/>
        <v>219.16936196132175</v>
      </c>
      <c r="O34" s="710">
        <f t="shared" si="7"/>
        <v>1693.9393619613218</v>
      </c>
      <c r="P34" s="516">
        <f>+O34*P11</f>
        <v>135515.14895690573</v>
      </c>
      <c r="Q34" s="516"/>
      <c r="T34">
        <f>+T31-T33</f>
        <v>-75</v>
      </c>
      <c r="V34">
        <f>+V31-V33+V32</f>
        <v>4909.6809999996331</v>
      </c>
    </row>
    <row r="35" spans="1:22" customFormat="1">
      <c r="A35" s="584" t="s">
        <v>1036</v>
      </c>
      <c r="B35" s="721">
        <v>806.94792104157921</v>
      </c>
      <c r="C35" s="721">
        <v>456.27320453590931</v>
      </c>
      <c r="D35" s="721">
        <v>1276.2076858462831</v>
      </c>
      <c r="E35" s="721">
        <v>952.67366652666954</v>
      </c>
      <c r="F35" s="721">
        <v>646.32003359932799</v>
      </c>
      <c r="G35" s="721">
        <v>700.47102057958841</v>
      </c>
      <c r="H35" s="721">
        <v>631.50986980260404</v>
      </c>
      <c r="I35" s="721">
        <v>811.7299454010921</v>
      </c>
      <c r="J35" s="721">
        <v>848.76291474170534</v>
      </c>
      <c r="K35" s="721">
        <v>797.19004619907616</v>
      </c>
      <c r="L35" s="721">
        <v>1122.9332213355733</v>
      </c>
      <c r="M35" s="721">
        <v>665.52708945821087</v>
      </c>
      <c r="O35" s="710">
        <f t="shared" si="7"/>
        <v>9716.5466190676198</v>
      </c>
      <c r="P35">
        <f>+O35*P10</f>
        <v>462701.95</v>
      </c>
      <c r="T35" t="s">
        <v>1041</v>
      </c>
      <c r="V35" t="s">
        <v>1041</v>
      </c>
    </row>
    <row r="36" spans="1:22" customFormat="1" ht="15">
      <c r="A36" s="581"/>
      <c r="P36">
        <f>SUM(P31:P35)</f>
        <v>2128242.87</v>
      </c>
    </row>
    <row r="37" spans="1:22">
      <c r="A37" s="666" t="s">
        <v>228</v>
      </c>
      <c r="D37" s="585"/>
      <c r="E37" s="585"/>
      <c r="S37"/>
      <c r="T37"/>
      <c r="U37"/>
      <c r="V37"/>
    </row>
    <row r="38" spans="1:22">
      <c r="A38" s="892" t="s">
        <v>854</v>
      </c>
      <c r="B38" s="892"/>
      <c r="C38" s="892"/>
      <c r="D38" s="892"/>
      <c r="E38" s="892"/>
      <c r="F38" s="892"/>
      <c r="G38" s="892"/>
    </row>
    <row r="39" spans="1:22">
      <c r="A39" s="586">
        <v>27.8</v>
      </c>
      <c r="B39" s="492" t="s">
        <v>1064</v>
      </c>
      <c r="C39" s="495"/>
      <c r="E39" s="585"/>
      <c r="O39" s="495"/>
    </row>
    <row r="40" spans="1:22">
      <c r="A40" s="586">
        <v>47.62</v>
      </c>
      <c r="B40" s="492" t="s">
        <v>1065</v>
      </c>
      <c r="C40" s="495"/>
      <c r="E40" s="585"/>
      <c r="F40" s="587"/>
      <c r="H40" s="677"/>
      <c r="O40" s="495" t="s">
        <v>1126</v>
      </c>
      <c r="P40" s="495">
        <f>+P12+P17</f>
        <v>682999.18895690562</v>
      </c>
    </row>
    <row r="41" spans="1:22">
      <c r="A41" s="495"/>
      <c r="B41" s="492" t="s">
        <v>4</v>
      </c>
      <c r="C41" s="495">
        <f>+A40-A39</f>
        <v>19.819999999999997</v>
      </c>
      <c r="D41" s="492" t="s">
        <v>1066</v>
      </c>
      <c r="E41" s="585"/>
    </row>
    <row r="42" spans="1:22">
      <c r="A42" s="588"/>
      <c r="C42" s="585"/>
      <c r="E42" s="585"/>
      <c r="J42" s="677"/>
      <c r="O42" s="492" t="s">
        <v>1072</v>
      </c>
      <c r="P42" s="495">
        <f>+P31+P32+P34+P35</f>
        <v>2128242.87</v>
      </c>
    </row>
    <row r="43" spans="1:22">
      <c r="A43" s="676">
        <f>A41/A39</f>
        <v>0</v>
      </c>
      <c r="B43" s="492" t="s">
        <v>197</v>
      </c>
      <c r="E43" s="587"/>
      <c r="O43" s="492" t="s">
        <v>1017</v>
      </c>
      <c r="P43" s="516">
        <f>+P23-P42</f>
        <v>1292139.1351999999</v>
      </c>
    </row>
    <row r="44" spans="1:22">
      <c r="A44" s="676"/>
      <c r="E44" s="587"/>
      <c r="P44" s="723"/>
    </row>
    <row r="45" spans="1:22">
      <c r="A45" s="893" t="s">
        <v>852</v>
      </c>
      <c r="B45" s="893"/>
      <c r="C45" s="893"/>
      <c r="D45" s="893"/>
      <c r="E45" s="893"/>
      <c r="F45" s="893"/>
      <c r="G45" s="893"/>
    </row>
    <row r="46" spans="1:22">
      <c r="A46" s="586">
        <v>80</v>
      </c>
      <c r="B46" s="492" t="s">
        <v>146</v>
      </c>
      <c r="E46" s="585"/>
      <c r="O46" s="492" t="s">
        <v>1127</v>
      </c>
      <c r="P46" s="725">
        <f>+T30+V30</f>
        <v>598217.25995690562</v>
      </c>
    </row>
    <row r="47" spans="1:22">
      <c r="A47" s="586">
        <v>80</v>
      </c>
      <c r="B47" s="492" t="s">
        <v>1027</v>
      </c>
      <c r="E47" s="585"/>
      <c r="F47" s="587"/>
      <c r="H47" s="677"/>
      <c r="O47" s="492" t="s">
        <v>1128</v>
      </c>
      <c r="P47" s="652">
        <f>+P40-P46</f>
        <v>84781.929000000004</v>
      </c>
    </row>
    <row r="48" spans="1:22">
      <c r="A48" s="495">
        <f>A47-A46</f>
        <v>0</v>
      </c>
      <c r="B48" s="492" t="s">
        <v>4</v>
      </c>
      <c r="E48" s="585"/>
    </row>
    <row r="49" spans="1:22">
      <c r="A49" s="588"/>
      <c r="C49" s="585"/>
      <c r="E49" s="585"/>
    </row>
    <row r="50" spans="1:22">
      <c r="A50" s="676">
        <f>A48/A46</f>
        <v>0</v>
      </c>
      <c r="B50" s="492" t="s">
        <v>197</v>
      </c>
      <c r="E50" s="587"/>
    </row>
    <row r="51" spans="1:22">
      <c r="A51" s="587"/>
    </row>
    <row r="52" spans="1:22" customFormat="1" ht="16.5" thickBot="1">
      <c r="A52" s="666" t="s">
        <v>34</v>
      </c>
      <c r="B52" s="492"/>
      <c r="C52" s="492"/>
      <c r="D52" s="492"/>
      <c r="E52" s="492"/>
      <c r="S52" s="492"/>
      <c r="T52" s="492"/>
      <c r="U52" s="492"/>
      <c r="V52" s="492"/>
    </row>
    <row r="53" spans="1:22">
      <c r="A53" s="667"/>
      <c r="B53" s="668" t="s">
        <v>404</v>
      </c>
      <c r="C53" s="718">
        <f>+'Sch 4 - 12 Months'!O38</f>
        <v>3431652.9099999997</v>
      </c>
      <c r="D53" s="669"/>
      <c r="E53" s="670"/>
      <c r="S53"/>
      <c r="T53"/>
      <c r="U53"/>
      <c r="V53"/>
    </row>
    <row r="54" spans="1:22">
      <c r="A54" s="671"/>
      <c r="B54" s="584" t="s">
        <v>405</v>
      </c>
      <c r="C54" s="719">
        <v>4592054.42</v>
      </c>
      <c r="E54" s="672"/>
    </row>
    <row r="55" spans="1:22">
      <c r="A55" s="671"/>
      <c r="B55" s="584" t="s">
        <v>406</v>
      </c>
      <c r="C55" s="720">
        <f>+C53-C54</f>
        <v>-1160401.5100000002</v>
      </c>
      <c r="E55" s="672"/>
    </row>
    <row r="56" spans="1:22" ht="16.5" thickBot="1">
      <c r="A56" s="673"/>
      <c r="B56" s="674"/>
      <c r="C56" s="674"/>
      <c r="D56" s="674"/>
      <c r="E56" s="675"/>
    </row>
    <row r="58" spans="1:22" ht="16.5" thickBot="1">
      <c r="A58" s="666" t="s">
        <v>200</v>
      </c>
      <c r="B58" s="585"/>
      <c r="C58" s="585"/>
      <c r="D58" s="585"/>
      <c r="E58" s="585"/>
    </row>
    <row r="59" spans="1:22">
      <c r="A59" s="667"/>
      <c r="B59" s="669" t="s">
        <v>1068</v>
      </c>
      <c r="C59" s="678"/>
      <c r="D59" s="669"/>
      <c r="E59" s="670"/>
    </row>
    <row r="60" spans="1:22">
      <c r="A60" s="671"/>
      <c r="B60" s="584" t="s">
        <v>1067</v>
      </c>
      <c r="C60" s="272">
        <f>+B15+B16+C15+C16</f>
        <v>3393.1390647482012</v>
      </c>
      <c r="D60" s="495"/>
      <c r="E60" s="672"/>
    </row>
    <row r="61" spans="1:22">
      <c r="A61" s="671"/>
      <c r="B61" s="584" t="s">
        <v>4</v>
      </c>
      <c r="C61" s="273">
        <f>+C41</f>
        <v>19.819999999999997</v>
      </c>
      <c r="E61" s="672"/>
    </row>
    <row r="62" spans="1:22" ht="16.5" thickBot="1">
      <c r="A62" s="671"/>
      <c r="B62" s="685" t="s">
        <v>200</v>
      </c>
      <c r="C62" s="274">
        <f>+C60*C61</f>
        <v>67252.016263309342</v>
      </c>
      <c r="E62" s="672"/>
    </row>
    <row r="63" spans="1:22" ht="16.5" thickTop="1">
      <c r="A63" s="671"/>
      <c r="B63" s="584" t="s">
        <v>407</v>
      </c>
      <c r="C63" s="686"/>
      <c r="E63" s="672"/>
    </row>
    <row r="64" spans="1:22">
      <c r="A64" s="671"/>
      <c r="B64" s="492" t="s">
        <v>1067</v>
      </c>
      <c r="C64" s="272">
        <f>+B17+C17</f>
        <v>2404.6071942446042</v>
      </c>
      <c r="E64" s="672"/>
    </row>
    <row r="65" spans="1:18">
      <c r="A65" s="671"/>
      <c r="B65" s="584" t="s">
        <v>4</v>
      </c>
      <c r="C65" s="273">
        <f>+C61</f>
        <v>19.819999999999997</v>
      </c>
      <c r="E65" s="672"/>
    </row>
    <row r="66" spans="1:18" ht="16.5" thickBot="1">
      <c r="A66" s="671"/>
      <c r="B66" s="685" t="s">
        <v>200</v>
      </c>
      <c r="C66" s="275">
        <f>+C64*C65</f>
        <v>47659.31458992805</v>
      </c>
      <c r="E66" s="672"/>
    </row>
    <row r="67" spans="1:18" ht="17.25" thickTop="1" thickBot="1">
      <c r="A67" s="673"/>
      <c r="B67" s="674"/>
      <c r="C67" s="674"/>
      <c r="D67" s="674"/>
      <c r="E67" s="675"/>
    </row>
    <row r="68" spans="1:18">
      <c r="A68" s="589"/>
      <c r="B68" s="590"/>
      <c r="C68" s="590"/>
      <c r="D68" s="590"/>
      <c r="J68" s="585"/>
      <c r="K68" s="585"/>
      <c r="L68" s="585"/>
      <c r="M68" s="585"/>
      <c r="N68" s="585"/>
      <c r="O68" s="585"/>
      <c r="P68" s="585"/>
      <c r="Q68" s="585"/>
    </row>
    <row r="69" spans="1:18" ht="16.5" thickBot="1">
      <c r="A69" s="666" t="s">
        <v>423</v>
      </c>
      <c r="B69" s="585"/>
      <c r="C69" s="585"/>
      <c r="D69" s="585"/>
      <c r="E69" s="585"/>
      <c r="R69" s="585"/>
    </row>
    <row r="70" spans="1:18">
      <c r="A70" s="667"/>
      <c r="B70" s="669"/>
      <c r="C70" s="678"/>
      <c r="D70" s="669"/>
      <c r="E70" s="670"/>
      <c r="M70" s="586"/>
    </row>
    <row r="71" spans="1:18">
      <c r="A71" s="671"/>
      <c r="B71" s="584" t="s">
        <v>417</v>
      </c>
      <c r="C71" s="272">
        <f>+C62</f>
        <v>67252.016263309342</v>
      </c>
      <c r="D71" s="495"/>
      <c r="E71" s="672"/>
      <c r="I71" s="585"/>
      <c r="J71" s="591"/>
      <c r="K71" s="592"/>
      <c r="L71" s="592"/>
      <c r="M71" s="585"/>
      <c r="N71" s="585"/>
      <c r="O71" s="585"/>
      <c r="P71" s="585"/>
      <c r="Q71" s="585"/>
    </row>
    <row r="72" spans="1:18">
      <c r="A72" s="671"/>
      <c r="B72" s="584"/>
      <c r="C72" s="679"/>
      <c r="E72" s="672"/>
      <c r="I72" s="585"/>
      <c r="J72" s="591"/>
      <c r="K72" s="592"/>
      <c r="L72" s="592"/>
      <c r="M72" s="585"/>
      <c r="N72" s="585"/>
      <c r="O72" s="585"/>
      <c r="P72" s="585"/>
      <c r="Q72" s="585"/>
    </row>
    <row r="73" spans="1:18">
      <c r="A73" s="671"/>
      <c r="B73" s="584" t="s">
        <v>419</v>
      </c>
      <c r="C73" s="680">
        <f>+Operations!C12</f>
        <v>2805579.18</v>
      </c>
      <c r="D73" s="681">
        <f>+C73/C75</f>
        <v>0.60381402423617203</v>
      </c>
      <c r="E73" s="672"/>
      <c r="I73" s="585"/>
      <c r="J73" s="585"/>
      <c r="K73" s="585"/>
      <c r="L73" s="585"/>
      <c r="M73" s="585"/>
      <c r="N73" s="585"/>
      <c r="O73" s="585"/>
      <c r="P73" s="585"/>
      <c r="Q73" s="585"/>
    </row>
    <row r="74" spans="1:18">
      <c r="A74" s="671"/>
      <c r="B74" s="584" t="s">
        <v>418</v>
      </c>
      <c r="C74" s="682">
        <f>+Operations!C14</f>
        <v>1840850.13</v>
      </c>
      <c r="D74" s="681">
        <f>+C74/C75</f>
        <v>0.39618597576382791</v>
      </c>
      <c r="E74" s="672"/>
      <c r="I74" s="585"/>
      <c r="J74" s="585"/>
      <c r="K74" s="585"/>
      <c r="L74" s="585"/>
      <c r="M74" s="585"/>
      <c r="N74" s="585"/>
      <c r="O74" s="585"/>
      <c r="P74" s="585"/>
      <c r="Q74" s="585"/>
    </row>
    <row r="75" spans="1:18">
      <c r="A75" s="671"/>
      <c r="B75" s="584" t="s">
        <v>420</v>
      </c>
      <c r="C75" s="683">
        <f>+C73+C74</f>
        <v>4646429.3100000005</v>
      </c>
      <c r="E75" s="672"/>
      <c r="I75" s="585"/>
      <c r="J75" s="585"/>
      <c r="K75" s="585"/>
      <c r="L75" s="585"/>
      <c r="M75" s="585"/>
      <c r="N75" s="585"/>
      <c r="O75" s="585"/>
      <c r="P75" s="585"/>
      <c r="Q75" s="585"/>
    </row>
    <row r="76" spans="1:18">
      <c r="A76" s="671"/>
      <c r="B76" s="584"/>
      <c r="C76" s="679"/>
      <c r="E76" s="672"/>
      <c r="J76" s="585"/>
      <c r="K76" s="585"/>
      <c r="L76" s="585"/>
      <c r="M76" s="585"/>
      <c r="N76" s="585"/>
      <c r="O76" s="585"/>
      <c r="P76" s="585"/>
      <c r="Q76" s="585"/>
    </row>
    <row r="77" spans="1:18">
      <c r="A77" s="671"/>
      <c r="B77" s="584" t="s">
        <v>421</v>
      </c>
      <c r="C77" s="684">
        <f>+C71*D73</f>
        <v>40607.710577945305</v>
      </c>
      <c r="E77" s="672"/>
      <c r="J77" s="585"/>
      <c r="K77" s="585"/>
      <c r="L77" s="585"/>
      <c r="M77" s="585"/>
      <c r="N77" s="585"/>
      <c r="O77" s="585"/>
      <c r="P77" s="585"/>
      <c r="Q77" s="585"/>
    </row>
    <row r="78" spans="1:18">
      <c r="A78" s="671"/>
      <c r="B78" s="584" t="s">
        <v>422</v>
      </c>
      <c r="C78" s="684">
        <f>+C71*D74</f>
        <v>26644.305685364037</v>
      </c>
      <c r="E78" s="672"/>
      <c r="F78" s="495"/>
      <c r="H78" s="495"/>
      <c r="I78" s="593"/>
      <c r="J78" s="585"/>
      <c r="K78" s="585"/>
      <c r="L78" s="585"/>
      <c r="M78" s="585"/>
      <c r="N78" s="585"/>
      <c r="O78" s="585"/>
      <c r="P78" s="585"/>
      <c r="Q78" s="585"/>
    </row>
    <row r="79" spans="1:18" ht="16.5" thickBot="1">
      <c r="A79" s="673"/>
      <c r="B79" s="674"/>
      <c r="C79" s="674"/>
      <c r="D79" s="674"/>
      <c r="E79" s="675"/>
      <c r="F79" s="495"/>
      <c r="H79" s="495"/>
      <c r="I79" s="593"/>
      <c r="J79" s="585"/>
      <c r="K79" s="585"/>
      <c r="L79" s="585"/>
      <c r="M79" s="585"/>
      <c r="N79" s="585"/>
      <c r="O79" s="585"/>
      <c r="P79" s="585"/>
      <c r="Q79" s="585"/>
    </row>
    <row r="80" spans="1:18">
      <c r="A80" s="589"/>
      <c r="B80" s="590"/>
      <c r="C80" s="590"/>
      <c r="D80" s="590"/>
      <c r="E80" s="584"/>
      <c r="F80" s="495"/>
      <c r="I80" s="585"/>
      <c r="J80" s="585"/>
      <c r="K80" s="585"/>
      <c r="L80" s="585"/>
      <c r="M80" s="585"/>
      <c r="N80" s="585"/>
      <c r="O80" s="585"/>
      <c r="P80" s="585"/>
      <c r="Q80" s="585"/>
    </row>
    <row r="81" spans="1:17">
      <c r="A81" s="589"/>
      <c r="B81" s="590"/>
      <c r="C81" s="590"/>
      <c r="D81" s="590"/>
      <c r="E81" s="584"/>
      <c r="F81" s="495"/>
      <c r="I81" s="585"/>
      <c r="J81" s="585"/>
      <c r="K81" s="585"/>
      <c r="L81" s="585"/>
      <c r="M81" s="585"/>
      <c r="N81" s="585"/>
      <c r="O81" s="585"/>
      <c r="P81" s="585"/>
      <c r="Q81" s="585"/>
    </row>
    <row r="82" spans="1:17">
      <c r="A82" s="589"/>
      <c r="B82" s="590"/>
      <c r="C82" s="590"/>
      <c r="D82" s="590"/>
      <c r="E82" s="584"/>
      <c r="F82" s="495"/>
      <c r="I82" s="585"/>
      <c r="J82" s="585"/>
      <c r="K82" s="585"/>
      <c r="L82" s="585"/>
      <c r="M82" s="585"/>
      <c r="N82" s="585"/>
      <c r="O82" s="585"/>
      <c r="P82" s="585"/>
      <c r="Q82" s="585"/>
    </row>
    <row r="83" spans="1:17">
      <c r="A83" s="589"/>
      <c r="B83" s="590"/>
      <c r="C83" s="590"/>
      <c r="D83" s="590"/>
      <c r="E83" s="584"/>
      <c r="I83" s="585"/>
      <c r="J83" s="585"/>
      <c r="K83" s="585"/>
      <c r="L83" s="585"/>
      <c r="M83" s="585"/>
      <c r="N83" s="585"/>
      <c r="O83" s="585"/>
      <c r="P83" s="585"/>
      <c r="Q83" s="585"/>
    </row>
    <row r="84" spans="1:17">
      <c r="A84" s="589"/>
      <c r="B84" s="590"/>
      <c r="C84" s="590"/>
      <c r="D84" s="590"/>
      <c r="E84" s="584"/>
      <c r="I84" s="585"/>
      <c r="J84" s="585"/>
      <c r="K84" s="585"/>
      <c r="L84" s="585"/>
      <c r="M84" s="585"/>
      <c r="N84" s="585"/>
      <c r="O84" s="585"/>
      <c r="P84" s="585"/>
      <c r="Q84" s="585"/>
    </row>
    <row r="85" spans="1:17">
      <c r="A85" s="589"/>
      <c r="B85" s="590"/>
      <c r="C85" s="590"/>
      <c r="D85" s="590"/>
      <c r="E85" s="584"/>
      <c r="I85" s="585"/>
      <c r="J85" s="585"/>
      <c r="K85" s="585"/>
      <c r="L85" s="585"/>
      <c r="M85" s="585"/>
      <c r="N85" s="585"/>
      <c r="O85" s="585"/>
      <c r="P85" s="585"/>
      <c r="Q85" s="585"/>
    </row>
    <row r="86" spans="1:17">
      <c r="A86" s="589"/>
      <c r="B86" s="590"/>
      <c r="C86" s="590"/>
      <c r="D86" s="590"/>
      <c r="E86" s="584"/>
      <c r="I86" s="585"/>
      <c r="J86" s="585"/>
      <c r="K86" s="585"/>
      <c r="L86" s="585"/>
      <c r="M86" s="585"/>
      <c r="N86" s="585"/>
      <c r="O86" s="585"/>
      <c r="P86" s="585"/>
      <c r="Q86" s="585"/>
    </row>
    <row r="87" spans="1:17">
      <c r="A87" s="589"/>
      <c r="B87" s="590"/>
      <c r="C87" s="590"/>
      <c r="D87" s="590"/>
      <c r="E87" s="584"/>
      <c r="I87" s="585"/>
      <c r="J87" s="585"/>
      <c r="K87" s="585"/>
      <c r="L87" s="585"/>
      <c r="M87" s="585"/>
      <c r="N87" s="585"/>
      <c r="O87" s="585"/>
      <c r="P87" s="585"/>
      <c r="Q87" s="585"/>
    </row>
    <row r="88" spans="1:17">
      <c r="A88" s="589"/>
      <c r="B88" s="590"/>
      <c r="C88" s="590"/>
      <c r="D88" s="590"/>
      <c r="E88" s="584"/>
      <c r="I88" s="585"/>
      <c r="J88" s="585"/>
      <c r="K88" s="585"/>
      <c r="L88" s="585"/>
      <c r="M88" s="585"/>
      <c r="N88" s="585"/>
      <c r="O88" s="585"/>
      <c r="P88" s="585"/>
      <c r="Q88" s="585"/>
    </row>
    <row r="89" spans="1:17">
      <c r="A89" s="589"/>
      <c r="B89" s="590"/>
      <c r="C89" s="590"/>
      <c r="D89" s="590"/>
      <c r="E89" s="584"/>
      <c r="I89" s="585"/>
      <c r="J89" s="585"/>
      <c r="K89" s="585"/>
      <c r="L89" s="585"/>
      <c r="M89" s="585"/>
      <c r="N89" s="585"/>
      <c r="O89" s="585"/>
      <c r="P89" s="585"/>
      <c r="Q89" s="585"/>
    </row>
    <row r="90" spans="1:17">
      <c r="A90" s="589"/>
      <c r="B90" s="590"/>
      <c r="C90" s="590"/>
      <c r="D90" s="590"/>
      <c r="E90" s="584"/>
      <c r="I90" s="585"/>
      <c r="J90" s="585"/>
      <c r="K90" s="585"/>
      <c r="L90" s="585"/>
      <c r="M90" s="585"/>
      <c r="N90" s="585"/>
      <c r="O90" s="585"/>
      <c r="P90" s="585"/>
      <c r="Q90" s="585"/>
    </row>
    <row r="91" spans="1:17">
      <c r="A91" s="589"/>
      <c r="B91" s="590"/>
      <c r="C91" s="590"/>
      <c r="D91" s="590"/>
      <c r="E91" s="584"/>
      <c r="I91" s="585"/>
      <c r="J91" s="585"/>
      <c r="K91" s="585"/>
      <c r="L91" s="585"/>
      <c r="M91" s="585"/>
      <c r="N91" s="585"/>
      <c r="O91" s="585"/>
      <c r="P91" s="585"/>
      <c r="Q91" s="585"/>
    </row>
    <row r="92" spans="1:17">
      <c r="A92" s="589"/>
      <c r="B92" s="590"/>
      <c r="C92" s="590"/>
      <c r="D92" s="590"/>
      <c r="J92" s="585"/>
      <c r="K92" s="588"/>
      <c r="L92" s="588"/>
      <c r="M92" s="585"/>
      <c r="N92" s="585"/>
      <c r="O92" s="585"/>
      <c r="P92" s="585"/>
      <c r="Q92" s="585"/>
    </row>
    <row r="93" spans="1:17">
      <c r="A93" s="589"/>
      <c r="B93" s="590"/>
      <c r="C93" s="590"/>
      <c r="D93" s="590"/>
      <c r="E93" s="584"/>
      <c r="F93" s="495"/>
      <c r="H93" s="495"/>
      <c r="I93" s="593"/>
      <c r="J93" s="585"/>
      <c r="K93" s="588"/>
      <c r="L93" s="588"/>
      <c r="M93" s="585"/>
      <c r="N93" s="585"/>
      <c r="O93" s="585"/>
      <c r="P93" s="585"/>
      <c r="Q93" s="585"/>
    </row>
    <row r="94" spans="1:17">
      <c r="A94" s="589"/>
      <c r="B94" s="590"/>
      <c r="C94" s="590"/>
      <c r="D94" s="590"/>
      <c r="E94" s="584"/>
      <c r="F94" s="495"/>
      <c r="H94" s="495"/>
      <c r="I94" s="593"/>
      <c r="J94" s="585"/>
      <c r="K94" s="588"/>
      <c r="L94" s="588"/>
      <c r="M94" s="585"/>
      <c r="N94" s="585"/>
      <c r="O94" s="585"/>
      <c r="P94" s="585"/>
      <c r="Q94" s="585"/>
    </row>
    <row r="95" spans="1:17">
      <c r="A95" s="589"/>
      <c r="B95" s="590"/>
      <c r="C95" s="590"/>
      <c r="D95" s="590"/>
      <c r="E95" s="584"/>
      <c r="J95" s="585"/>
      <c r="K95" s="588"/>
    </row>
    <row r="96" spans="1:17">
      <c r="A96" s="589"/>
      <c r="B96" s="590"/>
      <c r="C96" s="590"/>
      <c r="D96" s="590"/>
      <c r="E96" s="584"/>
      <c r="J96" s="585"/>
      <c r="K96" s="588"/>
    </row>
    <row r="97" spans="1:11">
      <c r="A97" s="589"/>
      <c r="B97" s="590"/>
      <c r="C97" s="590"/>
      <c r="D97" s="590"/>
      <c r="E97" s="584"/>
      <c r="J97" s="585"/>
      <c r="K97" s="588"/>
    </row>
    <row r="98" spans="1:11">
      <c r="A98" s="589"/>
      <c r="B98" s="590"/>
      <c r="C98" s="590"/>
      <c r="D98" s="590"/>
      <c r="E98" s="584"/>
      <c r="J98" s="591"/>
      <c r="K98" s="594"/>
    </row>
    <row r="99" spans="1:11">
      <c r="A99" s="589"/>
      <c r="B99" s="590"/>
      <c r="C99" s="590"/>
      <c r="D99" s="590"/>
      <c r="E99" s="584"/>
      <c r="J99" s="591"/>
      <c r="K99" s="594"/>
    </row>
    <row r="100" spans="1:11">
      <c r="A100" s="589"/>
      <c r="B100" s="590"/>
      <c r="C100" s="590"/>
      <c r="D100" s="590"/>
      <c r="E100" s="584"/>
      <c r="J100" s="591"/>
      <c r="K100" s="594"/>
    </row>
    <row r="101" spans="1:11">
      <c r="A101" s="589"/>
      <c r="B101" s="590"/>
      <c r="C101" s="590"/>
      <c r="D101" s="590"/>
      <c r="E101" s="584"/>
    </row>
    <row r="102" spans="1:11">
      <c r="A102" s="589"/>
      <c r="B102" s="590"/>
      <c r="C102" s="590"/>
      <c r="D102" s="590"/>
      <c r="E102" s="584"/>
    </row>
    <row r="103" spans="1:11">
      <c r="A103" s="589"/>
      <c r="B103" s="590"/>
      <c r="C103" s="590"/>
      <c r="D103" s="590"/>
      <c r="E103" s="584"/>
    </row>
    <row r="104" spans="1:11">
      <c r="A104" s="589"/>
      <c r="B104" s="590"/>
      <c r="C104" s="590"/>
      <c r="D104" s="590"/>
    </row>
    <row r="105" spans="1:11">
      <c r="A105" s="589"/>
      <c r="B105" s="590"/>
      <c r="C105" s="590"/>
      <c r="D105" s="590"/>
      <c r="E105" s="584"/>
      <c r="F105" s="495"/>
      <c r="H105" s="495"/>
      <c r="I105" s="593"/>
    </row>
    <row r="106" spans="1:11">
      <c r="A106" s="589"/>
      <c r="B106" s="590"/>
      <c r="C106" s="590"/>
      <c r="D106" s="590"/>
      <c r="E106" s="584"/>
      <c r="F106" s="495"/>
      <c r="H106" s="495"/>
      <c r="I106" s="593"/>
    </row>
    <row r="107" spans="1:11">
      <c r="A107" s="589"/>
      <c r="B107" s="590"/>
      <c r="C107" s="590"/>
      <c r="D107" s="590"/>
      <c r="E107" s="584"/>
      <c r="F107" s="495"/>
    </row>
    <row r="108" spans="1:11">
      <c r="A108" s="589"/>
      <c r="B108" s="590"/>
      <c r="C108" s="590"/>
      <c r="D108" s="590"/>
      <c r="E108" s="584"/>
      <c r="F108" s="495"/>
    </row>
    <row r="109" spans="1:11">
      <c r="A109" s="589"/>
      <c r="B109" s="590"/>
      <c r="C109" s="590"/>
      <c r="D109" s="590"/>
      <c r="E109" s="584"/>
      <c r="F109" s="495"/>
    </row>
    <row r="110" spans="1:11">
      <c r="A110" s="589"/>
      <c r="B110" s="590"/>
      <c r="C110" s="590"/>
      <c r="D110" s="590"/>
      <c r="E110" s="584"/>
    </row>
    <row r="111" spans="1:11">
      <c r="A111" s="589"/>
      <c r="B111" s="590"/>
      <c r="C111" s="590"/>
      <c r="D111" s="590"/>
      <c r="E111" s="584"/>
    </row>
    <row r="112" spans="1:11">
      <c r="A112" s="589"/>
      <c r="B112" s="590"/>
      <c r="C112" s="590"/>
      <c r="D112" s="590"/>
      <c r="E112" s="584"/>
    </row>
    <row r="113" spans="1:9">
      <c r="A113" s="589"/>
      <c r="B113" s="590"/>
      <c r="C113" s="590"/>
      <c r="D113" s="590"/>
      <c r="E113" s="584"/>
    </row>
    <row r="114" spans="1:9">
      <c r="A114" s="589"/>
      <c r="B114" s="590"/>
      <c r="C114" s="590"/>
      <c r="D114" s="590"/>
      <c r="E114" s="584"/>
    </row>
    <row r="115" spans="1:9">
      <c r="A115" s="589"/>
      <c r="B115" s="590"/>
      <c r="C115" s="590"/>
      <c r="D115" s="590"/>
      <c r="E115" s="584"/>
    </row>
    <row r="116" spans="1:9">
      <c r="A116" s="589"/>
      <c r="B116" s="590"/>
      <c r="C116" s="590"/>
      <c r="D116" s="590"/>
      <c r="E116" s="584"/>
    </row>
    <row r="117" spans="1:9">
      <c r="A117" s="589"/>
      <c r="B117" s="590"/>
      <c r="C117" s="590"/>
      <c r="D117" s="590"/>
      <c r="E117" s="584"/>
    </row>
    <row r="118" spans="1:9">
      <c r="A118" s="589"/>
      <c r="B118" s="590"/>
      <c r="C118" s="590"/>
      <c r="D118" s="590"/>
      <c r="E118" s="584"/>
    </row>
    <row r="119" spans="1:9">
      <c r="A119" s="589"/>
      <c r="B119" s="590"/>
      <c r="C119" s="590"/>
      <c r="D119" s="590"/>
      <c r="E119" s="584"/>
      <c r="F119" s="495"/>
      <c r="H119" s="495"/>
      <c r="I119" s="593"/>
    </row>
    <row r="120" spans="1:9">
      <c r="A120" s="589"/>
      <c r="B120" s="590"/>
      <c r="C120" s="590"/>
      <c r="D120" s="590"/>
      <c r="E120" s="584"/>
      <c r="F120" s="495"/>
      <c r="H120" s="495"/>
      <c r="I120" s="593"/>
    </row>
    <row r="121" spans="1:9">
      <c r="A121" s="589"/>
      <c r="B121" s="590"/>
      <c r="C121" s="590"/>
      <c r="D121" s="590"/>
      <c r="E121" s="584"/>
      <c r="F121" s="495"/>
      <c r="H121" s="495"/>
      <c r="I121" s="593"/>
    </row>
    <row r="122" spans="1:9">
      <c r="A122" s="589"/>
      <c r="B122" s="590"/>
      <c r="C122" s="590"/>
      <c r="D122" s="590"/>
      <c r="E122" s="584"/>
    </row>
    <row r="123" spans="1:9">
      <c r="A123" s="589"/>
      <c r="B123" s="590"/>
      <c r="C123" s="590"/>
      <c r="D123" s="590"/>
      <c r="E123" s="584"/>
    </row>
    <row r="124" spans="1:9">
      <c r="A124" s="589"/>
      <c r="B124" s="590"/>
      <c r="C124" s="590"/>
      <c r="D124" s="590"/>
      <c r="E124" s="584"/>
    </row>
    <row r="125" spans="1:9">
      <c r="A125" s="589"/>
      <c r="B125" s="590"/>
      <c r="C125" s="590"/>
      <c r="D125" s="590"/>
      <c r="E125" s="584"/>
    </row>
    <row r="126" spans="1:9">
      <c r="A126" s="589"/>
      <c r="B126" s="590"/>
      <c r="C126" s="590"/>
      <c r="D126" s="590"/>
      <c r="E126" s="584"/>
    </row>
    <row r="127" spans="1:9">
      <c r="A127" s="589"/>
      <c r="B127" s="590"/>
      <c r="C127" s="590"/>
      <c r="D127" s="590"/>
      <c r="E127" s="584"/>
    </row>
    <row r="128" spans="1:9">
      <c r="A128" s="589"/>
      <c r="B128" s="590"/>
      <c r="C128" s="590"/>
      <c r="D128" s="590"/>
      <c r="E128" s="584"/>
    </row>
    <row r="129" spans="1:9">
      <c r="A129" s="589"/>
      <c r="B129" s="590"/>
      <c r="C129" s="590"/>
      <c r="D129" s="590"/>
      <c r="E129" s="584"/>
    </row>
    <row r="130" spans="1:9">
      <c r="A130" s="589"/>
      <c r="B130" s="590"/>
      <c r="C130" s="590"/>
      <c r="D130" s="590"/>
      <c r="E130" s="584"/>
    </row>
    <row r="131" spans="1:9">
      <c r="A131" s="589"/>
      <c r="B131" s="590"/>
      <c r="C131" s="590"/>
      <c r="D131" s="590"/>
    </row>
    <row r="132" spans="1:9">
      <c r="A132" s="589"/>
      <c r="B132" s="590"/>
      <c r="C132" s="590"/>
      <c r="D132" s="590"/>
      <c r="E132" s="584"/>
      <c r="F132" s="495"/>
      <c r="H132" s="495"/>
      <c r="I132" s="593"/>
    </row>
    <row r="133" spans="1:9">
      <c r="A133" s="589"/>
      <c r="B133" s="590"/>
      <c r="C133" s="590"/>
      <c r="D133" s="590"/>
      <c r="E133" s="584"/>
      <c r="F133" s="495"/>
      <c r="H133" s="495"/>
      <c r="I133" s="593"/>
    </row>
    <row r="134" spans="1:9">
      <c r="A134" s="589"/>
      <c r="B134" s="590"/>
      <c r="C134" s="590"/>
      <c r="D134" s="590"/>
      <c r="E134" s="584"/>
      <c r="F134" s="495"/>
    </row>
    <row r="135" spans="1:9">
      <c r="A135" s="589"/>
      <c r="B135" s="590"/>
      <c r="C135" s="590"/>
      <c r="D135" s="590"/>
      <c r="E135" s="584"/>
      <c r="F135" s="495"/>
    </row>
    <row r="136" spans="1:9">
      <c r="A136" s="589"/>
      <c r="B136" s="590"/>
      <c r="C136" s="590"/>
      <c r="D136" s="590"/>
      <c r="E136" s="584"/>
      <c r="F136" s="495"/>
    </row>
    <row r="137" spans="1:9">
      <c r="A137" s="589"/>
      <c r="B137" s="590"/>
      <c r="C137" s="590"/>
      <c r="D137" s="590"/>
      <c r="E137" s="584"/>
    </row>
    <row r="138" spans="1:9">
      <c r="A138" s="589"/>
      <c r="B138" s="590"/>
      <c r="C138" s="590"/>
      <c r="D138" s="590"/>
      <c r="E138" s="584"/>
    </row>
    <row r="139" spans="1:9">
      <c r="A139" s="589"/>
      <c r="B139" s="590"/>
      <c r="C139" s="590"/>
      <c r="D139" s="590"/>
      <c r="E139" s="584"/>
    </row>
    <row r="140" spans="1:9">
      <c r="A140" s="589"/>
      <c r="B140" s="590"/>
      <c r="C140" s="590"/>
      <c r="D140" s="590"/>
      <c r="E140" s="584"/>
    </row>
    <row r="141" spans="1:9">
      <c r="A141" s="589"/>
      <c r="B141" s="590"/>
      <c r="C141" s="590"/>
      <c r="D141" s="590"/>
      <c r="E141" s="584"/>
    </row>
    <row r="142" spans="1:9">
      <c r="A142" s="589"/>
      <c r="B142" s="590"/>
      <c r="C142" s="590"/>
      <c r="D142" s="590"/>
      <c r="E142" s="584"/>
    </row>
    <row r="143" spans="1:9">
      <c r="A143" s="589"/>
      <c r="B143" s="590"/>
      <c r="C143" s="590"/>
      <c r="D143" s="590"/>
    </row>
    <row r="144" spans="1:9">
      <c r="A144" s="589"/>
      <c r="B144" s="590"/>
      <c r="C144" s="590"/>
      <c r="D144" s="590"/>
      <c r="E144" s="584"/>
      <c r="F144" s="495"/>
      <c r="H144" s="495"/>
      <c r="I144" s="593"/>
    </row>
    <row r="145" spans="1:9">
      <c r="A145" s="589"/>
      <c r="B145" s="590"/>
      <c r="C145" s="590"/>
      <c r="D145" s="590"/>
      <c r="E145" s="584"/>
      <c r="F145" s="495"/>
      <c r="H145" s="495"/>
      <c r="I145" s="593"/>
    </row>
    <row r="146" spans="1:9">
      <c r="A146" s="589"/>
      <c r="B146" s="590"/>
      <c r="C146" s="590"/>
      <c r="D146" s="590"/>
      <c r="E146" s="584"/>
      <c r="F146" s="495"/>
    </row>
    <row r="147" spans="1:9">
      <c r="A147" s="589"/>
      <c r="B147" s="590"/>
      <c r="C147" s="590"/>
      <c r="D147" s="590"/>
      <c r="E147" s="584"/>
      <c r="F147" s="495"/>
    </row>
    <row r="148" spans="1:9">
      <c r="A148" s="589"/>
      <c r="B148" s="590"/>
      <c r="C148" s="590"/>
      <c r="D148" s="590"/>
      <c r="E148" s="584"/>
      <c r="F148" s="495"/>
    </row>
    <row r="149" spans="1:9">
      <c r="A149" s="589"/>
      <c r="B149" s="590"/>
      <c r="C149" s="590"/>
      <c r="D149" s="590"/>
      <c r="E149" s="584"/>
    </row>
    <row r="150" spans="1:9">
      <c r="A150" s="589"/>
      <c r="B150" s="590"/>
      <c r="C150" s="590"/>
      <c r="D150" s="590"/>
      <c r="E150" s="584"/>
    </row>
    <row r="151" spans="1:9">
      <c r="A151" s="589"/>
      <c r="B151" s="590"/>
      <c r="C151" s="590"/>
      <c r="D151" s="590"/>
      <c r="E151" s="584"/>
    </row>
    <row r="152" spans="1:9">
      <c r="A152" s="589"/>
      <c r="B152" s="590"/>
      <c r="C152" s="590"/>
      <c r="D152" s="590"/>
      <c r="E152" s="584"/>
    </row>
    <row r="153" spans="1:9">
      <c r="A153" s="589"/>
      <c r="B153" s="590"/>
      <c r="C153" s="590"/>
      <c r="D153" s="590"/>
      <c r="E153" s="584"/>
    </row>
    <row r="154" spans="1:9">
      <c r="A154" s="589"/>
      <c r="B154" s="590"/>
      <c r="C154" s="590"/>
      <c r="D154" s="590"/>
      <c r="E154" s="584"/>
    </row>
    <row r="155" spans="1:9">
      <c r="A155" s="589"/>
      <c r="B155" s="590"/>
      <c r="C155" s="590"/>
      <c r="D155" s="590"/>
      <c r="E155" s="584"/>
    </row>
    <row r="156" spans="1:9">
      <c r="A156" s="589"/>
      <c r="B156" s="590"/>
      <c r="C156" s="590"/>
      <c r="D156" s="590"/>
      <c r="E156" s="584"/>
    </row>
    <row r="157" spans="1:9">
      <c r="A157" s="589"/>
      <c r="B157" s="590"/>
      <c r="C157" s="590"/>
      <c r="D157" s="590"/>
      <c r="E157" s="584"/>
    </row>
    <row r="158" spans="1:9">
      <c r="A158" s="589"/>
      <c r="B158" s="590"/>
      <c r="C158" s="590"/>
      <c r="D158" s="590"/>
      <c r="E158" s="584"/>
      <c r="F158" s="495"/>
      <c r="H158" s="495"/>
      <c r="I158" s="593"/>
    </row>
    <row r="159" spans="1:9">
      <c r="A159" s="589"/>
      <c r="B159" s="590"/>
      <c r="C159" s="590"/>
      <c r="D159" s="590"/>
      <c r="E159" s="584"/>
      <c r="F159" s="495"/>
      <c r="H159" s="495"/>
      <c r="I159" s="593"/>
    </row>
    <row r="160" spans="1:9">
      <c r="A160" s="589"/>
      <c r="B160" s="590"/>
      <c r="C160" s="590"/>
      <c r="D160" s="590"/>
      <c r="E160" s="584"/>
      <c r="F160" s="495"/>
      <c r="H160" s="495"/>
      <c r="I160" s="593"/>
    </row>
    <row r="161" spans="1:9">
      <c r="A161" s="589"/>
      <c r="B161" s="590"/>
      <c r="C161" s="590"/>
      <c r="D161" s="590"/>
      <c r="E161" s="584"/>
    </row>
    <row r="162" spans="1:9">
      <c r="A162" s="589"/>
      <c r="B162" s="590"/>
      <c r="C162" s="590"/>
      <c r="D162" s="590"/>
      <c r="E162" s="584"/>
    </row>
    <row r="163" spans="1:9">
      <c r="A163" s="589"/>
      <c r="B163" s="590"/>
      <c r="C163" s="590"/>
      <c r="D163" s="590"/>
      <c r="E163" s="584"/>
    </row>
    <row r="164" spans="1:9">
      <c r="A164" s="589"/>
      <c r="B164" s="590"/>
      <c r="C164" s="590"/>
      <c r="D164" s="590"/>
      <c r="E164" s="584"/>
    </row>
    <row r="165" spans="1:9">
      <c r="A165" s="589"/>
      <c r="B165" s="590"/>
      <c r="C165" s="590"/>
      <c r="D165" s="590"/>
      <c r="E165" s="584"/>
    </row>
    <row r="166" spans="1:9">
      <c r="A166" s="589"/>
      <c r="B166" s="590"/>
      <c r="C166" s="590"/>
      <c r="D166" s="590"/>
      <c r="E166" s="584"/>
    </row>
    <row r="167" spans="1:9">
      <c r="A167" s="589"/>
      <c r="B167" s="590"/>
      <c r="C167" s="590"/>
      <c r="D167" s="590"/>
      <c r="E167" s="584"/>
    </row>
    <row r="168" spans="1:9">
      <c r="A168" s="589"/>
      <c r="B168" s="590"/>
      <c r="C168" s="590"/>
      <c r="D168" s="590"/>
      <c r="E168" s="584"/>
    </row>
    <row r="169" spans="1:9">
      <c r="A169" s="589"/>
      <c r="B169" s="590"/>
      <c r="C169" s="590"/>
      <c r="D169" s="590"/>
      <c r="E169" s="584"/>
    </row>
    <row r="170" spans="1:9">
      <c r="A170" s="589"/>
      <c r="B170" s="590"/>
      <c r="C170" s="590"/>
      <c r="D170" s="590"/>
    </row>
    <row r="171" spans="1:9">
      <c r="A171" s="589"/>
      <c r="B171" s="590"/>
      <c r="C171" s="590"/>
      <c r="D171" s="590"/>
      <c r="E171" s="584"/>
      <c r="F171" s="495"/>
      <c r="H171" s="495"/>
      <c r="I171" s="593"/>
    </row>
    <row r="172" spans="1:9">
      <c r="A172" s="589"/>
      <c r="B172" s="590"/>
      <c r="C172" s="590"/>
      <c r="D172" s="590"/>
      <c r="E172" s="584"/>
      <c r="F172" s="495"/>
      <c r="H172" s="495"/>
      <c r="I172" s="593"/>
    </row>
    <row r="173" spans="1:9">
      <c r="A173" s="589"/>
      <c r="B173" s="590"/>
      <c r="C173" s="590"/>
      <c r="D173" s="590"/>
      <c r="E173" s="584"/>
    </row>
    <row r="174" spans="1:9">
      <c r="A174" s="589"/>
      <c r="B174" s="590"/>
      <c r="C174" s="590"/>
      <c r="D174" s="590"/>
      <c r="E174" s="584"/>
    </row>
    <row r="175" spans="1:9">
      <c r="A175" s="589"/>
      <c r="B175" s="590"/>
      <c r="C175" s="590"/>
      <c r="D175" s="590"/>
      <c r="E175" s="584"/>
    </row>
    <row r="176" spans="1:9">
      <c r="A176" s="589"/>
      <c r="B176" s="590"/>
      <c r="C176" s="590"/>
      <c r="D176" s="590"/>
      <c r="E176" s="584"/>
    </row>
    <row r="177" spans="1:9">
      <c r="A177" s="589"/>
      <c r="B177" s="590"/>
      <c r="C177" s="590"/>
      <c r="D177" s="590"/>
      <c r="E177" s="584"/>
    </row>
    <row r="178" spans="1:9">
      <c r="A178" s="589"/>
      <c r="B178" s="590"/>
      <c r="C178" s="590"/>
      <c r="D178" s="590"/>
      <c r="E178" s="584"/>
    </row>
    <row r="179" spans="1:9">
      <c r="A179" s="589"/>
      <c r="B179" s="590"/>
      <c r="C179" s="590"/>
      <c r="D179" s="590"/>
      <c r="E179" s="584"/>
    </row>
    <row r="180" spans="1:9">
      <c r="A180" s="589"/>
      <c r="B180" s="590"/>
      <c r="C180" s="590"/>
      <c r="D180" s="590"/>
      <c r="E180" s="584"/>
    </row>
    <row r="181" spans="1:9">
      <c r="A181" s="589"/>
      <c r="B181" s="590"/>
      <c r="C181" s="590"/>
      <c r="D181" s="590"/>
      <c r="E181" s="584"/>
    </row>
    <row r="182" spans="1:9">
      <c r="A182" s="589"/>
      <c r="B182" s="590"/>
      <c r="C182" s="590"/>
      <c r="D182" s="590"/>
    </row>
    <row r="183" spans="1:9">
      <c r="A183" s="589"/>
      <c r="B183" s="590"/>
      <c r="C183" s="590"/>
      <c r="D183" s="590"/>
      <c r="E183" s="584"/>
      <c r="F183" s="495"/>
      <c r="H183" s="495"/>
      <c r="I183" s="593"/>
    </row>
    <row r="184" spans="1:9">
      <c r="A184" s="589"/>
      <c r="B184" s="590"/>
      <c r="C184" s="590"/>
      <c r="D184" s="590"/>
      <c r="E184" s="584"/>
      <c r="F184" s="495"/>
      <c r="H184" s="495"/>
      <c r="I184" s="593"/>
    </row>
    <row r="185" spans="1:9">
      <c r="A185" s="589"/>
      <c r="B185" s="590"/>
      <c r="C185" s="590"/>
      <c r="D185" s="590"/>
      <c r="E185" s="584"/>
      <c r="F185" s="495"/>
    </row>
    <row r="186" spans="1:9">
      <c r="A186" s="589"/>
      <c r="B186" s="590"/>
      <c r="C186" s="590"/>
      <c r="D186" s="590"/>
      <c r="E186" s="584"/>
      <c r="F186" s="495"/>
    </row>
    <row r="187" spans="1:9">
      <c r="A187" s="589"/>
      <c r="B187" s="590"/>
      <c r="C187" s="590"/>
      <c r="D187" s="590"/>
      <c r="E187" s="584"/>
      <c r="F187" s="495"/>
    </row>
    <row r="188" spans="1:9">
      <c r="A188" s="589"/>
      <c r="B188" s="590"/>
      <c r="C188" s="590"/>
      <c r="D188" s="590"/>
      <c r="E188" s="584"/>
    </row>
    <row r="189" spans="1:9">
      <c r="A189" s="589"/>
      <c r="B189" s="590"/>
      <c r="C189" s="590"/>
      <c r="D189" s="590"/>
      <c r="E189" s="584"/>
    </row>
    <row r="190" spans="1:9">
      <c r="A190" s="589"/>
      <c r="B190" s="590"/>
      <c r="C190" s="590"/>
      <c r="D190" s="590"/>
      <c r="E190" s="584"/>
    </row>
    <row r="191" spans="1:9">
      <c r="A191" s="589"/>
      <c r="B191" s="590"/>
      <c r="C191" s="590"/>
      <c r="D191" s="590"/>
      <c r="E191" s="584"/>
    </row>
    <row r="192" spans="1:9">
      <c r="A192" s="589"/>
      <c r="B192" s="590"/>
      <c r="C192" s="590"/>
      <c r="D192" s="590"/>
      <c r="E192" s="584"/>
    </row>
    <row r="193" spans="1:9">
      <c r="A193" s="589"/>
      <c r="B193" s="590"/>
      <c r="C193" s="590"/>
      <c r="D193" s="590"/>
      <c r="E193" s="584"/>
    </row>
    <row r="194" spans="1:9">
      <c r="A194" s="589"/>
      <c r="B194" s="590"/>
      <c r="C194" s="590"/>
      <c r="D194" s="590"/>
    </row>
    <row r="195" spans="1:9">
      <c r="A195" s="589"/>
      <c r="B195" s="590"/>
      <c r="C195" s="590"/>
      <c r="D195" s="590"/>
      <c r="E195" s="584"/>
      <c r="F195" s="495"/>
      <c r="H195" s="495"/>
      <c r="I195" s="593"/>
    </row>
    <row r="196" spans="1:9">
      <c r="A196" s="589"/>
      <c r="B196" s="590"/>
      <c r="C196" s="590"/>
      <c r="D196" s="590"/>
      <c r="E196" s="584"/>
      <c r="F196" s="495"/>
      <c r="H196" s="495"/>
      <c r="I196" s="593"/>
    </row>
    <row r="197" spans="1:9">
      <c r="A197" s="589"/>
      <c r="B197" s="590"/>
      <c r="C197" s="590"/>
      <c r="D197" s="590"/>
      <c r="E197" s="584"/>
      <c r="F197" s="495"/>
    </row>
    <row r="198" spans="1:9">
      <c r="A198" s="589"/>
      <c r="B198" s="590"/>
      <c r="C198" s="590"/>
      <c r="D198" s="590"/>
      <c r="E198" s="584"/>
      <c r="F198" s="495"/>
    </row>
    <row r="199" spans="1:9">
      <c r="A199" s="589"/>
      <c r="B199" s="590"/>
      <c r="C199" s="590"/>
      <c r="D199" s="590"/>
      <c r="E199" s="584"/>
      <c r="F199" s="495"/>
    </row>
    <row r="200" spans="1:9">
      <c r="A200" s="589"/>
      <c r="B200" s="590"/>
      <c r="C200" s="590"/>
      <c r="D200" s="590"/>
      <c r="E200" s="584"/>
    </row>
    <row r="201" spans="1:9">
      <c r="A201" s="589"/>
      <c r="B201" s="590"/>
      <c r="C201" s="590"/>
      <c r="D201" s="590"/>
      <c r="E201" s="584"/>
    </row>
    <row r="202" spans="1:9">
      <c r="A202" s="589"/>
      <c r="B202" s="590"/>
      <c r="C202" s="590"/>
      <c r="D202" s="590"/>
      <c r="E202" s="584"/>
    </row>
    <row r="203" spans="1:9">
      <c r="A203" s="589"/>
      <c r="B203" s="590"/>
      <c r="C203" s="590"/>
      <c r="D203" s="590"/>
      <c r="E203" s="584"/>
    </row>
    <row r="204" spans="1:9">
      <c r="A204" s="589"/>
      <c r="B204" s="590"/>
      <c r="C204" s="590"/>
      <c r="D204" s="590"/>
      <c r="E204" s="584"/>
    </row>
    <row r="205" spans="1:9">
      <c r="A205" s="589"/>
      <c r="B205" s="590"/>
      <c r="C205" s="590"/>
      <c r="D205" s="590"/>
      <c r="E205" s="584"/>
    </row>
    <row r="206" spans="1:9">
      <c r="A206" s="589"/>
      <c r="B206" s="590"/>
      <c r="C206" s="590"/>
      <c r="D206" s="590"/>
      <c r="E206" s="584"/>
    </row>
    <row r="207" spans="1:9">
      <c r="A207" s="589"/>
      <c r="B207" s="590"/>
      <c r="C207" s="590"/>
      <c r="D207" s="590"/>
      <c r="E207" s="584"/>
    </row>
    <row r="208" spans="1:9">
      <c r="A208" s="589"/>
      <c r="B208" s="590"/>
      <c r="C208" s="590"/>
      <c r="D208" s="590"/>
      <c r="E208" s="584"/>
    </row>
    <row r="209" spans="1:22">
      <c r="A209" s="589"/>
      <c r="B209" s="590"/>
      <c r="C209" s="590"/>
      <c r="D209" s="590"/>
    </row>
    <row r="210" spans="1:22">
      <c r="A210" s="589"/>
      <c r="B210" s="590"/>
      <c r="C210" s="590"/>
      <c r="D210" s="590"/>
      <c r="E210" s="584"/>
      <c r="F210" s="495"/>
      <c r="H210" s="495"/>
      <c r="I210" s="593"/>
    </row>
    <row r="211" spans="1:22">
      <c r="A211" s="595"/>
      <c r="B211" s="590"/>
      <c r="C211" s="590"/>
      <c r="D211" s="590"/>
      <c r="F211" s="495"/>
      <c r="G211" s="495"/>
    </row>
    <row r="213" spans="1:22" customFormat="1">
      <c r="A213" s="492"/>
      <c r="B213" s="492"/>
      <c r="C213" s="492"/>
      <c r="D213" s="492"/>
      <c r="S213" s="492"/>
      <c r="T213" s="492"/>
      <c r="U213" s="492"/>
      <c r="V213" s="492"/>
    </row>
    <row r="214" spans="1:22" customFormat="1">
      <c r="A214" s="492"/>
      <c r="B214" s="492"/>
      <c r="C214" s="492"/>
      <c r="D214" s="492"/>
    </row>
    <row r="215" spans="1:22" customFormat="1">
      <c r="A215" s="492"/>
      <c r="B215" s="492"/>
      <c r="C215" s="492"/>
      <c r="D215" s="492"/>
    </row>
    <row r="216" spans="1:22" customFormat="1">
      <c r="A216" s="492"/>
      <c r="B216" s="492"/>
      <c r="C216" s="492"/>
      <c r="D216" s="492"/>
      <c r="I216" s="492"/>
      <c r="J216" s="492"/>
      <c r="K216" s="492"/>
    </row>
    <row r="217" spans="1:22" customFormat="1">
      <c r="A217" s="892"/>
      <c r="B217" s="892"/>
      <c r="C217" s="892"/>
      <c r="D217" s="892"/>
      <c r="I217" s="492"/>
      <c r="J217" s="492"/>
      <c r="K217" s="492"/>
    </row>
    <row r="218" spans="1:22" customFormat="1">
      <c r="A218" s="494"/>
      <c r="B218" s="494"/>
      <c r="C218" s="494"/>
      <c r="D218" s="494"/>
      <c r="F218" s="492"/>
      <c r="G218" s="499"/>
      <c r="I218" s="499"/>
      <c r="J218" s="596"/>
      <c r="K218" s="492"/>
    </row>
    <row r="219" spans="1:22" customFormat="1">
      <c r="A219" s="589"/>
      <c r="B219" s="597"/>
    </row>
    <row r="220" spans="1:22" customFormat="1">
      <c r="A220" s="589"/>
      <c r="B220" s="597"/>
    </row>
    <row r="221" spans="1:22" customFormat="1">
      <c r="A221" s="589"/>
      <c r="B221" s="597"/>
    </row>
    <row r="222" spans="1:22" customFormat="1">
      <c r="A222" s="589"/>
      <c r="B222" s="597"/>
    </row>
    <row r="223" spans="1:22" customFormat="1">
      <c r="A223" s="589"/>
      <c r="B223" s="597"/>
    </row>
    <row r="224" spans="1:22" customFormat="1">
      <c r="A224" s="589"/>
      <c r="B224" s="597"/>
    </row>
    <row r="225" spans="1:7" customFormat="1">
      <c r="A225" s="589"/>
      <c r="B225" s="597"/>
    </row>
    <row r="226" spans="1:7" customFormat="1">
      <c r="A226" s="589"/>
      <c r="B226" s="597"/>
      <c r="D226" s="597"/>
      <c r="F226" s="598"/>
      <c r="G226" s="598"/>
    </row>
    <row r="227" spans="1:7" customFormat="1">
      <c r="A227" s="589"/>
      <c r="B227" s="597"/>
    </row>
    <row r="228" spans="1:7" customFormat="1">
      <c r="A228" s="589"/>
      <c r="B228" s="597"/>
    </row>
    <row r="229" spans="1:7" customFormat="1">
      <c r="A229" s="589"/>
      <c r="B229" s="597"/>
    </row>
    <row r="230" spans="1:7" customFormat="1">
      <c r="A230" s="589"/>
      <c r="B230" s="597"/>
    </row>
    <row r="231" spans="1:7" customFormat="1">
      <c r="A231" s="589"/>
      <c r="B231" s="597"/>
    </row>
    <row r="232" spans="1:7" customFormat="1">
      <c r="A232" s="589"/>
      <c r="B232" s="597"/>
    </row>
    <row r="233" spans="1:7" customFormat="1">
      <c r="A233" s="589"/>
      <c r="B233" s="597"/>
    </row>
    <row r="234" spans="1:7" customFormat="1">
      <c r="A234" s="589"/>
      <c r="B234" s="597"/>
    </row>
    <row r="235" spans="1:7" customFormat="1">
      <c r="A235" s="589"/>
      <c r="B235" s="597"/>
      <c r="D235" s="597"/>
      <c r="F235" s="598"/>
      <c r="G235" s="598"/>
    </row>
    <row r="236" spans="1:7" customFormat="1">
      <c r="A236" s="589"/>
      <c r="B236" s="597"/>
    </row>
    <row r="237" spans="1:7" customFormat="1">
      <c r="A237" s="589"/>
      <c r="B237" s="597"/>
    </row>
    <row r="238" spans="1:7" customFormat="1">
      <c r="A238" s="589"/>
      <c r="B238" s="597"/>
    </row>
    <row r="239" spans="1:7" customFormat="1">
      <c r="A239" s="589"/>
      <c r="B239" s="597"/>
    </row>
    <row r="240" spans="1:7" customFormat="1">
      <c r="A240" s="589"/>
      <c r="B240" s="597"/>
    </row>
    <row r="241" spans="1:7" customFormat="1">
      <c r="A241" s="589"/>
      <c r="B241" s="597"/>
    </row>
    <row r="242" spans="1:7" customFormat="1">
      <c r="A242" s="589"/>
      <c r="B242" s="597"/>
    </row>
    <row r="243" spans="1:7" customFormat="1">
      <c r="A243" s="589"/>
      <c r="B243" s="597"/>
    </row>
    <row r="244" spans="1:7" customFormat="1">
      <c r="A244" s="589"/>
      <c r="B244" s="597"/>
      <c r="D244" s="597"/>
      <c r="F244" s="598"/>
      <c r="G244" s="598"/>
    </row>
    <row r="245" spans="1:7" customFormat="1">
      <c r="A245" s="589"/>
      <c r="B245" s="597"/>
    </row>
    <row r="246" spans="1:7" customFormat="1">
      <c r="A246" s="589"/>
      <c r="B246" s="597"/>
    </row>
    <row r="247" spans="1:7" customFormat="1">
      <c r="A247" s="589"/>
      <c r="B247" s="597"/>
    </row>
    <row r="248" spans="1:7" customFormat="1">
      <c r="A248" s="589"/>
      <c r="B248" s="597"/>
    </row>
    <row r="249" spans="1:7" customFormat="1">
      <c r="A249" s="589"/>
      <c r="B249" s="597"/>
    </row>
    <row r="250" spans="1:7" customFormat="1">
      <c r="A250" s="589"/>
      <c r="B250" s="597"/>
    </row>
    <row r="251" spans="1:7" customFormat="1">
      <c r="A251" s="589"/>
      <c r="B251" s="597"/>
    </row>
    <row r="252" spans="1:7" customFormat="1">
      <c r="A252" s="589"/>
      <c r="B252" s="597"/>
    </row>
    <row r="253" spans="1:7" customFormat="1">
      <c r="A253" s="589"/>
      <c r="B253" s="597"/>
      <c r="D253" s="597"/>
      <c r="F253" s="598"/>
      <c r="G253" s="598"/>
    </row>
    <row r="254" spans="1:7" customFormat="1">
      <c r="A254" s="589"/>
      <c r="B254" s="597"/>
    </row>
    <row r="255" spans="1:7" customFormat="1">
      <c r="A255" s="589"/>
      <c r="B255" s="597"/>
    </row>
    <row r="256" spans="1:7" customFormat="1">
      <c r="A256" s="589"/>
      <c r="B256" s="597"/>
    </row>
    <row r="257" spans="1:7" customFormat="1">
      <c r="A257" s="589"/>
      <c r="B257" s="597"/>
    </row>
    <row r="258" spans="1:7" customFormat="1">
      <c r="A258" s="589"/>
      <c r="B258" s="597"/>
    </row>
    <row r="259" spans="1:7" customFormat="1">
      <c r="A259" s="589"/>
      <c r="B259" s="597"/>
    </row>
    <row r="260" spans="1:7" customFormat="1">
      <c r="A260" s="589"/>
      <c r="B260" s="597"/>
    </row>
    <row r="261" spans="1:7" customFormat="1">
      <c r="A261" s="589"/>
      <c r="B261" s="597"/>
    </row>
    <row r="262" spans="1:7" customFormat="1">
      <c r="A262" s="589"/>
      <c r="B262" s="597"/>
      <c r="D262" s="597"/>
      <c r="F262" s="598"/>
      <c r="G262" s="598"/>
    </row>
    <row r="263" spans="1:7" customFormat="1">
      <c r="A263" s="589"/>
      <c r="B263" s="597"/>
    </row>
    <row r="264" spans="1:7" customFormat="1">
      <c r="A264" s="589"/>
      <c r="B264" s="597"/>
    </row>
    <row r="265" spans="1:7" customFormat="1">
      <c r="A265" s="589"/>
      <c r="B265" s="597"/>
    </row>
    <row r="266" spans="1:7" customFormat="1">
      <c r="A266" s="589"/>
      <c r="B266" s="597"/>
    </row>
    <row r="267" spans="1:7" customFormat="1">
      <c r="A267" s="589"/>
      <c r="B267" s="597"/>
    </row>
    <row r="268" spans="1:7" customFormat="1">
      <c r="A268" s="589"/>
      <c r="B268" s="597"/>
    </row>
    <row r="269" spans="1:7" customFormat="1">
      <c r="A269" s="589"/>
      <c r="B269" s="597"/>
    </row>
    <row r="270" spans="1:7" customFormat="1">
      <c r="A270" s="589"/>
      <c r="B270" s="597"/>
      <c r="D270" s="597"/>
      <c r="F270" s="598"/>
      <c r="G270" s="598"/>
    </row>
    <row r="271" spans="1:7" customFormat="1">
      <c r="A271" s="589"/>
      <c r="B271" s="597"/>
    </row>
    <row r="272" spans="1:7" customFormat="1">
      <c r="A272" s="589"/>
      <c r="B272" s="597"/>
    </row>
    <row r="273" spans="1:7" customFormat="1">
      <c r="A273" s="589"/>
      <c r="B273" s="597"/>
    </row>
    <row r="274" spans="1:7" customFormat="1">
      <c r="A274" s="589"/>
      <c r="B274" s="597"/>
    </row>
    <row r="275" spans="1:7" customFormat="1">
      <c r="A275" s="589"/>
      <c r="B275" s="597"/>
    </row>
    <row r="276" spans="1:7" customFormat="1">
      <c r="A276" s="589"/>
      <c r="B276" s="597"/>
    </row>
    <row r="277" spans="1:7" customFormat="1">
      <c r="A277" s="589"/>
      <c r="B277" s="597"/>
    </row>
    <row r="278" spans="1:7" customFormat="1">
      <c r="A278" s="589"/>
      <c r="B278" s="597"/>
    </row>
    <row r="279" spans="1:7" customFormat="1">
      <c r="A279" s="589"/>
      <c r="B279" s="597"/>
      <c r="D279" s="597"/>
      <c r="F279" s="598"/>
      <c r="G279" s="598"/>
    </row>
    <row r="280" spans="1:7" customFormat="1">
      <c r="A280" s="589"/>
      <c r="B280" s="597"/>
    </row>
    <row r="281" spans="1:7" customFormat="1">
      <c r="A281" s="589"/>
      <c r="B281" s="597"/>
    </row>
    <row r="282" spans="1:7" customFormat="1">
      <c r="A282" s="589"/>
      <c r="B282" s="597"/>
    </row>
    <row r="283" spans="1:7" customFormat="1">
      <c r="A283" s="589"/>
      <c r="B283" s="597"/>
    </row>
    <row r="284" spans="1:7" customFormat="1">
      <c r="A284" s="589"/>
      <c r="B284" s="597"/>
    </row>
    <row r="285" spans="1:7" customFormat="1">
      <c r="A285" s="589"/>
      <c r="B285" s="597"/>
    </row>
    <row r="286" spans="1:7" customFormat="1">
      <c r="A286" s="589"/>
      <c r="B286" s="597"/>
    </row>
    <row r="287" spans="1:7" customFormat="1">
      <c r="A287" s="589"/>
      <c r="B287" s="597"/>
    </row>
    <row r="288" spans="1:7" customFormat="1">
      <c r="A288" s="589"/>
      <c r="B288" s="597"/>
      <c r="D288" s="597"/>
      <c r="F288" s="598"/>
      <c r="G288" s="598"/>
    </row>
    <row r="289" spans="1:7" customFormat="1">
      <c r="A289" s="589"/>
      <c r="B289" s="597"/>
    </row>
    <row r="290" spans="1:7" customFormat="1">
      <c r="A290" s="589"/>
      <c r="B290" s="597"/>
    </row>
    <row r="291" spans="1:7" customFormat="1">
      <c r="A291" s="589"/>
      <c r="B291" s="597"/>
    </row>
    <row r="292" spans="1:7" customFormat="1">
      <c r="A292" s="589"/>
      <c r="B292" s="597"/>
    </row>
    <row r="293" spans="1:7" customFormat="1">
      <c r="A293" s="589"/>
      <c r="B293" s="597"/>
    </row>
    <row r="294" spans="1:7" customFormat="1">
      <c r="A294" s="589"/>
      <c r="B294" s="597"/>
    </row>
    <row r="295" spans="1:7" customFormat="1">
      <c r="A295" s="589"/>
      <c r="B295" s="597"/>
    </row>
    <row r="296" spans="1:7" customFormat="1">
      <c r="A296" s="589"/>
      <c r="B296" s="597"/>
      <c r="D296" s="597"/>
      <c r="F296" s="598"/>
      <c r="G296" s="598"/>
    </row>
    <row r="297" spans="1:7" customFormat="1">
      <c r="A297" s="589"/>
      <c r="B297" s="597"/>
    </row>
    <row r="298" spans="1:7" customFormat="1">
      <c r="A298" s="589"/>
      <c r="B298" s="597"/>
    </row>
    <row r="299" spans="1:7" customFormat="1">
      <c r="A299" s="589"/>
      <c r="B299" s="597"/>
    </row>
    <row r="300" spans="1:7" customFormat="1">
      <c r="A300" s="589"/>
      <c r="B300" s="597"/>
    </row>
    <row r="301" spans="1:7" customFormat="1">
      <c r="A301" s="589"/>
      <c r="B301" s="597"/>
    </row>
    <row r="302" spans="1:7" customFormat="1">
      <c r="A302" s="589"/>
      <c r="B302" s="597"/>
    </row>
    <row r="303" spans="1:7" customFormat="1">
      <c r="A303" s="589"/>
      <c r="B303" s="597"/>
    </row>
    <row r="304" spans="1:7" customFormat="1">
      <c r="A304" s="589"/>
      <c r="B304" s="597"/>
    </row>
    <row r="305" spans="1:7" customFormat="1">
      <c r="A305" s="589"/>
      <c r="B305" s="597"/>
      <c r="D305" s="597"/>
      <c r="F305" s="598"/>
      <c r="G305" s="598"/>
    </row>
    <row r="306" spans="1:7" customFormat="1">
      <c r="A306" s="589"/>
      <c r="B306" s="597"/>
    </row>
    <row r="307" spans="1:7" customFormat="1">
      <c r="A307" s="589"/>
      <c r="B307" s="597"/>
    </row>
    <row r="308" spans="1:7" customFormat="1">
      <c r="A308" s="589"/>
      <c r="B308" s="597"/>
    </row>
    <row r="309" spans="1:7" customFormat="1">
      <c r="A309" s="589"/>
      <c r="B309" s="597"/>
    </row>
    <row r="310" spans="1:7" customFormat="1">
      <c r="A310" s="589"/>
      <c r="B310" s="597"/>
    </row>
    <row r="311" spans="1:7" customFormat="1">
      <c r="A311" s="589"/>
      <c r="B311" s="597"/>
    </row>
    <row r="312" spans="1:7" customFormat="1">
      <c r="A312" s="589"/>
      <c r="B312" s="597"/>
    </row>
    <row r="313" spans="1:7" customFormat="1">
      <c r="A313" s="589"/>
      <c r="B313" s="597"/>
      <c r="D313" s="597"/>
      <c r="F313" s="598"/>
      <c r="G313" s="598"/>
    </row>
    <row r="314" spans="1:7" customFormat="1">
      <c r="A314" s="589"/>
      <c r="B314" s="597"/>
    </row>
    <row r="315" spans="1:7" customFormat="1">
      <c r="A315" s="589"/>
      <c r="B315" s="597"/>
    </row>
    <row r="316" spans="1:7" customFormat="1">
      <c r="A316" s="589"/>
      <c r="B316" s="597"/>
    </row>
    <row r="317" spans="1:7" customFormat="1">
      <c r="A317" s="589"/>
      <c r="B317" s="597"/>
    </row>
    <row r="318" spans="1:7" customFormat="1">
      <c r="A318" s="589"/>
      <c r="B318" s="597"/>
    </row>
    <row r="319" spans="1:7" customFormat="1">
      <c r="A319" s="589"/>
      <c r="B319" s="597"/>
    </row>
    <row r="320" spans="1:7" customFormat="1">
      <c r="A320" s="589"/>
      <c r="B320" s="597"/>
    </row>
    <row r="321" spans="1:22" customFormat="1">
      <c r="A321" s="589"/>
      <c r="B321" s="597"/>
    </row>
    <row r="322" spans="1:22" customFormat="1">
      <c r="A322" s="589"/>
      <c r="B322" s="597"/>
      <c r="D322" s="597"/>
      <c r="F322" s="598"/>
      <c r="G322" s="598"/>
    </row>
    <row r="323" spans="1:22" customFormat="1" ht="15">
      <c r="B323" s="597"/>
      <c r="D323" s="597"/>
    </row>
    <row r="324" spans="1:22">
      <c r="S324"/>
      <c r="T324"/>
      <c r="U324"/>
      <c r="V324"/>
    </row>
  </sheetData>
  <mergeCells count="6">
    <mergeCell ref="A217:D217"/>
    <mergeCell ref="A1:G1"/>
    <mergeCell ref="A3:G3"/>
    <mergeCell ref="A5:G5"/>
    <mergeCell ref="A38:G38"/>
    <mergeCell ref="A45:G45"/>
  </mergeCells>
  <pageMargins left="0.7" right="0.7" top="0.75" bottom="0.75" header="0.3" footer="0.3"/>
  <pageSetup scale="34"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2"/>
  <dimension ref="A1:J20"/>
  <sheetViews>
    <sheetView zoomScaleNormal="100" workbookViewId="0">
      <selection activeCell="C20" sqref="C20"/>
    </sheetView>
  </sheetViews>
  <sheetFormatPr defaultColWidth="8.88671875" defaultRowHeight="15.75"/>
  <cols>
    <col min="1" max="1" width="7.5546875" style="502" customWidth="1"/>
    <col min="2" max="2" width="29.44140625" style="503" customWidth="1"/>
    <col min="3" max="3" width="10.77734375" style="503" customWidth="1"/>
    <col min="4" max="4" width="12.44140625" style="503" customWidth="1"/>
    <col min="5" max="6" width="8.88671875" style="503"/>
    <col min="7" max="16384" width="8.88671875" style="502"/>
  </cols>
  <sheetData>
    <row r="1" spans="1:10" s="492" customFormat="1">
      <c r="A1" s="880" t="str">
        <f>+'WP-9 - Disposal'!A1:G1</f>
        <v>Consolidated Disposal Services, Inc.</v>
      </c>
      <c r="B1" s="880"/>
      <c r="C1" s="880"/>
      <c r="D1" s="880"/>
      <c r="E1" s="880"/>
      <c r="F1" s="880"/>
      <c r="G1" s="500"/>
      <c r="H1" s="500"/>
      <c r="I1" s="500"/>
      <c r="J1" s="500"/>
    </row>
    <row r="2" spans="1:10" s="492" customFormat="1" ht="18" customHeight="1">
      <c r="A2" s="366"/>
      <c r="B2" s="367"/>
      <c r="C2" s="367"/>
      <c r="D2" s="367"/>
      <c r="E2" s="367"/>
      <c r="F2" s="367"/>
      <c r="G2" s="493"/>
      <c r="H2" s="493"/>
      <c r="I2" s="493"/>
    </row>
    <row r="3" spans="1:10" s="492" customFormat="1">
      <c r="A3" s="881" t="s">
        <v>859</v>
      </c>
      <c r="B3" s="881"/>
      <c r="C3" s="881"/>
      <c r="D3" s="881"/>
      <c r="E3" s="881"/>
      <c r="F3" s="881"/>
      <c r="G3" s="366"/>
      <c r="H3" s="366"/>
      <c r="I3" s="366"/>
      <c r="J3" s="366"/>
    </row>
    <row r="4" spans="1:10" s="492" customFormat="1">
      <c r="A4" s="369"/>
      <c r="B4" s="369"/>
      <c r="C4" s="369"/>
      <c r="D4" s="369"/>
      <c r="E4" s="369"/>
      <c r="F4" s="369"/>
      <c r="G4" s="494"/>
      <c r="H4" s="494"/>
      <c r="I4" s="494"/>
      <c r="J4" s="494"/>
    </row>
    <row r="5" spans="1:10" s="492" customFormat="1">
      <c r="A5" s="880" t="str">
        <f>'WP-9 - Disposal'!$A$5</f>
        <v>In Support of Tariff 7 effective April 1, 2023</v>
      </c>
      <c r="B5" s="880"/>
      <c r="C5" s="880"/>
      <c r="D5" s="880"/>
      <c r="E5" s="880"/>
      <c r="F5" s="880"/>
      <c r="G5" s="500"/>
      <c r="H5" s="500"/>
      <c r="I5" s="500"/>
      <c r="J5" s="500"/>
    </row>
    <row r="6" spans="1:10" s="492" customFormat="1">
      <c r="A6" s="419"/>
      <c r="B6" s="419"/>
      <c r="C6" s="419"/>
      <c r="D6" s="419"/>
      <c r="E6" s="419"/>
      <c r="F6" s="419"/>
      <c r="G6" s="494"/>
      <c r="H6" s="494"/>
      <c r="I6" s="494"/>
      <c r="J6" s="494"/>
    </row>
    <row r="7" spans="1:10" s="503" customFormat="1">
      <c r="A7" s="502" t="s">
        <v>225</v>
      </c>
      <c r="C7" s="504" t="s">
        <v>769</v>
      </c>
      <c r="D7" s="503" t="s">
        <v>3</v>
      </c>
    </row>
    <row r="8" spans="1:10" s="503" customFormat="1">
      <c r="A8" s="502"/>
      <c r="B8" s="503" t="s">
        <v>201</v>
      </c>
      <c r="C8" s="504">
        <v>44865</v>
      </c>
      <c r="D8" s="503">
        <v>4051.8</v>
      </c>
      <c r="E8" s="505"/>
    </row>
    <row r="9" spans="1:10" s="503" customFormat="1">
      <c r="A9" s="502"/>
      <c r="B9" s="503" t="s">
        <v>201</v>
      </c>
      <c r="C9" s="504">
        <v>44895</v>
      </c>
      <c r="D9" s="503">
        <v>6065.65</v>
      </c>
      <c r="E9" s="505"/>
    </row>
    <row r="10" spans="1:10" s="503" customFormat="1">
      <c r="A10" s="502"/>
      <c r="B10" s="503" t="s">
        <v>201</v>
      </c>
      <c r="C10" s="504">
        <v>44926</v>
      </c>
      <c r="D10" s="503">
        <v>8222.1</v>
      </c>
      <c r="E10" s="505"/>
    </row>
    <row r="11" spans="1:10" s="503" customFormat="1">
      <c r="A11" s="502"/>
      <c r="B11" s="503" t="s">
        <v>201</v>
      </c>
      <c r="C11" s="504">
        <v>44957</v>
      </c>
      <c r="D11" s="503">
        <v>3580.8</v>
      </c>
      <c r="E11" s="505"/>
    </row>
    <row r="12" spans="1:10" s="503" customFormat="1">
      <c r="A12" s="502"/>
      <c r="C12" s="504"/>
      <c r="E12" s="505" t="s">
        <v>1192</v>
      </c>
    </row>
    <row r="13" spans="1:10" s="503" customFormat="1">
      <c r="A13" s="502"/>
      <c r="C13" s="504"/>
      <c r="E13" s="505"/>
    </row>
    <row r="14" spans="1:10" s="503" customFormat="1">
      <c r="A14" s="502"/>
    </row>
    <row r="15" spans="1:10" s="503" customFormat="1">
      <c r="A15" s="502"/>
      <c r="B15" s="503" t="s">
        <v>226</v>
      </c>
      <c r="D15" s="506">
        <f>SUM(D8:D14)</f>
        <v>21920.350000000002</v>
      </c>
    </row>
    <row r="16" spans="1:10" s="503" customFormat="1">
      <c r="A16" s="502"/>
      <c r="D16" s="507">
        <v>3</v>
      </c>
      <c r="E16" s="505"/>
    </row>
    <row r="17" spans="1:4" s="503" customFormat="1" ht="16.5" thickBot="1">
      <c r="A17" s="502"/>
      <c r="B17" s="503" t="s">
        <v>227</v>
      </c>
      <c r="D17" s="508">
        <f>D15/D16</f>
        <v>7306.7833333333338</v>
      </c>
    </row>
    <row r="18" spans="1:4" s="503" customFormat="1" ht="16.5" thickTop="1">
      <c r="A18" s="502"/>
    </row>
    <row r="19" spans="1:4">
      <c r="A19" s="509"/>
    </row>
    <row r="20" spans="1:4">
      <c r="A20" s="509"/>
    </row>
  </sheetData>
  <mergeCells count="3">
    <mergeCell ref="A5:F5"/>
    <mergeCell ref="A3:F3"/>
    <mergeCell ref="A1:F1"/>
  </mergeCells>
  <printOptions horizontalCentered="1"/>
  <pageMargins left="0.7" right="0.7" top="0.75" bottom="0.75" header="0.3" footer="0.3"/>
  <pageSetup scale="97" fitToWidth="0" fitToHeight="0"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7F7B6-C696-4C29-A669-9825B1671C75}">
  <dimension ref="A2:O39"/>
  <sheetViews>
    <sheetView zoomScaleNormal="100" workbookViewId="0">
      <selection activeCell="E12" sqref="E12"/>
    </sheetView>
  </sheetViews>
  <sheetFormatPr defaultRowHeight="15"/>
  <cols>
    <col min="1" max="1" width="23.88671875" bestFit="1" customWidth="1"/>
    <col min="2" max="2" width="7.88671875" style="620" bestFit="1" customWidth="1"/>
    <col min="3" max="3" width="10.109375" style="620" bestFit="1" customWidth="1"/>
    <col min="4" max="4" width="7.109375" bestFit="1" customWidth="1"/>
    <col min="5" max="5" width="7.88671875" bestFit="1" customWidth="1"/>
    <col min="6" max="6" width="10.44140625" bestFit="1" customWidth="1"/>
    <col min="7" max="7" width="8.109375" bestFit="1" customWidth="1"/>
    <col min="8" max="8" width="6" bestFit="1" customWidth="1"/>
    <col min="9" max="9" width="30.109375" bestFit="1" customWidth="1"/>
    <col min="11" max="11" width="11.88671875" customWidth="1"/>
  </cols>
  <sheetData>
    <row r="2" spans="1:15">
      <c r="A2" t="s">
        <v>875</v>
      </c>
      <c r="B2" s="620" t="s">
        <v>876</v>
      </c>
      <c r="C2" s="620" t="s">
        <v>877</v>
      </c>
      <c r="D2" t="s">
        <v>878</v>
      </c>
      <c r="E2" t="s">
        <v>879</v>
      </c>
      <c r="F2" t="s">
        <v>880</v>
      </c>
      <c r="G2" t="s">
        <v>881</v>
      </c>
      <c r="H2" t="s">
        <v>882</v>
      </c>
      <c r="I2" t="s">
        <v>883</v>
      </c>
      <c r="K2" t="s">
        <v>1012</v>
      </c>
      <c r="O2" s="581" t="s">
        <v>1187</v>
      </c>
    </row>
    <row r="3" spans="1:15" ht="15.75">
      <c r="A3" s="757" t="s">
        <v>884</v>
      </c>
      <c r="B3" s="758" t="s">
        <v>885</v>
      </c>
      <c r="C3" s="758" t="s">
        <v>886</v>
      </c>
      <c r="D3" s="757" t="s">
        <v>887</v>
      </c>
      <c r="E3" s="757" t="s">
        <v>888</v>
      </c>
      <c r="F3" s="757" t="s">
        <v>889</v>
      </c>
      <c r="G3" s="757" t="s">
        <v>887</v>
      </c>
      <c r="H3" s="757" t="s">
        <v>889</v>
      </c>
      <c r="I3" s="757" t="s">
        <v>890</v>
      </c>
      <c r="K3" s="759">
        <v>0.6</v>
      </c>
      <c r="O3" s="581" t="s">
        <v>1106</v>
      </c>
    </row>
    <row r="4" spans="1:15" ht="15.75">
      <c r="A4" s="757" t="s">
        <v>891</v>
      </c>
      <c r="B4" s="758" t="s">
        <v>892</v>
      </c>
      <c r="C4" s="758" t="s">
        <v>886</v>
      </c>
      <c r="D4" s="757" t="s">
        <v>893</v>
      </c>
      <c r="E4" s="757" t="s">
        <v>888</v>
      </c>
      <c r="F4" s="757" t="s">
        <v>893</v>
      </c>
      <c r="G4" s="757" t="s">
        <v>887</v>
      </c>
      <c r="H4" s="757" t="s">
        <v>888</v>
      </c>
      <c r="I4" s="757" t="s">
        <v>894</v>
      </c>
      <c r="K4" s="759">
        <v>0.2</v>
      </c>
      <c r="O4" s="581" t="s">
        <v>1107</v>
      </c>
    </row>
    <row r="5" spans="1:15" ht="15.75">
      <c r="A5" s="757" t="s">
        <v>895</v>
      </c>
      <c r="B5" s="758" t="s">
        <v>896</v>
      </c>
      <c r="C5" s="758" t="s">
        <v>897</v>
      </c>
      <c r="D5" s="757"/>
      <c r="E5" s="757"/>
      <c r="F5" s="757"/>
      <c r="G5" s="757"/>
      <c r="H5" s="757"/>
      <c r="I5" s="757" t="s">
        <v>889</v>
      </c>
      <c r="K5" s="759">
        <v>0.5</v>
      </c>
      <c r="O5" s="581" t="s">
        <v>1109</v>
      </c>
    </row>
    <row r="6" spans="1:15" ht="15.75">
      <c r="A6" s="757" t="s">
        <v>898</v>
      </c>
      <c r="B6" s="758" t="s">
        <v>899</v>
      </c>
      <c r="C6" s="758" t="s">
        <v>886</v>
      </c>
      <c r="D6" s="757" t="s">
        <v>900</v>
      </c>
      <c r="E6" s="757" t="s">
        <v>887</v>
      </c>
      <c r="F6" s="757" t="s">
        <v>888</v>
      </c>
      <c r="G6" s="757" t="s">
        <v>887</v>
      </c>
      <c r="H6" s="757" t="s">
        <v>888</v>
      </c>
      <c r="I6" s="757" t="s">
        <v>901</v>
      </c>
      <c r="K6" s="759">
        <v>0.5</v>
      </c>
      <c r="O6" s="581" t="s">
        <v>1108</v>
      </c>
    </row>
    <row r="7" spans="1:15" ht="15.75">
      <c r="A7" s="757" t="s">
        <v>902</v>
      </c>
      <c r="B7" s="758" t="s">
        <v>903</v>
      </c>
      <c r="C7" s="758" t="s">
        <v>886</v>
      </c>
      <c r="D7" s="757" t="s">
        <v>887</v>
      </c>
      <c r="E7" s="757" t="s">
        <v>888</v>
      </c>
      <c r="F7" s="757" t="s">
        <v>904</v>
      </c>
      <c r="G7" s="757" t="s">
        <v>905</v>
      </c>
      <c r="H7" s="757" t="s">
        <v>888</v>
      </c>
      <c r="I7" s="757" t="s">
        <v>906</v>
      </c>
      <c r="K7" s="759">
        <v>0.25</v>
      </c>
    </row>
    <row r="8" spans="1:15" ht="15.75">
      <c r="A8" s="757" t="s">
        <v>907</v>
      </c>
      <c r="B8" s="758" t="s">
        <v>908</v>
      </c>
      <c r="C8" s="758" t="s">
        <v>909</v>
      </c>
      <c r="D8" s="757"/>
      <c r="E8" s="757"/>
      <c r="F8" s="757"/>
      <c r="G8" s="757"/>
      <c r="H8" s="757"/>
      <c r="I8" s="757" t="s">
        <v>889</v>
      </c>
      <c r="K8" s="759">
        <v>0.5</v>
      </c>
      <c r="O8" s="581" t="s">
        <v>1116</v>
      </c>
    </row>
    <row r="9" spans="1:15" ht="15.75">
      <c r="A9" s="757" t="s">
        <v>910</v>
      </c>
      <c r="B9" s="758" t="s">
        <v>911</v>
      </c>
      <c r="C9" s="758" t="s">
        <v>886</v>
      </c>
      <c r="D9" s="757" t="s">
        <v>887</v>
      </c>
      <c r="E9" s="757" t="s">
        <v>887</v>
      </c>
      <c r="F9" s="757" t="s">
        <v>887</v>
      </c>
      <c r="G9" s="757" t="s">
        <v>887</v>
      </c>
      <c r="H9" s="757" t="s">
        <v>888</v>
      </c>
      <c r="I9" s="757" t="s">
        <v>912</v>
      </c>
      <c r="K9" s="759">
        <v>0.8</v>
      </c>
      <c r="N9" s="581" t="s">
        <v>1117</v>
      </c>
      <c r="O9" s="22">
        <f>+K9</f>
        <v>0.8</v>
      </c>
    </row>
    <row r="10" spans="1:15" ht="15.75">
      <c r="A10" s="757" t="s">
        <v>913</v>
      </c>
      <c r="B10" s="758" t="s">
        <v>914</v>
      </c>
      <c r="C10" s="758" t="s">
        <v>886</v>
      </c>
      <c r="D10" s="757" t="s">
        <v>887</v>
      </c>
      <c r="E10" s="757" t="s">
        <v>887</v>
      </c>
      <c r="F10" s="757" t="s">
        <v>887</v>
      </c>
      <c r="G10" s="757" t="s">
        <v>887</v>
      </c>
      <c r="H10" s="757" t="s">
        <v>887</v>
      </c>
      <c r="I10" s="757" t="s">
        <v>915</v>
      </c>
      <c r="K10" s="759">
        <v>1</v>
      </c>
      <c r="N10" s="581" t="s">
        <v>1118</v>
      </c>
      <c r="O10" s="22">
        <f>+K10</f>
        <v>1</v>
      </c>
    </row>
    <row r="11" spans="1:15" ht="15.75">
      <c r="A11" s="757" t="s">
        <v>916</v>
      </c>
      <c r="B11" s="758" t="s">
        <v>917</v>
      </c>
      <c r="C11" s="758" t="s">
        <v>886</v>
      </c>
      <c r="D11" s="757" t="s">
        <v>888</v>
      </c>
      <c r="E11" s="757" t="s">
        <v>887</v>
      </c>
      <c r="F11" s="757" t="s">
        <v>888</v>
      </c>
      <c r="G11" s="757" t="s">
        <v>887</v>
      </c>
      <c r="H11" s="757" t="s">
        <v>887</v>
      </c>
      <c r="I11" s="757" t="s">
        <v>918</v>
      </c>
      <c r="K11" s="759">
        <v>0.6</v>
      </c>
      <c r="N11" s="581" t="s">
        <v>932</v>
      </c>
      <c r="O11" s="22">
        <f>+K16</f>
        <v>0.5</v>
      </c>
    </row>
    <row r="12" spans="1:15" ht="15.75">
      <c r="A12" s="757" t="s">
        <v>919</v>
      </c>
      <c r="B12" s="758" t="s">
        <v>920</v>
      </c>
      <c r="C12" s="758" t="s">
        <v>921</v>
      </c>
      <c r="D12" s="757"/>
      <c r="E12" s="757"/>
      <c r="F12" s="757"/>
      <c r="G12" s="757"/>
      <c r="H12" s="757"/>
      <c r="I12" s="757" t="s">
        <v>922</v>
      </c>
      <c r="K12" s="759">
        <v>0.4</v>
      </c>
      <c r="N12" s="581" t="s">
        <v>1120</v>
      </c>
      <c r="O12" s="22">
        <f>+K12</f>
        <v>0.4</v>
      </c>
    </row>
    <row r="13" spans="1:15" ht="15.75">
      <c r="A13" s="757" t="s">
        <v>923</v>
      </c>
      <c r="B13" s="758" t="s">
        <v>924</v>
      </c>
      <c r="C13" s="758" t="s">
        <v>886</v>
      </c>
      <c r="D13" s="757" t="s">
        <v>887</v>
      </c>
      <c r="E13" s="757" t="s">
        <v>888</v>
      </c>
      <c r="F13" s="757" t="s">
        <v>889</v>
      </c>
      <c r="G13" s="757" t="s">
        <v>887</v>
      </c>
      <c r="H13" s="757" t="s">
        <v>887</v>
      </c>
      <c r="I13" s="757" t="s">
        <v>925</v>
      </c>
      <c r="K13" s="759">
        <v>0.7</v>
      </c>
      <c r="N13" s="581" t="s">
        <v>1119</v>
      </c>
      <c r="O13" s="756">
        <f>+K24</f>
        <v>0.4</v>
      </c>
    </row>
    <row r="14" spans="1:15" ht="15.75">
      <c r="A14" s="757" t="s">
        <v>926</v>
      </c>
      <c r="B14" s="758" t="s">
        <v>927</v>
      </c>
      <c r="C14" s="758" t="s">
        <v>886</v>
      </c>
      <c r="D14" s="757" t="s">
        <v>888</v>
      </c>
      <c r="E14" s="757" t="s">
        <v>887</v>
      </c>
      <c r="F14" s="757" t="s">
        <v>888</v>
      </c>
      <c r="G14" s="757" t="s">
        <v>887</v>
      </c>
      <c r="H14" s="757" t="s">
        <v>888</v>
      </c>
      <c r="I14" s="757" t="s">
        <v>928</v>
      </c>
      <c r="K14" s="759">
        <v>0.4</v>
      </c>
      <c r="O14" s="22">
        <f>SUM(O9:O13)</f>
        <v>3.0999999999999996</v>
      </c>
    </row>
    <row r="15" spans="1:15" ht="15.75">
      <c r="A15" s="757" t="s">
        <v>929</v>
      </c>
      <c r="B15" s="758" t="s">
        <v>930</v>
      </c>
      <c r="C15" s="758" t="s">
        <v>931</v>
      </c>
      <c r="D15" s="757"/>
      <c r="E15" s="757"/>
      <c r="F15" s="757"/>
      <c r="K15" s="759"/>
      <c r="N15" s="753" t="s">
        <v>1121</v>
      </c>
      <c r="O15" s="755">
        <v>18</v>
      </c>
    </row>
    <row r="16" spans="1:15" ht="15.75">
      <c r="A16" s="757" t="s">
        <v>932</v>
      </c>
      <c r="B16" s="758" t="s">
        <v>933</v>
      </c>
      <c r="C16" s="758" t="s">
        <v>886</v>
      </c>
      <c r="D16" s="757" t="s">
        <v>934</v>
      </c>
      <c r="E16" s="757" t="s">
        <v>889</v>
      </c>
      <c r="F16" s="757" t="s">
        <v>889</v>
      </c>
      <c r="G16" s="757" t="s">
        <v>893</v>
      </c>
      <c r="H16" s="757" t="s">
        <v>887</v>
      </c>
      <c r="I16" s="757" t="s">
        <v>935</v>
      </c>
      <c r="K16" s="759">
        <v>0.5</v>
      </c>
      <c r="N16" s="754" t="s">
        <v>1122</v>
      </c>
      <c r="O16" s="22">
        <f>+O14/O15</f>
        <v>0.17222222222222219</v>
      </c>
    </row>
    <row r="17" spans="1:13" ht="15.75">
      <c r="A17" s="757" t="s">
        <v>936</v>
      </c>
      <c r="B17" s="758" t="s">
        <v>937</v>
      </c>
      <c r="C17" s="758" t="s">
        <v>938</v>
      </c>
      <c r="D17" s="757"/>
      <c r="E17" s="757"/>
      <c r="F17" s="757"/>
      <c r="K17" s="759">
        <f>+'WP-9 - Disposal'!S20</f>
        <v>0.23169899397416702</v>
      </c>
    </row>
    <row r="18" spans="1:13" ht="15.75">
      <c r="A18" s="757" t="s">
        <v>939</v>
      </c>
      <c r="B18" s="758" t="s">
        <v>940</v>
      </c>
      <c r="C18" s="758" t="s">
        <v>909</v>
      </c>
      <c r="D18" s="757"/>
      <c r="E18" s="757"/>
      <c r="F18" s="757"/>
      <c r="I18" s="757" t="s">
        <v>889</v>
      </c>
      <c r="K18" s="759">
        <v>0.5</v>
      </c>
    </row>
    <row r="19" spans="1:13" ht="15.75">
      <c r="A19" s="757" t="s">
        <v>643</v>
      </c>
      <c r="B19" s="758" t="s">
        <v>941</v>
      </c>
      <c r="C19" s="758" t="s">
        <v>886</v>
      </c>
      <c r="D19" s="757" t="s">
        <v>887</v>
      </c>
      <c r="E19" s="757" t="s">
        <v>887</v>
      </c>
      <c r="F19" s="757" t="s">
        <v>888</v>
      </c>
      <c r="G19" s="757" t="s">
        <v>887</v>
      </c>
      <c r="H19" s="757" t="s">
        <v>887</v>
      </c>
      <c r="I19" s="757" t="s">
        <v>912</v>
      </c>
      <c r="K19" s="759">
        <v>0.8</v>
      </c>
    </row>
    <row r="20" spans="1:13" ht="15.75">
      <c r="A20" s="757" t="s">
        <v>942</v>
      </c>
      <c r="B20" s="758" t="s">
        <v>943</v>
      </c>
      <c r="C20" s="758" t="s">
        <v>897</v>
      </c>
      <c r="D20" s="757"/>
      <c r="E20" s="757"/>
      <c r="F20" s="757"/>
      <c r="I20" s="757" t="s">
        <v>922</v>
      </c>
      <c r="K20" s="759">
        <v>0.4</v>
      </c>
    </row>
    <row r="21" spans="1:13" ht="15.75">
      <c r="A21" s="757" t="s">
        <v>944</v>
      </c>
      <c r="B21" s="758" t="s">
        <v>945</v>
      </c>
      <c r="C21" s="758" t="s">
        <v>931</v>
      </c>
      <c r="D21" s="757"/>
      <c r="E21" s="757"/>
      <c r="F21" s="757"/>
      <c r="K21" s="759"/>
    </row>
    <row r="22" spans="1:13" ht="15.75">
      <c r="A22" s="757" t="s">
        <v>946</v>
      </c>
      <c r="B22" s="758" t="s">
        <v>947</v>
      </c>
      <c r="C22" s="758" t="s">
        <v>886</v>
      </c>
      <c r="D22" s="757" t="s">
        <v>888</v>
      </c>
      <c r="E22" s="757" t="s">
        <v>888</v>
      </c>
      <c r="F22" s="757" t="s">
        <v>888</v>
      </c>
      <c r="G22" s="757" t="s">
        <v>887</v>
      </c>
      <c r="H22" s="757" t="s">
        <v>888</v>
      </c>
      <c r="I22" s="757" t="s">
        <v>948</v>
      </c>
      <c r="K22" s="759">
        <v>0.2</v>
      </c>
    </row>
    <row r="23" spans="1:13" ht="15.75">
      <c r="A23" s="757" t="s">
        <v>949</v>
      </c>
      <c r="B23" s="758" t="s">
        <v>950</v>
      </c>
      <c r="C23" s="758" t="s">
        <v>931</v>
      </c>
      <c r="D23" s="757"/>
      <c r="E23" s="757"/>
      <c r="F23" s="757"/>
      <c r="K23" s="759"/>
    </row>
    <row r="24" spans="1:13" ht="15.75">
      <c r="A24" s="757" t="s">
        <v>951</v>
      </c>
      <c r="B24" s="758" t="s">
        <v>952</v>
      </c>
      <c r="C24" s="758" t="s">
        <v>897</v>
      </c>
      <c r="D24" s="757"/>
      <c r="E24" s="757"/>
      <c r="F24" s="757"/>
      <c r="I24" s="757" t="s">
        <v>922</v>
      </c>
      <c r="K24" s="759">
        <v>0.4</v>
      </c>
    </row>
    <row r="25" spans="1:13" ht="15.75">
      <c r="A25" s="757" t="s">
        <v>655</v>
      </c>
      <c r="B25" s="758" t="s">
        <v>953</v>
      </c>
      <c r="C25" s="758" t="s">
        <v>886</v>
      </c>
      <c r="D25" s="757" t="s">
        <v>888</v>
      </c>
      <c r="E25" s="757" t="s">
        <v>888</v>
      </c>
      <c r="F25" s="757" t="s">
        <v>887</v>
      </c>
      <c r="G25" s="757" t="s">
        <v>887</v>
      </c>
      <c r="H25" s="757" t="s">
        <v>887</v>
      </c>
      <c r="I25" s="757" t="s">
        <v>918</v>
      </c>
      <c r="K25" s="759">
        <v>0.6</v>
      </c>
    </row>
    <row r="26" spans="1:13" ht="15.75">
      <c r="A26" s="757" t="s">
        <v>954</v>
      </c>
      <c r="B26" s="758" t="s">
        <v>955</v>
      </c>
      <c r="C26" s="758" t="s">
        <v>886</v>
      </c>
      <c r="D26" s="757" t="s">
        <v>888</v>
      </c>
      <c r="E26" s="757" t="s">
        <v>888</v>
      </c>
      <c r="F26" s="757" t="s">
        <v>888</v>
      </c>
      <c r="G26" s="757" t="s">
        <v>888</v>
      </c>
      <c r="H26" s="757" t="s">
        <v>888</v>
      </c>
      <c r="I26" s="757" t="s">
        <v>956</v>
      </c>
      <c r="K26" s="759">
        <v>0</v>
      </c>
    </row>
    <row r="27" spans="1:13" ht="15.75">
      <c r="A27" s="757" t="s">
        <v>957</v>
      </c>
      <c r="B27" s="758" t="s">
        <v>958</v>
      </c>
      <c r="C27" s="758" t="s">
        <v>921</v>
      </c>
      <c r="D27" s="757" t="s">
        <v>959</v>
      </c>
      <c r="E27" s="757"/>
      <c r="F27" s="757" t="s">
        <v>960</v>
      </c>
      <c r="I27" s="757" t="s">
        <v>889</v>
      </c>
      <c r="K27" s="759">
        <v>0.5</v>
      </c>
    </row>
    <row r="28" spans="1:13" ht="15.75">
      <c r="A28" s="757" t="s">
        <v>961</v>
      </c>
      <c r="B28" s="758" t="s">
        <v>962</v>
      </c>
      <c r="C28" s="758" t="s">
        <v>938</v>
      </c>
      <c r="D28" s="757"/>
      <c r="E28" s="757"/>
      <c r="F28" s="757"/>
      <c r="K28" s="761">
        <f>+'WP-9 - Disposal'!S20</f>
        <v>0.23169899397416702</v>
      </c>
    </row>
    <row r="29" spans="1:13">
      <c r="K29" s="760">
        <f>SUM(K3:K28)/23</f>
        <v>0.47014773860644926</v>
      </c>
      <c r="M29" t="s">
        <v>1013</v>
      </c>
    </row>
    <row r="30" spans="1:13">
      <c r="K30" s="703"/>
    </row>
    <row r="32" spans="1:13">
      <c r="A32" t="s">
        <v>1014</v>
      </c>
      <c r="K32">
        <v>9970</v>
      </c>
    </row>
    <row r="33" spans="1:13">
      <c r="K33" s="762">
        <f>21250+1800+900+46</f>
        <v>23996</v>
      </c>
    </row>
    <row r="34" spans="1:13">
      <c r="K34" s="703">
        <f>+K32/K33</f>
        <v>0.41548591431905318</v>
      </c>
      <c r="M34" t="s">
        <v>1015</v>
      </c>
    </row>
    <row r="36" spans="1:13">
      <c r="A36" t="s">
        <v>184</v>
      </c>
      <c r="K36">
        <f>+Operations!E26</f>
        <v>6013462.9100000011</v>
      </c>
    </row>
    <row r="37" spans="1:13">
      <c r="K37" s="762">
        <f>+Operations!C26</f>
        <v>11348551.439999999</v>
      </c>
    </row>
    <row r="38" spans="1:13">
      <c r="K38" s="703">
        <f>+K36/K37</f>
        <v>0.52988814843844079</v>
      </c>
      <c r="M38" t="s">
        <v>1016</v>
      </c>
    </row>
    <row r="39" spans="1:13">
      <c r="K39" s="22"/>
    </row>
  </sheetData>
  <pageMargins left="0.7" right="0.7" top="0.75" bottom="0.75" header="0.3" footer="0.3"/>
  <pageSetup scale="36"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9037E-D8CF-4B1F-BEF8-0291314F6AEB}">
  <dimension ref="A2:J57"/>
  <sheetViews>
    <sheetView zoomScaleNormal="100" workbookViewId="0">
      <selection activeCell="H2" sqref="H2"/>
    </sheetView>
  </sheetViews>
  <sheetFormatPr defaultRowHeight="15"/>
  <cols>
    <col min="5" max="5" width="11" bestFit="1" customWidth="1"/>
    <col min="6" max="6" width="10.109375" customWidth="1"/>
  </cols>
  <sheetData>
    <row r="2" spans="1:10">
      <c r="F2" t="s">
        <v>1046</v>
      </c>
    </row>
    <row r="3" spans="1:10">
      <c r="F3" t="s">
        <v>845</v>
      </c>
    </row>
    <row r="4" spans="1:10">
      <c r="F4" t="s">
        <v>1017</v>
      </c>
      <c r="J4" s="581" t="s">
        <v>1112</v>
      </c>
    </row>
    <row r="5" spans="1:10">
      <c r="E5" t="s">
        <v>255</v>
      </c>
      <c r="F5" s="703">
        <f>1-'WP -11 Non-Regulated'!K29</f>
        <v>0.52985226139355079</v>
      </c>
    </row>
    <row r="6" spans="1:10" ht="15.75">
      <c r="A6" s="9" t="s">
        <v>789</v>
      </c>
      <c r="E6">
        <f>+Operations!C30</f>
        <v>2644762.48</v>
      </c>
      <c r="F6">
        <f>+'WP-2 - Labor Analysis'!AB74</f>
        <v>1287190.5919814131</v>
      </c>
      <c r="G6" s="581"/>
      <c r="J6" s="581" t="s">
        <v>1110</v>
      </c>
    </row>
    <row r="7" spans="1:10" ht="15.75">
      <c r="A7" s="9" t="s">
        <v>869</v>
      </c>
      <c r="E7">
        <f>+Operations!C31</f>
        <v>0</v>
      </c>
      <c r="J7" s="581" t="s">
        <v>1102</v>
      </c>
    </row>
    <row r="8" spans="1:10" ht="15.75">
      <c r="A8" s="9" t="s">
        <v>870</v>
      </c>
      <c r="E8">
        <f>+Operations!C32</f>
        <v>0</v>
      </c>
      <c r="J8" s="581" t="s">
        <v>1102</v>
      </c>
    </row>
    <row r="9" spans="1:10" ht="15.75">
      <c r="A9" s="9" t="s">
        <v>873</v>
      </c>
      <c r="E9">
        <f>+Operations!C33</f>
        <v>0</v>
      </c>
      <c r="J9" s="581" t="s">
        <v>1102</v>
      </c>
    </row>
    <row r="10" spans="1:10" ht="15.75">
      <c r="A10" s="9" t="s">
        <v>871</v>
      </c>
      <c r="E10">
        <f>+Operations!C34</f>
        <v>0</v>
      </c>
      <c r="J10" s="581" t="s">
        <v>1102</v>
      </c>
    </row>
    <row r="11" spans="1:10" ht="15.75">
      <c r="A11" s="9" t="s">
        <v>872</v>
      </c>
      <c r="E11">
        <f>+Operations!C35</f>
        <v>0</v>
      </c>
      <c r="J11" s="581" t="s">
        <v>1102</v>
      </c>
    </row>
    <row r="12" spans="1:10" ht="15.75">
      <c r="A12" s="9" t="s">
        <v>1136</v>
      </c>
      <c r="E12">
        <f>+Operations!C36</f>
        <v>0</v>
      </c>
      <c r="J12" s="581" t="s">
        <v>1102</v>
      </c>
    </row>
    <row r="13" spans="1:10" ht="15.75">
      <c r="A13" s="705" t="s">
        <v>807</v>
      </c>
      <c r="B13" s="706"/>
      <c r="E13">
        <f>+Operations!C37</f>
        <v>537038.31999999995</v>
      </c>
      <c r="F13">
        <f>+'WP-2, pg 3 - Benefits Analysis'!P86</f>
        <v>246255.77361487658</v>
      </c>
      <c r="G13" s="581"/>
      <c r="J13" s="581" t="s">
        <v>1110</v>
      </c>
    </row>
    <row r="14" spans="1:10" ht="15.75">
      <c r="A14" s="9" t="s">
        <v>349</v>
      </c>
      <c r="B14" s="581"/>
      <c r="E14">
        <f>+Operations!C38</f>
        <v>22757.35</v>
      </c>
      <c r="F14">
        <f t="shared" ref="F14" si="0">+E14*F$5</f>
        <v>12058.033360824522</v>
      </c>
      <c r="J14" s="581" t="s">
        <v>1105</v>
      </c>
    </row>
    <row r="15" spans="1:10" ht="15.75">
      <c r="A15" s="709" t="s">
        <v>71</v>
      </c>
      <c r="B15" s="525"/>
      <c r="E15">
        <f>+Operations!C39</f>
        <v>-76223.270000000019</v>
      </c>
      <c r="J15" s="581" t="s">
        <v>1018</v>
      </c>
    </row>
    <row r="16" spans="1:10" ht="15.75">
      <c r="A16" s="709" t="s">
        <v>808</v>
      </c>
      <c r="B16" s="525"/>
      <c r="E16">
        <f>+Operations!C40</f>
        <v>6452.5399999999991</v>
      </c>
      <c r="J16" s="581" t="s">
        <v>1018</v>
      </c>
    </row>
    <row r="17" spans="1:10" ht="15.75">
      <c r="A17" s="9" t="s">
        <v>350</v>
      </c>
      <c r="E17">
        <f>+Operations!C41</f>
        <v>64550.42</v>
      </c>
      <c r="F17">
        <v>0</v>
      </c>
      <c r="J17" s="581" t="s">
        <v>1018</v>
      </c>
    </row>
    <row r="18" spans="1:10" ht="15.75">
      <c r="A18" s="9" t="s">
        <v>803</v>
      </c>
      <c r="E18">
        <f>+Operations!C42</f>
        <v>11354.91</v>
      </c>
      <c r="F18">
        <f t="shared" ref="F18" si="1">+E18*F$5</f>
        <v>6016.4247414202437</v>
      </c>
      <c r="J18" s="581" t="s">
        <v>1105</v>
      </c>
    </row>
    <row r="19" spans="1:10" ht="15.75">
      <c r="A19" s="709" t="s">
        <v>351</v>
      </c>
      <c r="E19">
        <f>+Operations!C43</f>
        <v>675</v>
      </c>
      <c r="J19" s="581" t="s">
        <v>1113</v>
      </c>
    </row>
    <row r="20" spans="1:10" ht="15.75">
      <c r="A20" s="724" t="s">
        <v>792</v>
      </c>
      <c r="E20">
        <f>+Operations!C44</f>
        <v>24895.759999999998</v>
      </c>
      <c r="F20">
        <f>+'WP-4 - Dues &amp; Sub'!U32+('WP-4 - Dues &amp; Sub'!U33*'WP-11, pg 2 Non-Regulated'!F5)</f>
        <v>3554.1043916769941</v>
      </c>
      <c r="J20" s="581" t="s">
        <v>1170</v>
      </c>
    </row>
    <row r="21" spans="1:10" ht="15.75">
      <c r="A21" s="9" t="s">
        <v>786</v>
      </c>
      <c r="E21">
        <f>+Operations!C45</f>
        <v>13182.089999999998</v>
      </c>
      <c r="F21">
        <v>0</v>
      </c>
      <c r="J21" s="581" t="s">
        <v>1018</v>
      </c>
    </row>
    <row r="22" spans="1:10" ht="15.75">
      <c r="A22" s="704" t="s">
        <v>58</v>
      </c>
      <c r="E22">
        <f>+Operations!C46</f>
        <v>3431652.9099999997</v>
      </c>
      <c r="F22">
        <f>+'WP-9 - Disposal'!P43</f>
        <v>1292139.1351999999</v>
      </c>
      <c r="J22" s="581" t="s">
        <v>1114</v>
      </c>
    </row>
    <row r="23" spans="1:10" ht="15.75">
      <c r="A23" s="9" t="s">
        <v>102</v>
      </c>
      <c r="E23">
        <f>+Operations!C48</f>
        <v>864267.79</v>
      </c>
      <c r="F23">
        <f t="shared" ref="F23:F45" si="2">+E23*F$5</f>
        <v>457934.24298110651</v>
      </c>
      <c r="J23" s="581" t="s">
        <v>1105</v>
      </c>
    </row>
    <row r="24" spans="1:10" ht="15.75">
      <c r="A24" s="9" t="s">
        <v>12</v>
      </c>
      <c r="E24">
        <f>+Operations!C49</f>
        <v>0</v>
      </c>
      <c r="J24" s="581"/>
    </row>
    <row r="25" spans="1:10" ht="15.75">
      <c r="A25" s="9" t="s">
        <v>801</v>
      </c>
      <c r="E25">
        <f>+Operations!C50</f>
        <v>189363.65999999997</v>
      </c>
      <c r="F25">
        <f>+(1-'WP -11 Non-Regulated'!K38)*'WP-11, pg 2 Non-Regulated'!E25</f>
        <v>89022.10082107356</v>
      </c>
      <c r="J25" s="581" t="s">
        <v>1115</v>
      </c>
    </row>
    <row r="26" spans="1:10" ht="15.75">
      <c r="A26" s="9" t="s">
        <v>29</v>
      </c>
      <c r="E26">
        <f>+Operations!C51</f>
        <v>234645.57</v>
      </c>
      <c r="F26">
        <f>+E26*'WP-2 - Labor Analysis'!AD74</f>
        <v>114200.640865911</v>
      </c>
      <c r="G26" s="581"/>
      <c r="J26" s="581" t="s">
        <v>1110</v>
      </c>
    </row>
    <row r="27" spans="1:10" ht="15.75">
      <c r="A27" s="9" t="s">
        <v>804</v>
      </c>
      <c r="E27">
        <f>+Operations!C52</f>
        <v>55301.75</v>
      </c>
      <c r="F27">
        <f t="shared" si="2"/>
        <v>29301.757296520798</v>
      </c>
      <c r="J27" s="581" t="s">
        <v>1105</v>
      </c>
    </row>
    <row r="28" spans="1:10" ht="15.75">
      <c r="A28" s="9" t="s">
        <v>790</v>
      </c>
      <c r="E28">
        <f>+Operations!C53</f>
        <v>555311.55000000005</v>
      </c>
      <c r="F28">
        <f t="shared" si="2"/>
        <v>294233.08054545789</v>
      </c>
      <c r="J28" s="581" t="s">
        <v>1105</v>
      </c>
    </row>
    <row r="29" spans="1:10" ht="15.75">
      <c r="A29" s="9" t="s">
        <v>787</v>
      </c>
      <c r="E29">
        <f>+Operations!C54</f>
        <v>64778.460000000006</v>
      </c>
      <c r="F29">
        <f>+E29*(1-'WP-9 - Disposal'!S20)</f>
        <v>49769.355986804185</v>
      </c>
      <c r="J29" s="581" t="s">
        <v>1114</v>
      </c>
    </row>
    <row r="30" spans="1:10" ht="15.75">
      <c r="A30" s="9" t="s">
        <v>800</v>
      </c>
      <c r="E30">
        <f>+Operations!C55</f>
        <v>235444.16999999998</v>
      </c>
      <c r="F30">
        <f t="shared" si="2"/>
        <v>124750.62590642759</v>
      </c>
      <c r="J30" s="581" t="s">
        <v>1105</v>
      </c>
    </row>
    <row r="31" spans="1:10" ht="15.75">
      <c r="A31" s="9" t="s">
        <v>799</v>
      </c>
      <c r="E31">
        <f>+Operations!C56</f>
        <v>5198</v>
      </c>
      <c r="F31">
        <f>+E31</f>
        <v>5198</v>
      </c>
      <c r="J31" s="581" t="s">
        <v>1018</v>
      </c>
    </row>
    <row r="32" spans="1:10" ht="15.75">
      <c r="A32" s="9" t="s">
        <v>797</v>
      </c>
      <c r="E32">
        <f>+Operations!C57</f>
        <v>209435.55</v>
      </c>
      <c r="F32">
        <f t="shared" si="2"/>
        <v>110969.89978370207</v>
      </c>
      <c r="J32" s="581" t="s">
        <v>1105</v>
      </c>
    </row>
    <row r="33" spans="1:10" ht="15.75">
      <c r="A33" s="9" t="s">
        <v>810</v>
      </c>
      <c r="E33">
        <f>+Operations!C58</f>
        <v>110</v>
      </c>
      <c r="F33">
        <f t="shared" si="2"/>
        <v>58.283748753290588</v>
      </c>
      <c r="J33" s="581" t="s">
        <v>1105</v>
      </c>
    </row>
    <row r="34" spans="1:10" ht="15.75">
      <c r="A34" s="9" t="s">
        <v>802</v>
      </c>
      <c r="E34">
        <f>+Operations!C59</f>
        <v>36345.969999999987</v>
      </c>
      <c r="F34">
        <f t="shared" si="2"/>
        <v>19257.994397042148</v>
      </c>
      <c r="J34" s="581" t="s">
        <v>1105</v>
      </c>
    </row>
    <row r="35" spans="1:10" ht="15.75">
      <c r="A35" s="9" t="s">
        <v>791</v>
      </c>
      <c r="E35">
        <f>+Operations!C60</f>
        <v>47944.2</v>
      </c>
      <c r="F35">
        <f t="shared" si="2"/>
        <v>25403.342790704675</v>
      </c>
      <c r="J35" s="581" t="s">
        <v>1105</v>
      </c>
    </row>
    <row r="36" spans="1:10" ht="15.75">
      <c r="A36" s="9" t="s">
        <v>805</v>
      </c>
      <c r="E36">
        <f>+Operations!C61</f>
        <v>0</v>
      </c>
      <c r="F36">
        <f t="shared" si="2"/>
        <v>0</v>
      </c>
    </row>
    <row r="37" spans="1:10" ht="15.75">
      <c r="A37" s="9" t="s">
        <v>796</v>
      </c>
      <c r="E37">
        <f>+Operations!C62</f>
        <v>60489.75</v>
      </c>
      <c r="F37">
        <f t="shared" si="2"/>
        <v>32050.630828630539</v>
      </c>
      <c r="J37" s="581" t="s">
        <v>1105</v>
      </c>
    </row>
    <row r="38" spans="1:10" ht="15.75">
      <c r="A38" s="9" t="s">
        <v>352</v>
      </c>
      <c r="E38">
        <f>+Operations!C63</f>
        <v>18278.399999999998</v>
      </c>
      <c r="F38">
        <f t="shared" si="2"/>
        <v>9684.8515746558769</v>
      </c>
      <c r="G38" s="581"/>
      <c r="J38" s="581" t="s">
        <v>1105</v>
      </c>
    </row>
    <row r="39" spans="1:10" ht="15.75">
      <c r="A39" s="9" t="s">
        <v>811</v>
      </c>
      <c r="E39">
        <f>+Operations!C64</f>
        <v>28213.08</v>
      </c>
      <c r="J39" s="581" t="s">
        <v>1018</v>
      </c>
    </row>
    <row r="40" spans="1:10" ht="15.75">
      <c r="A40" s="9" t="s">
        <v>785</v>
      </c>
      <c r="E40">
        <f>+Operations!C65</f>
        <v>323607.86</v>
      </c>
      <c r="F40">
        <f t="shared" si="2"/>
        <v>171464.35642572757</v>
      </c>
      <c r="J40" s="581" t="s">
        <v>1105</v>
      </c>
    </row>
    <row r="41" spans="1:10" ht="15.75">
      <c r="A41" s="9" t="s">
        <v>784</v>
      </c>
      <c r="E41">
        <f>+Operations!C66</f>
        <v>17971.199999999997</v>
      </c>
      <c r="F41">
        <f>+E41</f>
        <v>17971.199999999997</v>
      </c>
      <c r="J41" s="581" t="s">
        <v>1113</v>
      </c>
    </row>
    <row r="42" spans="1:10" ht="15.75">
      <c r="A42" s="9" t="s">
        <v>354</v>
      </c>
      <c r="E42">
        <f>+Operations!C67</f>
        <v>5000</v>
      </c>
      <c r="F42">
        <f t="shared" si="2"/>
        <v>2649.2613069677541</v>
      </c>
      <c r="J42" s="581" t="s">
        <v>1105</v>
      </c>
    </row>
    <row r="43" spans="1:10" ht="15.75">
      <c r="A43" s="9" t="s">
        <v>794</v>
      </c>
      <c r="E43">
        <f>+Operations!C68</f>
        <v>149273.60000000001</v>
      </c>
      <c r="F43">
        <f t="shared" si="2"/>
        <v>79092.954526356349</v>
      </c>
      <c r="J43" s="581" t="s">
        <v>1105</v>
      </c>
    </row>
    <row r="44" spans="1:10" ht="15.75">
      <c r="A44" s="9" t="s">
        <v>788</v>
      </c>
      <c r="E44">
        <f>+Operations!C69</f>
        <v>180886.38999999998</v>
      </c>
      <c r="F44">
        <f t="shared" si="2"/>
        <v>95843.062796815764</v>
      </c>
      <c r="J44" s="581" t="s">
        <v>1105</v>
      </c>
    </row>
    <row r="45" spans="1:10" ht="15.75">
      <c r="A45" s="9" t="s">
        <v>806</v>
      </c>
      <c r="E45">
        <f>+Operations!C70</f>
        <v>483.52</v>
      </c>
      <c r="F45">
        <f t="shared" si="2"/>
        <v>256.19416542900967</v>
      </c>
      <c r="J45" s="581" t="s">
        <v>1105</v>
      </c>
    </row>
    <row r="46" spans="1:10" ht="15.75">
      <c r="A46" s="9" t="s">
        <v>798</v>
      </c>
      <c r="E46">
        <f>+Operations!C71</f>
        <v>10140.36</v>
      </c>
      <c r="F46">
        <f>+E46*F$5</f>
        <v>5372.8926773447074</v>
      </c>
      <c r="G46" s="581"/>
      <c r="J46" s="581" t="s">
        <v>1105</v>
      </c>
    </row>
    <row r="47" spans="1:10" ht="15.75">
      <c r="A47" s="9" t="s">
        <v>812</v>
      </c>
      <c r="E47">
        <f>+Operations!C72</f>
        <v>-4063.66</v>
      </c>
    </row>
    <row r="48" spans="1:10" ht="15.75">
      <c r="A48" s="9" t="s">
        <v>793</v>
      </c>
      <c r="E48">
        <f>+Operations!C73</f>
        <v>10708.82</v>
      </c>
    </row>
    <row r="49" spans="1:10" ht="15.75">
      <c r="A49" s="9" t="s">
        <v>809</v>
      </c>
      <c r="E49">
        <f>+Operations!C74</f>
        <v>-0.28000000000000003</v>
      </c>
    </row>
    <row r="50" spans="1:10" ht="15.75">
      <c r="A50" s="9" t="s">
        <v>30</v>
      </c>
      <c r="E50">
        <f>+Operations!C75</f>
        <v>193.45</v>
      </c>
      <c r="F50">
        <f>-'WP-1, pg 2 - Depr'!T202+'WP-1, pg 2 - Depr'!R202</f>
        <v>102.50097967110435</v>
      </c>
      <c r="J50" s="581" t="s">
        <v>1105</v>
      </c>
    </row>
    <row r="51" spans="1:10" ht="15.75">
      <c r="A51" s="9" t="s">
        <v>93</v>
      </c>
      <c r="E51">
        <f>+Operations!C76</f>
        <v>180540.33</v>
      </c>
    </row>
    <row r="52" spans="1:10" ht="15.75">
      <c r="A52" s="9" t="s">
        <v>40</v>
      </c>
      <c r="E52">
        <f>+Operations!C77</f>
        <v>1104909.8</v>
      </c>
      <c r="F52">
        <f>-'WP-1 - Summary Depr'!H28-'WP-11, pg 2 Non-Regulated'!F50</f>
        <v>692542.21518301649</v>
      </c>
      <c r="J52" s="581" t="s">
        <v>1105</v>
      </c>
    </row>
    <row r="53" spans="1:10" ht="15.75">
      <c r="A53" s="9" t="s">
        <v>424</v>
      </c>
      <c r="E53" s="762">
        <f>+Operations!C78</f>
        <v>0</v>
      </c>
      <c r="F53" s="762"/>
    </row>
    <row r="54" spans="1:10">
      <c r="E54">
        <f>SUM(E6:E53)</f>
        <v>11265877.800000001</v>
      </c>
      <c r="F54">
        <f>SUM(F6:F53)</f>
        <v>5274343.5088783307</v>
      </c>
    </row>
    <row r="56" spans="1:10" ht="15.75">
      <c r="D56" s="798" t="s">
        <v>1188</v>
      </c>
      <c r="E56">
        <f>+Operations!C80</f>
        <v>11265877.800000001</v>
      </c>
      <c r="F56">
        <f>+Operations!D80</f>
        <v>5274343.5088783307</v>
      </c>
    </row>
    <row r="57" spans="1:10" ht="15.75">
      <c r="D57" s="798" t="s">
        <v>1189</v>
      </c>
      <c r="E57">
        <f>+E56-E54</f>
        <v>0</v>
      </c>
      <c r="F57">
        <f>+F54-F56</f>
        <v>0</v>
      </c>
    </row>
  </sheetData>
  <phoneticPr fontId="49" type="noConversion"/>
  <pageMargins left="0.7" right="0.7" top="0.75" bottom="0.75" header="0.3" footer="0.3"/>
  <pageSetup scale="63" orientation="portrait"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44"/>
  <dimension ref="A1:Q293"/>
  <sheetViews>
    <sheetView topLeftCell="A155" zoomScale="85" zoomScaleNormal="85" workbookViewId="0">
      <selection activeCell="O208" sqref="O208"/>
    </sheetView>
  </sheetViews>
  <sheetFormatPr defaultColWidth="8.88671875" defaultRowHeight="12.75"/>
  <cols>
    <col min="1" max="1" width="31.21875" style="249" customWidth="1"/>
    <col min="2" max="13" width="12.6640625" style="248" customWidth="1"/>
    <col min="14" max="14" width="1.88671875" style="248" customWidth="1"/>
    <col min="15" max="15" width="15.6640625" style="248" customWidth="1"/>
    <col min="16" max="16" width="18" style="249" customWidth="1"/>
    <col min="17" max="17" width="12.44140625" style="249" customWidth="1"/>
    <col min="18" max="16384" width="8.88671875" style="249"/>
  </cols>
  <sheetData>
    <row r="1" spans="1:17">
      <c r="A1" s="247" t="s">
        <v>107</v>
      </c>
    </row>
    <row r="2" spans="1:17">
      <c r="B2" s="250">
        <v>2021</v>
      </c>
      <c r="C2" s="250">
        <v>2021</v>
      </c>
      <c r="D2" s="250">
        <v>2021</v>
      </c>
      <c r="E2" s="250">
        <v>2021</v>
      </c>
      <c r="F2" s="250">
        <v>2021</v>
      </c>
      <c r="G2" s="250">
        <v>2021</v>
      </c>
      <c r="H2" s="250">
        <v>2021</v>
      </c>
      <c r="I2" s="250">
        <v>2021</v>
      </c>
      <c r="J2" s="250">
        <v>2021</v>
      </c>
      <c r="K2" s="250">
        <v>2021</v>
      </c>
      <c r="L2" s="250">
        <v>2021</v>
      </c>
      <c r="M2" s="250">
        <v>2021</v>
      </c>
    </row>
    <row r="3" spans="1:17">
      <c r="A3" s="251"/>
      <c r="B3" s="252" t="s">
        <v>63</v>
      </c>
      <c r="C3" s="252" t="s">
        <v>64</v>
      </c>
      <c r="D3" s="252" t="s">
        <v>65</v>
      </c>
      <c r="E3" s="252" t="s">
        <v>66</v>
      </c>
      <c r="F3" s="252" t="s">
        <v>67</v>
      </c>
      <c r="G3" s="252" t="s">
        <v>68</v>
      </c>
      <c r="H3" s="252" t="s">
        <v>69</v>
      </c>
      <c r="I3" s="252" t="s">
        <v>70</v>
      </c>
      <c r="J3" s="252" t="s">
        <v>62</v>
      </c>
      <c r="K3" s="252" t="s">
        <v>61</v>
      </c>
      <c r="L3" s="252" t="s">
        <v>60</v>
      </c>
      <c r="M3" s="252" t="s">
        <v>59</v>
      </c>
      <c r="O3" s="252" t="s">
        <v>106</v>
      </c>
      <c r="P3" s="249" t="s">
        <v>362</v>
      </c>
    </row>
    <row r="4" spans="1:17">
      <c r="A4" s="253" t="s">
        <v>105</v>
      </c>
    </row>
    <row r="5" spans="1:17">
      <c r="A5" s="254" t="s">
        <v>426</v>
      </c>
      <c r="B5" s="255">
        <v>186304.54</v>
      </c>
      <c r="C5" s="255">
        <v>186273.87</v>
      </c>
      <c r="D5" s="255">
        <v>192102.97</v>
      </c>
      <c r="E5" s="255">
        <v>193843.3</v>
      </c>
      <c r="F5" s="255">
        <v>195372.78</v>
      </c>
      <c r="G5" s="255">
        <v>196862.21</v>
      </c>
      <c r="H5" s="255">
        <v>198953.33</v>
      </c>
      <c r="I5" s="255">
        <v>197680.65</v>
      </c>
      <c r="J5" s="255">
        <v>200325.78</v>
      </c>
      <c r="K5" s="255">
        <v>204839.82</v>
      </c>
      <c r="L5" s="255">
        <v>190791.34</v>
      </c>
      <c r="M5" s="255">
        <v>207400.09</v>
      </c>
      <c r="O5" s="256">
        <f>SUM(B5:M5)</f>
        <v>2350750.6799999997</v>
      </c>
      <c r="Q5" s="256">
        <f>SUM(O5:O21)</f>
        <v>3945816.4099999997</v>
      </c>
    </row>
    <row r="6" spans="1:17">
      <c r="A6" s="254" t="s">
        <v>427</v>
      </c>
      <c r="B6" s="255">
        <v>9920.25</v>
      </c>
      <c r="C6" s="255">
        <v>9800.25</v>
      </c>
      <c r="D6" s="255">
        <v>9919.25</v>
      </c>
      <c r="E6" s="255">
        <v>10048.99</v>
      </c>
      <c r="F6" s="255">
        <v>10195.01</v>
      </c>
      <c r="G6" s="255">
        <v>10183</v>
      </c>
      <c r="H6" s="255">
        <v>10269.25</v>
      </c>
      <c r="I6" s="255">
        <v>10288.5</v>
      </c>
      <c r="J6" s="255">
        <v>10305.75</v>
      </c>
      <c r="K6" s="255">
        <v>10314.5</v>
      </c>
      <c r="L6" s="255">
        <v>10213.5</v>
      </c>
      <c r="M6" s="255">
        <v>10232</v>
      </c>
      <c r="O6" s="256">
        <f t="shared" ref="O6:O69" si="0">SUM(B6:M6)</f>
        <v>121690.25</v>
      </c>
    </row>
    <row r="7" spans="1:17">
      <c r="A7" s="254" t="s">
        <v>428</v>
      </c>
      <c r="B7" s="255">
        <v>10240.35</v>
      </c>
      <c r="C7" s="255">
        <v>10283.700000000001</v>
      </c>
      <c r="D7" s="255">
        <v>13138.45</v>
      </c>
      <c r="E7" s="255">
        <v>13170.75</v>
      </c>
      <c r="F7" s="255">
        <v>13153.75</v>
      </c>
      <c r="G7" s="255">
        <v>13198.8</v>
      </c>
      <c r="H7" s="255">
        <v>13111.25</v>
      </c>
      <c r="I7" s="255">
        <v>13141</v>
      </c>
      <c r="J7" s="255">
        <v>13333.1</v>
      </c>
      <c r="K7" s="255">
        <v>13391.75</v>
      </c>
      <c r="L7" s="255">
        <v>13366.25</v>
      </c>
      <c r="M7" s="255">
        <v>13401.1</v>
      </c>
      <c r="O7" s="256">
        <f t="shared" si="0"/>
        <v>152930.25000000003</v>
      </c>
    </row>
    <row r="8" spans="1:17">
      <c r="A8" s="254" t="s">
        <v>429</v>
      </c>
      <c r="B8" s="255">
        <v>6065.02</v>
      </c>
      <c r="C8" s="255">
        <v>6103.79</v>
      </c>
      <c r="D8" s="255">
        <v>8009</v>
      </c>
      <c r="E8" s="255">
        <v>7965.13</v>
      </c>
      <c r="F8" s="255">
        <v>7966.88</v>
      </c>
      <c r="G8" s="255">
        <v>8046.61</v>
      </c>
      <c r="H8" s="255">
        <v>8163.07</v>
      </c>
      <c r="I8" s="255">
        <v>8098.78</v>
      </c>
      <c r="J8" s="255">
        <v>8190.5</v>
      </c>
      <c r="K8" s="255">
        <v>8318.5300000000007</v>
      </c>
      <c r="L8" s="255">
        <v>8329.82</v>
      </c>
      <c r="M8" s="255">
        <v>8267.32</v>
      </c>
      <c r="O8" s="256">
        <f t="shared" si="0"/>
        <v>93524.450000000012</v>
      </c>
    </row>
    <row r="9" spans="1:17">
      <c r="A9" s="254" t="s">
        <v>430</v>
      </c>
      <c r="B9" s="255">
        <v>11184.48</v>
      </c>
      <c r="C9" s="255">
        <v>11185.92</v>
      </c>
      <c r="D9" s="255">
        <v>14169</v>
      </c>
      <c r="E9" s="255">
        <v>14186.94</v>
      </c>
      <c r="F9" s="255">
        <v>14430.61</v>
      </c>
      <c r="G9" s="255">
        <v>14676.3</v>
      </c>
      <c r="H9" s="255">
        <v>15088.75</v>
      </c>
      <c r="I9" s="255">
        <v>15372.81</v>
      </c>
      <c r="J9" s="255">
        <v>14948.96</v>
      </c>
      <c r="K9" s="255">
        <v>15046.12</v>
      </c>
      <c r="L9" s="255">
        <v>15285.41</v>
      </c>
      <c r="M9" s="255">
        <v>15279.53</v>
      </c>
      <c r="O9" s="256">
        <f t="shared" si="0"/>
        <v>170854.83</v>
      </c>
    </row>
    <row r="10" spans="1:17">
      <c r="A10" s="254" t="s">
        <v>431</v>
      </c>
      <c r="B10" s="255">
        <v>9841.5400000000009</v>
      </c>
      <c r="C10" s="255">
        <v>9785.57</v>
      </c>
      <c r="D10" s="255">
        <v>9726.57</v>
      </c>
      <c r="E10" s="255">
        <v>9907.7199999999993</v>
      </c>
      <c r="F10" s="255">
        <v>10036.17</v>
      </c>
      <c r="G10" s="255">
        <v>10032.84</v>
      </c>
      <c r="H10" s="255">
        <v>10023.11</v>
      </c>
      <c r="I10" s="255">
        <v>9999.08</v>
      </c>
      <c r="J10" s="255">
        <v>10091.32</v>
      </c>
      <c r="K10" s="255">
        <v>9921.89</v>
      </c>
      <c r="L10" s="255">
        <v>9930.33</v>
      </c>
      <c r="M10" s="255">
        <v>9970.57</v>
      </c>
      <c r="O10" s="256">
        <f t="shared" si="0"/>
        <v>119266.71000000002</v>
      </c>
    </row>
    <row r="11" spans="1:17">
      <c r="A11" s="254" t="s">
        <v>432</v>
      </c>
      <c r="B11" s="255">
        <v>11204.73</v>
      </c>
      <c r="C11" s="255">
        <v>11237.16</v>
      </c>
      <c r="D11" s="255">
        <v>11178.81</v>
      </c>
      <c r="E11" s="255">
        <v>11291.54</v>
      </c>
      <c r="F11" s="255">
        <v>11369.72</v>
      </c>
      <c r="G11" s="255">
        <v>11476.86</v>
      </c>
      <c r="H11" s="255">
        <v>14050.68</v>
      </c>
      <c r="I11" s="255">
        <v>14041.8</v>
      </c>
      <c r="J11" s="255">
        <v>11773.04</v>
      </c>
      <c r="K11" s="255">
        <v>11728.4</v>
      </c>
      <c r="L11" s="255">
        <v>11916.65</v>
      </c>
      <c r="M11" s="255">
        <v>11892.04</v>
      </c>
      <c r="O11" s="256">
        <f t="shared" si="0"/>
        <v>143161.43</v>
      </c>
    </row>
    <row r="12" spans="1:17">
      <c r="A12" s="254" t="s">
        <v>433</v>
      </c>
      <c r="B12" s="255">
        <v>7301.62</v>
      </c>
      <c r="C12" s="255">
        <v>7311.6</v>
      </c>
      <c r="D12" s="255">
        <v>7315.88</v>
      </c>
      <c r="E12" s="255">
        <v>7319.09</v>
      </c>
      <c r="F12" s="255">
        <v>7336.26</v>
      </c>
      <c r="G12" s="255">
        <v>7353.86</v>
      </c>
      <c r="H12" s="255">
        <v>7364.27</v>
      </c>
      <c r="I12" s="255">
        <v>7325.87</v>
      </c>
      <c r="J12" s="255">
        <v>7409.27</v>
      </c>
      <c r="K12" s="255">
        <v>7417.83</v>
      </c>
      <c r="L12" s="255">
        <v>7426.74</v>
      </c>
      <c r="M12" s="255">
        <v>7422.26</v>
      </c>
      <c r="O12" s="256">
        <f t="shared" si="0"/>
        <v>88304.55</v>
      </c>
    </row>
    <row r="13" spans="1:17">
      <c r="A13" s="254" t="s">
        <v>434</v>
      </c>
      <c r="B13" s="255">
        <v>8344.89</v>
      </c>
      <c r="C13" s="255">
        <v>8406.4599999999991</v>
      </c>
      <c r="D13" s="255">
        <v>8303.5499999999993</v>
      </c>
      <c r="E13" s="255">
        <v>8506.18</v>
      </c>
      <c r="F13" s="255">
        <v>8439.77</v>
      </c>
      <c r="G13" s="255">
        <v>8346.02</v>
      </c>
      <c r="H13" s="255">
        <v>8383.36</v>
      </c>
      <c r="I13" s="255">
        <v>8524.49</v>
      </c>
      <c r="J13" s="255">
        <v>8468.2000000000007</v>
      </c>
      <c r="K13" s="255">
        <v>8634.4699999999993</v>
      </c>
      <c r="L13" s="255">
        <v>8512.43</v>
      </c>
      <c r="M13" s="255">
        <v>8808.31</v>
      </c>
      <c r="O13" s="256">
        <f t="shared" si="0"/>
        <v>101678.13</v>
      </c>
    </row>
    <row r="14" spans="1:17">
      <c r="A14" s="254" t="s">
        <v>435</v>
      </c>
      <c r="B14" s="255">
        <v>2868.86</v>
      </c>
      <c r="C14" s="255">
        <v>2860.82</v>
      </c>
      <c r="D14" s="255">
        <v>2886.51</v>
      </c>
      <c r="E14" s="255">
        <v>2884.87</v>
      </c>
      <c r="F14" s="255">
        <v>2913.35</v>
      </c>
      <c r="G14" s="255">
        <v>2941.19</v>
      </c>
      <c r="H14" s="255">
        <v>2939.35</v>
      </c>
      <c r="I14" s="255">
        <v>2919.37</v>
      </c>
      <c r="J14" s="255">
        <v>2291.87</v>
      </c>
      <c r="K14" s="255">
        <v>2870.95</v>
      </c>
      <c r="L14" s="255">
        <v>2848.52</v>
      </c>
      <c r="M14" s="255">
        <v>2861.38</v>
      </c>
      <c r="O14" s="256">
        <f t="shared" si="0"/>
        <v>34087.040000000001</v>
      </c>
    </row>
    <row r="15" spans="1:17">
      <c r="A15" s="254" t="s">
        <v>436</v>
      </c>
      <c r="B15" s="255">
        <v>2744.24</v>
      </c>
      <c r="C15" s="255">
        <v>2729.74</v>
      </c>
      <c r="D15" s="255">
        <v>2745.62</v>
      </c>
      <c r="E15" s="255">
        <v>2753.33</v>
      </c>
      <c r="F15" s="255">
        <v>2784.82</v>
      </c>
      <c r="G15" s="255">
        <v>2792.02</v>
      </c>
      <c r="H15" s="255">
        <v>2792.64</v>
      </c>
      <c r="I15" s="255">
        <v>2794.63</v>
      </c>
      <c r="J15" s="255">
        <v>2794.2</v>
      </c>
      <c r="K15" s="255">
        <v>2774.39</v>
      </c>
      <c r="L15" s="255">
        <v>2761.34</v>
      </c>
      <c r="M15" s="255">
        <v>2768.64</v>
      </c>
      <c r="O15" s="256">
        <f t="shared" si="0"/>
        <v>33235.61</v>
      </c>
    </row>
    <row r="16" spans="1:17">
      <c r="A16" s="254" t="s">
        <v>437</v>
      </c>
      <c r="B16" s="255">
        <v>1102.8</v>
      </c>
      <c r="C16" s="255">
        <v>1102.8</v>
      </c>
      <c r="D16" s="255">
        <v>1563.15</v>
      </c>
      <c r="E16" s="255">
        <v>1559.55</v>
      </c>
      <c r="F16" s="255">
        <v>1579.24</v>
      </c>
      <c r="G16" s="255">
        <v>1598.04</v>
      </c>
      <c r="H16" s="255">
        <v>1634.48</v>
      </c>
      <c r="I16" s="255">
        <v>1632.13</v>
      </c>
      <c r="J16" s="255">
        <v>1615.68</v>
      </c>
      <c r="K16" s="255">
        <v>1592.18</v>
      </c>
      <c r="L16" s="255">
        <v>1592.18</v>
      </c>
      <c r="M16" s="255">
        <v>1592.18</v>
      </c>
      <c r="O16" s="256">
        <f t="shared" si="0"/>
        <v>18164.41</v>
      </c>
    </row>
    <row r="17" spans="1:15">
      <c r="A17" s="254" t="s">
        <v>438</v>
      </c>
      <c r="B17" s="255">
        <v>29435.99</v>
      </c>
      <c r="C17" s="255">
        <v>50069.67</v>
      </c>
      <c r="D17" s="255">
        <v>24130.69</v>
      </c>
      <c r="E17" s="255">
        <v>44830.85</v>
      </c>
      <c r="F17" s="255">
        <v>30907.05</v>
      </c>
      <c r="G17" s="255">
        <v>45687.73</v>
      </c>
      <c r="H17" s="255">
        <v>31536.73</v>
      </c>
      <c r="I17" s="255">
        <v>45891.08</v>
      </c>
      <c r="J17" s="255">
        <v>31661.46</v>
      </c>
      <c r="K17" s="255">
        <v>45586.98</v>
      </c>
      <c r="L17" s="255">
        <v>30544.61</v>
      </c>
      <c r="M17" s="255">
        <v>44545.66</v>
      </c>
      <c r="O17" s="256">
        <f t="shared" si="0"/>
        <v>454828.5</v>
      </c>
    </row>
    <row r="18" spans="1:15">
      <c r="A18" s="254" t="s">
        <v>439</v>
      </c>
      <c r="B18" s="255">
        <v>11.98</v>
      </c>
      <c r="C18" s="255">
        <v>11.98</v>
      </c>
      <c r="D18" s="255">
        <v>11.98</v>
      </c>
      <c r="E18" s="255">
        <v>11.98</v>
      </c>
      <c r="F18" s="255">
        <v>11.98</v>
      </c>
      <c r="G18" s="255">
        <v>20.7</v>
      </c>
      <c r="H18" s="255">
        <v>15.25</v>
      </c>
      <c r="I18" s="255">
        <v>14.16</v>
      </c>
      <c r="J18" s="255">
        <v>26.92</v>
      </c>
      <c r="K18" s="255">
        <v>24.68</v>
      </c>
      <c r="L18" s="255">
        <v>24.68</v>
      </c>
      <c r="M18" s="255">
        <v>26.92</v>
      </c>
      <c r="O18" s="256">
        <f t="shared" si="0"/>
        <v>213.21000000000004</v>
      </c>
    </row>
    <row r="19" spans="1:15">
      <c r="A19" s="254" t="s">
        <v>440</v>
      </c>
      <c r="B19" s="255">
        <v>3210.29</v>
      </c>
      <c r="C19" s="255">
        <v>3212.55</v>
      </c>
      <c r="D19" s="255">
        <v>3319.15</v>
      </c>
      <c r="E19" s="255">
        <v>3227.67</v>
      </c>
      <c r="F19" s="255">
        <v>3246.9</v>
      </c>
      <c r="G19" s="255">
        <v>3283.56</v>
      </c>
      <c r="H19" s="255">
        <v>3317.45</v>
      </c>
      <c r="I19" s="255">
        <v>3360.81</v>
      </c>
      <c r="J19" s="255">
        <v>3368.45</v>
      </c>
      <c r="K19" s="255">
        <v>3366.06</v>
      </c>
      <c r="L19" s="255">
        <v>3346.92</v>
      </c>
      <c r="M19" s="255">
        <v>3209.76</v>
      </c>
      <c r="O19" s="256">
        <f t="shared" si="0"/>
        <v>39469.57</v>
      </c>
    </row>
    <row r="20" spans="1:15">
      <c r="A20" s="254" t="s">
        <v>441</v>
      </c>
      <c r="B20" s="255">
        <v>955.65</v>
      </c>
      <c r="C20" s="255">
        <v>900.13</v>
      </c>
      <c r="D20" s="255">
        <v>931.36</v>
      </c>
      <c r="E20" s="255">
        <v>922.08</v>
      </c>
      <c r="F20" s="255">
        <v>928.91</v>
      </c>
      <c r="G20" s="255">
        <v>939.32</v>
      </c>
      <c r="H20" s="255">
        <v>932.38</v>
      </c>
      <c r="I20" s="255">
        <v>756.84</v>
      </c>
      <c r="J20" s="255">
        <v>916.26</v>
      </c>
      <c r="K20" s="255">
        <v>256.43</v>
      </c>
      <c r="L20" s="255">
        <v>938.3</v>
      </c>
      <c r="M20" s="255">
        <v>907.07</v>
      </c>
      <c r="O20" s="256">
        <f t="shared" si="0"/>
        <v>10284.73</v>
      </c>
    </row>
    <row r="21" spans="1:15">
      <c r="A21" s="254" t="s">
        <v>442</v>
      </c>
      <c r="B21" s="255">
        <v>923.45</v>
      </c>
      <c r="C21" s="255">
        <v>925.25</v>
      </c>
      <c r="D21" s="255">
        <v>1130.3800000000001</v>
      </c>
      <c r="E21" s="255">
        <v>1122.26</v>
      </c>
      <c r="F21" s="255">
        <v>1153.0999999999999</v>
      </c>
      <c r="G21" s="255">
        <v>1160.8800000000001</v>
      </c>
      <c r="H21" s="255">
        <v>1146.98</v>
      </c>
      <c r="I21" s="255">
        <v>1155.58</v>
      </c>
      <c r="J21" s="255">
        <v>1162.6600000000001</v>
      </c>
      <c r="K21" s="255">
        <v>1172.6600000000001</v>
      </c>
      <c r="L21" s="255">
        <v>1166.6400000000001</v>
      </c>
      <c r="M21" s="255">
        <v>1152.22</v>
      </c>
      <c r="O21" s="256">
        <f t="shared" si="0"/>
        <v>13372.06</v>
      </c>
    </row>
    <row r="22" spans="1:15">
      <c r="A22" s="254" t="s">
        <v>443</v>
      </c>
      <c r="B22" s="255">
        <v>108788.44</v>
      </c>
      <c r="C22" s="255">
        <v>110390.71</v>
      </c>
      <c r="D22" s="255">
        <v>115441.53</v>
      </c>
      <c r="E22" s="255">
        <v>127758.77</v>
      </c>
      <c r="F22" s="255">
        <v>132753.76</v>
      </c>
      <c r="G22" s="255">
        <v>142090.53</v>
      </c>
      <c r="H22" s="255">
        <v>143545.76</v>
      </c>
      <c r="I22" s="255">
        <v>145317.84</v>
      </c>
      <c r="J22" s="255">
        <v>143476.56</v>
      </c>
      <c r="K22" s="255">
        <v>137034.63</v>
      </c>
      <c r="L22" s="255">
        <v>125957.39</v>
      </c>
      <c r="M22" s="255">
        <v>120198.58</v>
      </c>
      <c r="O22" s="256">
        <f t="shared" si="0"/>
        <v>1552754.5000000002</v>
      </c>
    </row>
    <row r="23" spans="1:15">
      <c r="A23" s="254" t="s">
        <v>444</v>
      </c>
      <c r="B23" s="255">
        <v>18624.09</v>
      </c>
      <c r="C23" s="255">
        <v>18683.5</v>
      </c>
      <c r="D23" s="255">
        <v>19082.75</v>
      </c>
      <c r="E23" s="255">
        <v>19296.5</v>
      </c>
      <c r="F23" s="255">
        <v>19841.75</v>
      </c>
      <c r="G23" s="255">
        <v>19819.5</v>
      </c>
      <c r="H23" s="255">
        <v>19670.5</v>
      </c>
      <c r="I23" s="255">
        <v>19455.5</v>
      </c>
      <c r="J23" s="255">
        <v>20102.25</v>
      </c>
      <c r="K23" s="255">
        <v>19480.25</v>
      </c>
      <c r="L23" s="255">
        <v>19428</v>
      </c>
      <c r="M23" s="255">
        <v>19357.5</v>
      </c>
      <c r="O23" s="256">
        <f t="shared" si="0"/>
        <v>232842.09</v>
      </c>
    </row>
    <row r="24" spans="1:15">
      <c r="A24" s="254" t="s">
        <v>445</v>
      </c>
      <c r="B24" s="255">
        <v>6871.42</v>
      </c>
      <c r="C24" s="255">
        <v>6168.49</v>
      </c>
      <c r="D24" s="255">
        <v>7460.58</v>
      </c>
      <c r="E24" s="255">
        <v>7386.66</v>
      </c>
      <c r="F24" s="255">
        <v>7952.71</v>
      </c>
      <c r="G24" s="255">
        <v>7822.54</v>
      </c>
      <c r="H24" s="255">
        <v>8618.24</v>
      </c>
      <c r="I24" s="255">
        <v>8071.55</v>
      </c>
      <c r="J24" s="255">
        <v>8657.08</v>
      </c>
      <c r="K24" s="255">
        <v>8310.7099999999991</v>
      </c>
      <c r="L24" s="255">
        <v>7829.74</v>
      </c>
      <c r="M24" s="255">
        <v>7113.82</v>
      </c>
      <c r="O24" s="256">
        <f t="shared" si="0"/>
        <v>92263.540000000008</v>
      </c>
    </row>
    <row r="25" spans="1:15">
      <c r="A25" s="254" t="s">
        <v>446</v>
      </c>
      <c r="B25" s="255">
        <v>10658.75</v>
      </c>
      <c r="C25" s="255">
        <v>9388.92</v>
      </c>
      <c r="D25" s="255">
        <v>12096.86</v>
      </c>
      <c r="E25" s="255">
        <v>12284.79</v>
      </c>
      <c r="F25" s="255">
        <v>11336.79</v>
      </c>
      <c r="G25" s="255">
        <v>12899.7</v>
      </c>
      <c r="H25" s="255">
        <v>12263.04</v>
      </c>
      <c r="I25" s="255">
        <v>11792.09</v>
      </c>
      <c r="J25" s="255">
        <v>12569.92</v>
      </c>
      <c r="K25" s="255">
        <v>12866.75</v>
      </c>
      <c r="L25" s="255">
        <v>11579.81</v>
      </c>
      <c r="M25" s="255">
        <v>11665.75</v>
      </c>
      <c r="O25" s="256">
        <f t="shared" si="0"/>
        <v>141403.16999999998</v>
      </c>
    </row>
    <row r="26" spans="1:15">
      <c r="A26" s="254" t="s">
        <v>447</v>
      </c>
      <c r="B26" s="255">
        <v>7428.95</v>
      </c>
      <c r="C26" s="255">
        <v>7978.9</v>
      </c>
      <c r="D26" s="255">
        <v>8849.1</v>
      </c>
      <c r="E26" s="255">
        <v>8638.77</v>
      </c>
      <c r="F26" s="255">
        <v>8663.1200000000008</v>
      </c>
      <c r="G26" s="255">
        <v>8462.7999999999993</v>
      </c>
      <c r="H26" s="255">
        <v>9110.1200000000008</v>
      </c>
      <c r="I26" s="255">
        <v>8779.99</v>
      </c>
      <c r="J26" s="255">
        <v>8834.83</v>
      </c>
      <c r="K26" s="255">
        <v>8663.4500000000007</v>
      </c>
      <c r="L26" s="255">
        <v>8550.93</v>
      </c>
      <c r="M26" s="255">
        <v>8803.98</v>
      </c>
      <c r="O26" s="256">
        <f t="shared" si="0"/>
        <v>102764.93999999999</v>
      </c>
    </row>
    <row r="27" spans="1:15">
      <c r="A27" s="254" t="s">
        <v>448</v>
      </c>
      <c r="B27" s="255">
        <v>16442.669999999998</v>
      </c>
      <c r="C27" s="255">
        <v>15967.29</v>
      </c>
      <c r="D27" s="255">
        <v>16608.25</v>
      </c>
      <c r="E27" s="255">
        <v>16966.03</v>
      </c>
      <c r="F27" s="255">
        <v>17081.54</v>
      </c>
      <c r="G27" s="255">
        <v>16769.52</v>
      </c>
      <c r="H27" s="255">
        <v>17036.650000000001</v>
      </c>
      <c r="I27" s="255">
        <v>17109.36</v>
      </c>
      <c r="J27" s="255">
        <v>18901.96</v>
      </c>
      <c r="K27" s="255">
        <v>17668.259999999998</v>
      </c>
      <c r="L27" s="255">
        <v>17663.48</v>
      </c>
      <c r="M27" s="255">
        <v>17219.32</v>
      </c>
      <c r="O27" s="256">
        <f t="shared" si="0"/>
        <v>205434.33000000002</v>
      </c>
    </row>
    <row r="28" spans="1:15">
      <c r="A28" s="254" t="s">
        <v>449</v>
      </c>
      <c r="B28" s="255">
        <v>21783.06</v>
      </c>
      <c r="C28" s="255">
        <v>21509.99</v>
      </c>
      <c r="D28" s="255">
        <v>22503.64</v>
      </c>
      <c r="E28" s="255">
        <v>22950.9</v>
      </c>
      <c r="F28" s="255">
        <v>22606.33</v>
      </c>
      <c r="G28" s="255">
        <v>18506.55</v>
      </c>
      <c r="H28" s="255">
        <v>23049.33</v>
      </c>
      <c r="I28" s="255">
        <v>22729.919999999998</v>
      </c>
      <c r="J28" s="255">
        <v>23257.16</v>
      </c>
      <c r="K28" s="255">
        <v>22906.71</v>
      </c>
      <c r="L28" s="255">
        <v>22388.83</v>
      </c>
      <c r="M28" s="255">
        <v>22460.06</v>
      </c>
      <c r="O28" s="256">
        <f t="shared" si="0"/>
        <v>266652.48</v>
      </c>
    </row>
    <row r="29" spans="1:15">
      <c r="A29" s="254" t="s">
        <v>450</v>
      </c>
      <c r="B29" s="255">
        <v>3955.45</v>
      </c>
      <c r="C29" s="255">
        <v>3921.15</v>
      </c>
      <c r="D29" s="255">
        <v>4161.54</v>
      </c>
      <c r="E29" s="255">
        <v>4559.01</v>
      </c>
      <c r="F29" s="255">
        <v>4587.6899999999996</v>
      </c>
      <c r="G29" s="255">
        <v>4622.3500000000004</v>
      </c>
      <c r="H29" s="255">
        <v>4627.66</v>
      </c>
      <c r="I29" s="255">
        <v>4854.7</v>
      </c>
      <c r="J29" s="255">
        <v>5492.24</v>
      </c>
      <c r="K29" s="255">
        <v>5009.32</v>
      </c>
      <c r="L29" s="255">
        <v>4665.59</v>
      </c>
      <c r="M29" s="255">
        <v>4666.17</v>
      </c>
      <c r="O29" s="256">
        <f t="shared" si="0"/>
        <v>55122.869999999995</v>
      </c>
    </row>
    <row r="30" spans="1:15">
      <c r="A30" s="254" t="s">
        <v>451</v>
      </c>
      <c r="B30" s="255">
        <v>3359.74</v>
      </c>
      <c r="C30" s="255">
        <v>3252.94</v>
      </c>
      <c r="D30" s="255">
        <v>3069.54</v>
      </c>
      <c r="E30" s="255">
        <v>4863.6499999999996</v>
      </c>
      <c r="F30" s="255">
        <v>6388.62</v>
      </c>
      <c r="G30" s="255">
        <v>7050.5</v>
      </c>
      <c r="H30" s="255">
        <v>6160.71</v>
      </c>
      <c r="I30" s="255">
        <v>5868.31</v>
      </c>
      <c r="J30" s="255">
        <v>5824.88</v>
      </c>
      <c r="K30" s="255">
        <v>5515.87</v>
      </c>
      <c r="L30" s="255">
        <v>5607.06</v>
      </c>
      <c r="M30" s="255">
        <v>3464.59</v>
      </c>
      <c r="O30" s="256">
        <f t="shared" si="0"/>
        <v>60426.41</v>
      </c>
    </row>
    <row r="31" spans="1:15">
      <c r="A31" s="254" t="s">
        <v>452</v>
      </c>
      <c r="B31" s="255">
        <v>420.9</v>
      </c>
      <c r="C31" s="255">
        <v>511.2</v>
      </c>
      <c r="D31" s="255">
        <v>511.2</v>
      </c>
      <c r="E31" s="255">
        <v>631.20000000000005</v>
      </c>
      <c r="F31" s="255">
        <v>511.2</v>
      </c>
      <c r="G31" s="255">
        <v>711.2</v>
      </c>
      <c r="H31" s="255">
        <v>559.95000000000005</v>
      </c>
      <c r="I31" s="255">
        <v>496.2</v>
      </c>
      <c r="J31" s="255">
        <v>801.2</v>
      </c>
      <c r="K31" s="255">
        <v>651.20000000000005</v>
      </c>
      <c r="L31" s="255">
        <v>531.20000000000005</v>
      </c>
      <c r="M31" s="255">
        <v>471.2</v>
      </c>
      <c r="O31" s="256">
        <f t="shared" si="0"/>
        <v>6807.8499999999985</v>
      </c>
    </row>
    <row r="32" spans="1:15">
      <c r="A32" s="254" t="s">
        <v>453</v>
      </c>
      <c r="B32" s="255">
        <v>891.39</v>
      </c>
      <c r="C32" s="255">
        <v>952.93</v>
      </c>
      <c r="D32" s="255">
        <v>1063.69</v>
      </c>
      <c r="E32" s="255">
        <v>1059.3</v>
      </c>
      <c r="F32" s="255">
        <v>897.63</v>
      </c>
      <c r="G32" s="255">
        <v>959.69</v>
      </c>
      <c r="H32" s="255">
        <v>1022.22</v>
      </c>
      <c r="I32" s="255">
        <v>1030.1199999999999</v>
      </c>
      <c r="J32" s="255">
        <v>1288.07</v>
      </c>
      <c r="K32" s="255">
        <v>1251.8599999999999</v>
      </c>
      <c r="L32" s="255">
        <v>1085.4100000000001</v>
      </c>
      <c r="M32" s="255">
        <v>974.59</v>
      </c>
      <c r="O32" s="256">
        <f t="shared" si="0"/>
        <v>12476.900000000001</v>
      </c>
    </row>
    <row r="33" spans="1:15">
      <c r="A33" s="254" t="s">
        <v>454</v>
      </c>
      <c r="B33" s="255">
        <v>4016.87</v>
      </c>
      <c r="C33" s="255">
        <v>3958.29</v>
      </c>
      <c r="D33" s="255">
        <v>5712.55</v>
      </c>
      <c r="E33" s="255">
        <v>6100.39</v>
      </c>
      <c r="F33" s="255">
        <v>6010.1</v>
      </c>
      <c r="G33" s="255">
        <v>6382.02</v>
      </c>
      <c r="H33" s="255">
        <v>6709.49</v>
      </c>
      <c r="I33" s="255">
        <v>6732.75</v>
      </c>
      <c r="J33" s="255">
        <v>6667.87</v>
      </c>
      <c r="K33" s="255">
        <v>6536.84</v>
      </c>
      <c r="L33" s="255">
        <v>6034.63</v>
      </c>
      <c r="M33" s="255">
        <v>5842.62</v>
      </c>
      <c r="O33" s="256">
        <f t="shared" si="0"/>
        <v>70704.42</v>
      </c>
    </row>
    <row r="34" spans="1:15">
      <c r="A34" s="254" t="s">
        <v>455</v>
      </c>
      <c r="B34" s="255">
        <v>22085.87</v>
      </c>
      <c r="C34" s="255">
        <v>22296.33</v>
      </c>
      <c r="D34" s="255">
        <v>22553.94</v>
      </c>
      <c r="E34" s="255">
        <v>22871.77</v>
      </c>
      <c r="F34" s="255">
        <v>23472.78</v>
      </c>
      <c r="G34" s="255">
        <v>23739.040000000001</v>
      </c>
      <c r="H34" s="255">
        <v>24313.32</v>
      </c>
      <c r="I34" s="255">
        <v>25134.560000000001</v>
      </c>
      <c r="J34" s="255">
        <v>29320.83</v>
      </c>
      <c r="K34" s="255">
        <v>25135.07</v>
      </c>
      <c r="L34" s="255">
        <v>24224.71</v>
      </c>
      <c r="M34" s="255">
        <v>22947.41</v>
      </c>
      <c r="O34" s="256">
        <f t="shared" si="0"/>
        <v>288095.63</v>
      </c>
    </row>
    <row r="35" spans="1:15">
      <c r="A35" s="254" t="s">
        <v>456</v>
      </c>
      <c r="B35" s="255">
        <v>2137.09</v>
      </c>
      <c r="C35" s="255">
        <v>1783.03</v>
      </c>
      <c r="D35" s="255">
        <v>1791.75</v>
      </c>
      <c r="E35" s="255">
        <v>1898.55</v>
      </c>
      <c r="F35" s="255">
        <v>1881.06</v>
      </c>
      <c r="G35" s="255">
        <v>1934</v>
      </c>
      <c r="H35" s="255">
        <v>1969.29</v>
      </c>
      <c r="I35" s="255">
        <v>1960.57</v>
      </c>
      <c r="J35" s="255">
        <v>1904.99</v>
      </c>
      <c r="K35" s="255">
        <v>1940.91</v>
      </c>
      <c r="L35" s="255">
        <v>1904.99</v>
      </c>
      <c r="M35" s="255">
        <v>2005.96</v>
      </c>
      <c r="O35" s="256">
        <f t="shared" si="0"/>
        <v>23112.190000000002</v>
      </c>
    </row>
    <row r="36" spans="1:15">
      <c r="A36" s="254" t="s">
        <v>457</v>
      </c>
      <c r="B36" s="255">
        <v>2834.44</v>
      </c>
      <c r="C36" s="255">
        <v>2689.95</v>
      </c>
      <c r="D36" s="255">
        <v>2823.41</v>
      </c>
      <c r="E36" s="255">
        <v>2997.34</v>
      </c>
      <c r="F36" s="255">
        <v>2884.37</v>
      </c>
      <c r="G36" s="255">
        <v>2729.53</v>
      </c>
      <c r="H36" s="255">
        <v>2935.58</v>
      </c>
      <c r="I36" s="255">
        <v>2942.68</v>
      </c>
      <c r="J36" s="255">
        <v>2826.56</v>
      </c>
      <c r="K36" s="255">
        <v>2834.44</v>
      </c>
      <c r="L36" s="255">
        <v>2826.56</v>
      </c>
      <c r="M36" s="255">
        <v>2810.8</v>
      </c>
      <c r="O36" s="256">
        <f t="shared" si="0"/>
        <v>34135.659999999996</v>
      </c>
    </row>
    <row r="37" spans="1:15">
      <c r="A37" s="254" t="s">
        <v>458</v>
      </c>
      <c r="B37" s="255">
        <v>0</v>
      </c>
      <c r="C37" s="255">
        <v>0</v>
      </c>
      <c r="D37" s="255">
        <v>0</v>
      </c>
      <c r="E37" s="255">
        <v>0</v>
      </c>
      <c r="F37" s="255">
        <v>0</v>
      </c>
      <c r="G37" s="255">
        <v>15.31</v>
      </c>
      <c r="H37" s="255">
        <v>0</v>
      </c>
      <c r="I37" s="255">
        <v>0</v>
      </c>
      <c r="J37" s="255">
        <v>0</v>
      </c>
      <c r="K37" s="255">
        <v>104.5</v>
      </c>
      <c r="L37" s="255">
        <v>816.4</v>
      </c>
      <c r="M37" s="255">
        <v>612.29999999999995</v>
      </c>
      <c r="O37" s="256">
        <f t="shared" si="0"/>
        <v>1548.51</v>
      </c>
    </row>
    <row r="38" spans="1:15">
      <c r="A38" s="254" t="s">
        <v>459</v>
      </c>
      <c r="B38" s="255">
        <v>472.5</v>
      </c>
      <c r="C38" s="255">
        <v>436.25</v>
      </c>
      <c r="D38" s="255">
        <v>504.96</v>
      </c>
      <c r="E38" s="255">
        <v>504.96</v>
      </c>
      <c r="F38" s="255">
        <v>581.72</v>
      </c>
      <c r="G38" s="255">
        <v>569.66999999999996</v>
      </c>
      <c r="H38" s="255">
        <v>569.66999999999996</v>
      </c>
      <c r="I38" s="255">
        <v>635.83000000000004</v>
      </c>
      <c r="J38" s="255">
        <v>609.36</v>
      </c>
      <c r="K38" s="255">
        <v>675.53</v>
      </c>
      <c r="L38" s="255">
        <v>660.24</v>
      </c>
      <c r="M38" s="255">
        <v>569.66999999999996</v>
      </c>
      <c r="O38" s="256">
        <f t="shared" si="0"/>
        <v>6790.36</v>
      </c>
    </row>
    <row r="39" spans="1:15">
      <c r="A39" s="254" t="s">
        <v>460</v>
      </c>
      <c r="B39" s="255">
        <v>0</v>
      </c>
      <c r="C39" s="255">
        <v>0</v>
      </c>
      <c r="D39" s="255">
        <v>438</v>
      </c>
      <c r="E39" s="255">
        <v>0</v>
      </c>
      <c r="F39" s="255">
        <v>0</v>
      </c>
      <c r="G39" s="255">
        <v>0</v>
      </c>
      <c r="H39" s="255">
        <v>0</v>
      </c>
      <c r="I39" s="255">
        <v>0</v>
      </c>
      <c r="J39" s="255">
        <v>0</v>
      </c>
      <c r="K39" s="255">
        <v>0</v>
      </c>
      <c r="L39" s="255">
        <v>0</v>
      </c>
      <c r="M39" s="255">
        <v>0</v>
      </c>
      <c r="O39" s="256">
        <f t="shared" si="0"/>
        <v>438</v>
      </c>
    </row>
    <row r="40" spans="1:15">
      <c r="A40" s="254" t="s">
        <v>461</v>
      </c>
      <c r="B40" s="255">
        <v>47094.7</v>
      </c>
      <c r="C40" s="255">
        <v>37720.11</v>
      </c>
      <c r="D40" s="255">
        <v>52728.74</v>
      </c>
      <c r="E40" s="255">
        <v>49719.58</v>
      </c>
      <c r="F40" s="255">
        <v>44168.65</v>
      </c>
      <c r="G40" s="255">
        <v>39996.559999999998</v>
      </c>
      <c r="H40" s="255">
        <v>48027.41</v>
      </c>
      <c r="I40" s="255">
        <v>51380.9</v>
      </c>
      <c r="J40" s="255">
        <v>50697.05</v>
      </c>
      <c r="K40" s="255">
        <v>55762.33</v>
      </c>
      <c r="L40" s="255">
        <v>68849.67</v>
      </c>
      <c r="M40" s="255">
        <v>72594.25</v>
      </c>
      <c r="O40" s="256">
        <f t="shared" si="0"/>
        <v>618739.95000000007</v>
      </c>
    </row>
    <row r="41" spans="1:15">
      <c r="A41" s="254" t="s">
        <v>462</v>
      </c>
      <c r="B41" s="255">
        <v>9895</v>
      </c>
      <c r="C41" s="255">
        <v>10060</v>
      </c>
      <c r="D41" s="255">
        <v>10360</v>
      </c>
      <c r="E41" s="255">
        <v>12240</v>
      </c>
      <c r="F41" s="255">
        <v>13005</v>
      </c>
      <c r="G41" s="255">
        <v>11510</v>
      </c>
      <c r="H41" s="255">
        <v>12310</v>
      </c>
      <c r="I41" s="255">
        <v>18915</v>
      </c>
      <c r="J41" s="255">
        <v>12025</v>
      </c>
      <c r="K41" s="255">
        <v>13230</v>
      </c>
      <c r="L41" s="255">
        <v>10640</v>
      </c>
      <c r="M41" s="255">
        <v>11940</v>
      </c>
      <c r="O41" s="256">
        <f t="shared" si="0"/>
        <v>146130</v>
      </c>
    </row>
    <row r="42" spans="1:15">
      <c r="A42" s="254" t="s">
        <v>463</v>
      </c>
      <c r="B42" s="255">
        <v>0</v>
      </c>
      <c r="C42" s="255">
        <v>0</v>
      </c>
      <c r="D42" s="255">
        <v>51.05</v>
      </c>
      <c r="E42" s="255">
        <v>743.3</v>
      </c>
      <c r="F42" s="255">
        <v>0</v>
      </c>
      <c r="G42" s="255">
        <v>0</v>
      </c>
      <c r="H42" s="255">
        <v>0</v>
      </c>
      <c r="I42" s="255">
        <v>124.56</v>
      </c>
      <c r="J42" s="255">
        <v>1557.26</v>
      </c>
      <c r="K42" s="255">
        <v>1055.72</v>
      </c>
      <c r="L42" s="255">
        <v>285.89</v>
      </c>
      <c r="M42" s="255">
        <v>0</v>
      </c>
      <c r="O42" s="256">
        <f t="shared" si="0"/>
        <v>3817.78</v>
      </c>
    </row>
    <row r="43" spans="1:15">
      <c r="A43" s="254" t="s">
        <v>464</v>
      </c>
      <c r="B43" s="255">
        <v>721.17</v>
      </c>
      <c r="C43" s="255">
        <v>-358.52</v>
      </c>
      <c r="D43" s="255">
        <v>1730.05</v>
      </c>
      <c r="E43" s="255">
        <v>1762.76</v>
      </c>
      <c r="F43" s="255">
        <v>1038.83</v>
      </c>
      <c r="G43" s="255">
        <v>1674.63</v>
      </c>
      <c r="H43" s="255">
        <v>2617.66</v>
      </c>
      <c r="I43" s="255">
        <v>1764.12</v>
      </c>
      <c r="J43" s="255">
        <v>1173</v>
      </c>
      <c r="K43" s="255">
        <v>871.35</v>
      </c>
      <c r="L43" s="255">
        <v>2928.34</v>
      </c>
      <c r="M43" s="255">
        <v>958.39</v>
      </c>
      <c r="O43" s="256">
        <f t="shared" si="0"/>
        <v>16881.780000000002</v>
      </c>
    </row>
    <row r="44" spans="1:15">
      <c r="A44" s="254" t="s">
        <v>465</v>
      </c>
      <c r="B44" s="255">
        <v>9724.0400000000009</v>
      </c>
      <c r="C44" s="255">
        <v>13471.06</v>
      </c>
      <c r="D44" s="255">
        <v>15408.12</v>
      </c>
      <c r="E44" s="255">
        <v>11540.44</v>
      </c>
      <c r="F44" s="255">
        <v>9991</v>
      </c>
      <c r="G44" s="255">
        <v>11272.05</v>
      </c>
      <c r="H44" s="255">
        <v>15204.97</v>
      </c>
      <c r="I44" s="255">
        <v>13316.07</v>
      </c>
      <c r="J44" s="255">
        <v>12733.71</v>
      </c>
      <c r="K44" s="255">
        <v>9771.51</v>
      </c>
      <c r="L44" s="255">
        <v>11341.23</v>
      </c>
      <c r="M44" s="255">
        <v>12551.99</v>
      </c>
      <c r="O44" s="256">
        <f t="shared" si="0"/>
        <v>146326.18999999997</v>
      </c>
    </row>
    <row r="45" spans="1:15">
      <c r="A45" s="254" t="s">
        <v>466</v>
      </c>
      <c r="B45" s="255">
        <v>3225.87</v>
      </c>
      <c r="C45" s="255">
        <v>3913.21</v>
      </c>
      <c r="D45" s="255">
        <v>4134.82</v>
      </c>
      <c r="E45" s="255">
        <v>3440.2</v>
      </c>
      <c r="F45" s="255">
        <v>4319.8100000000004</v>
      </c>
      <c r="G45" s="255">
        <v>5306.01</v>
      </c>
      <c r="H45" s="255">
        <v>4351.29</v>
      </c>
      <c r="I45" s="255">
        <v>4143.99</v>
      </c>
      <c r="J45" s="255">
        <v>4373.75</v>
      </c>
      <c r="K45" s="255">
        <v>5257.21</v>
      </c>
      <c r="L45" s="255">
        <v>4156.84</v>
      </c>
      <c r="M45" s="255">
        <v>4255.5</v>
      </c>
      <c r="O45" s="256">
        <f t="shared" si="0"/>
        <v>50878.5</v>
      </c>
    </row>
    <row r="46" spans="1:15">
      <c r="A46" s="254" t="s">
        <v>467</v>
      </c>
      <c r="B46" s="255">
        <v>22113.47</v>
      </c>
      <c r="C46" s="255">
        <v>22505.7</v>
      </c>
      <c r="D46" s="255">
        <v>28247.16</v>
      </c>
      <c r="E46" s="255">
        <v>24150.37</v>
      </c>
      <c r="F46" s="255">
        <v>24933.32</v>
      </c>
      <c r="G46" s="255">
        <v>24871.02</v>
      </c>
      <c r="H46" s="255">
        <v>26270.36</v>
      </c>
      <c r="I46" s="255">
        <v>22800.07</v>
      </c>
      <c r="J46" s="255">
        <v>19127.86</v>
      </c>
      <c r="K46" s="255">
        <v>22789.58</v>
      </c>
      <c r="L46" s="255">
        <v>14890.99</v>
      </c>
      <c r="M46" s="255">
        <v>18674.04</v>
      </c>
      <c r="O46" s="256">
        <f t="shared" si="0"/>
        <v>271373.93999999994</v>
      </c>
    </row>
    <row r="47" spans="1:15">
      <c r="A47" s="254" t="s">
        <v>468</v>
      </c>
      <c r="B47" s="255">
        <v>460.2</v>
      </c>
      <c r="C47" s="255">
        <v>160.85</v>
      </c>
      <c r="D47" s="255">
        <v>460.2</v>
      </c>
      <c r="E47" s="255">
        <v>2035.2</v>
      </c>
      <c r="F47" s="255">
        <v>460.2</v>
      </c>
      <c r="G47" s="255">
        <v>160.85</v>
      </c>
      <c r="H47" s="255">
        <v>460.22</v>
      </c>
      <c r="I47" s="255">
        <v>1358.25</v>
      </c>
      <c r="J47" s="255">
        <v>1110.5999999999999</v>
      </c>
      <c r="K47" s="255">
        <v>460.2</v>
      </c>
      <c r="L47" s="255">
        <v>160.85</v>
      </c>
      <c r="M47" s="255">
        <v>160.85</v>
      </c>
      <c r="O47" s="256">
        <f t="shared" si="0"/>
        <v>7448.47</v>
      </c>
    </row>
    <row r="48" spans="1:15">
      <c r="A48" s="254" t="s">
        <v>469</v>
      </c>
      <c r="B48" s="255">
        <v>1564.88</v>
      </c>
      <c r="C48" s="255">
        <v>208.56</v>
      </c>
      <c r="D48" s="255">
        <v>890.5</v>
      </c>
      <c r="E48" s="255">
        <v>2769.24</v>
      </c>
      <c r="F48" s="255">
        <v>1720.8</v>
      </c>
      <c r="G48" s="255">
        <v>2237.34</v>
      </c>
      <c r="H48" s="255">
        <v>1069.6199999999999</v>
      </c>
      <c r="I48" s="255">
        <v>3414.12</v>
      </c>
      <c r="J48" s="255">
        <v>1343.69</v>
      </c>
      <c r="K48" s="255">
        <v>638.58000000000004</v>
      </c>
      <c r="L48" s="255">
        <v>194.94</v>
      </c>
      <c r="M48" s="255">
        <v>91.54</v>
      </c>
      <c r="O48" s="256">
        <f t="shared" si="0"/>
        <v>16143.81</v>
      </c>
    </row>
    <row r="49" spans="1:17">
      <c r="A49" s="254" t="s">
        <v>470</v>
      </c>
      <c r="B49" s="255">
        <v>0</v>
      </c>
      <c r="C49" s="255">
        <v>0</v>
      </c>
      <c r="D49" s="255">
        <v>0</v>
      </c>
      <c r="E49" s="255">
        <v>0</v>
      </c>
      <c r="F49" s="255">
        <v>0</v>
      </c>
      <c r="G49" s="255">
        <v>0</v>
      </c>
      <c r="H49" s="255">
        <v>0</v>
      </c>
      <c r="I49" s="255">
        <v>0</v>
      </c>
      <c r="J49" s="255">
        <v>0</v>
      </c>
      <c r="K49" s="255">
        <v>0</v>
      </c>
      <c r="L49" s="255">
        <v>0</v>
      </c>
      <c r="M49" s="255">
        <v>927.93</v>
      </c>
      <c r="O49" s="256">
        <f t="shared" si="0"/>
        <v>927.93</v>
      </c>
    </row>
    <row r="50" spans="1:17">
      <c r="A50" s="254" t="s">
        <v>471</v>
      </c>
      <c r="B50" s="255">
        <v>229.45</v>
      </c>
      <c r="C50" s="255">
        <v>166.87</v>
      </c>
      <c r="D50" s="255">
        <v>0</v>
      </c>
      <c r="E50" s="255">
        <v>166.87</v>
      </c>
      <c r="F50" s="255">
        <v>823.95</v>
      </c>
      <c r="G50" s="255">
        <v>366.1</v>
      </c>
      <c r="H50" s="255">
        <v>0</v>
      </c>
      <c r="I50" s="255">
        <v>89.28</v>
      </c>
      <c r="J50" s="255">
        <v>166.87</v>
      </c>
      <c r="K50" s="255">
        <v>229.45</v>
      </c>
      <c r="L50" s="255">
        <v>895.91</v>
      </c>
      <c r="M50" s="255">
        <v>166.87</v>
      </c>
      <c r="O50" s="256">
        <f t="shared" si="0"/>
        <v>3301.62</v>
      </c>
    </row>
    <row r="51" spans="1:17">
      <c r="A51" s="254" t="s">
        <v>472</v>
      </c>
      <c r="B51" s="255">
        <v>1250.54</v>
      </c>
      <c r="C51" s="255">
        <v>1421.01</v>
      </c>
      <c r="D51" s="255">
        <v>1570.66</v>
      </c>
      <c r="E51" s="255">
        <v>1437.42</v>
      </c>
      <c r="F51" s="255">
        <v>1275.9100000000001</v>
      </c>
      <c r="G51" s="255">
        <v>1275.9100000000001</v>
      </c>
      <c r="H51" s="255">
        <v>1275.9100000000001</v>
      </c>
      <c r="I51" s="255">
        <v>1501.32</v>
      </c>
      <c r="J51" s="255">
        <v>1101.92</v>
      </c>
      <c r="K51" s="255">
        <v>1623.89</v>
      </c>
      <c r="L51" s="255">
        <v>927.93</v>
      </c>
      <c r="M51" s="255">
        <v>0</v>
      </c>
      <c r="O51" s="256">
        <f t="shared" si="0"/>
        <v>14662.42</v>
      </c>
    </row>
    <row r="52" spans="1:17">
      <c r="A52" s="254" t="s">
        <v>473</v>
      </c>
      <c r="B52" s="255">
        <v>8448.01</v>
      </c>
      <c r="C52" s="255">
        <v>6245.83</v>
      </c>
      <c r="D52" s="255">
        <v>7586.54</v>
      </c>
      <c r="E52" s="255">
        <v>8158.57</v>
      </c>
      <c r="F52" s="255">
        <v>6532.8</v>
      </c>
      <c r="G52" s="255">
        <v>9827.1</v>
      </c>
      <c r="H52" s="255">
        <v>7317.87</v>
      </c>
      <c r="I52" s="255">
        <v>9911.8799999999992</v>
      </c>
      <c r="J52" s="255">
        <v>9943.51</v>
      </c>
      <c r="K52" s="255">
        <v>12346.73</v>
      </c>
      <c r="L52" s="255">
        <v>8351.6299999999992</v>
      </c>
      <c r="M52" s="255">
        <v>11460.27</v>
      </c>
      <c r="O52" s="256">
        <f t="shared" si="0"/>
        <v>106130.74</v>
      </c>
    </row>
    <row r="53" spans="1:17">
      <c r="A53" s="254" t="s">
        <v>474</v>
      </c>
      <c r="B53" s="255">
        <v>4296.8900000000003</v>
      </c>
      <c r="C53" s="255">
        <v>980.28</v>
      </c>
      <c r="D53" s="255">
        <v>1415.96</v>
      </c>
      <c r="E53" s="255">
        <v>816.9</v>
      </c>
      <c r="F53" s="255">
        <v>782.44</v>
      </c>
      <c r="G53" s="255">
        <v>816.9</v>
      </c>
      <c r="H53" s="255">
        <v>816.9</v>
      </c>
      <c r="I53" s="255">
        <v>1143.6600000000001</v>
      </c>
      <c r="J53" s="255">
        <v>841.39</v>
      </c>
      <c r="K53" s="255">
        <v>1626.69</v>
      </c>
      <c r="L53" s="255">
        <v>785.3</v>
      </c>
      <c r="M53" s="255">
        <v>617.02</v>
      </c>
      <c r="O53" s="256">
        <f t="shared" si="0"/>
        <v>14940.329999999998</v>
      </c>
    </row>
    <row r="54" spans="1:17">
      <c r="A54" s="254" t="s">
        <v>475</v>
      </c>
      <c r="B54" s="255">
        <v>223.29</v>
      </c>
      <c r="C54" s="255">
        <v>107.71</v>
      </c>
      <c r="D54" s="255">
        <v>137.44</v>
      </c>
      <c r="E54" s="255">
        <v>189.99</v>
      </c>
      <c r="F54" s="255">
        <v>942.84</v>
      </c>
      <c r="G54" s="255">
        <v>0</v>
      </c>
      <c r="H54" s="255">
        <v>0</v>
      </c>
      <c r="I54" s="255">
        <v>0</v>
      </c>
      <c r="J54" s="255">
        <v>0</v>
      </c>
      <c r="K54" s="255">
        <v>170.75</v>
      </c>
      <c r="L54" s="255">
        <v>176.84</v>
      </c>
      <c r="M54" s="255">
        <v>0</v>
      </c>
      <c r="O54" s="256">
        <f t="shared" si="0"/>
        <v>1948.86</v>
      </c>
    </row>
    <row r="55" spans="1:17">
      <c r="A55" s="254" t="s">
        <v>476</v>
      </c>
      <c r="B55" s="255">
        <v>0</v>
      </c>
      <c r="C55" s="255">
        <v>0</v>
      </c>
      <c r="D55" s="255">
        <v>166.87</v>
      </c>
      <c r="E55" s="255">
        <v>0</v>
      </c>
      <c r="F55" s="255">
        <v>338.15</v>
      </c>
      <c r="G55" s="255">
        <v>181.6</v>
      </c>
      <c r="H55" s="255">
        <v>0</v>
      </c>
      <c r="I55" s="255">
        <v>0</v>
      </c>
      <c r="J55" s="255">
        <v>0</v>
      </c>
      <c r="K55" s="255">
        <v>0</v>
      </c>
      <c r="L55" s="255">
        <v>746.4</v>
      </c>
      <c r="M55" s="255">
        <v>0</v>
      </c>
      <c r="O55" s="256">
        <f t="shared" si="0"/>
        <v>1433.02</v>
      </c>
    </row>
    <row r="56" spans="1:17">
      <c r="A56" s="254" t="s">
        <v>477</v>
      </c>
      <c r="B56" s="255">
        <v>0</v>
      </c>
      <c r="C56" s="255">
        <v>0</v>
      </c>
      <c r="D56" s="255">
        <v>570.96</v>
      </c>
      <c r="E56" s="255">
        <v>0</v>
      </c>
      <c r="F56" s="255">
        <v>0</v>
      </c>
      <c r="G56" s="255">
        <v>0</v>
      </c>
      <c r="H56" s="255">
        <v>0</v>
      </c>
      <c r="I56" s="255">
        <v>0</v>
      </c>
      <c r="J56" s="255">
        <v>0</v>
      </c>
      <c r="K56" s="255">
        <v>0</v>
      </c>
      <c r="L56" s="255">
        <v>0</v>
      </c>
      <c r="M56" s="255">
        <v>0</v>
      </c>
      <c r="O56" s="256">
        <f t="shared" si="0"/>
        <v>570.96</v>
      </c>
    </row>
    <row r="57" spans="1:17">
      <c r="A57" s="254" t="s">
        <v>478</v>
      </c>
      <c r="B57" s="255">
        <v>24140.35</v>
      </c>
      <c r="C57" s="255">
        <v>17386.64</v>
      </c>
      <c r="D57" s="255">
        <v>51756.42</v>
      </c>
      <c r="E57" s="255">
        <v>37623.129999999997</v>
      </c>
      <c r="F57" s="255">
        <v>30020.63</v>
      </c>
      <c r="G57" s="255">
        <v>33976.85</v>
      </c>
      <c r="H57" s="255">
        <v>35313.599999999999</v>
      </c>
      <c r="I57" s="255">
        <v>34009.68</v>
      </c>
      <c r="J57" s="255">
        <v>40917.33</v>
      </c>
      <c r="K57" s="255">
        <v>48124.75</v>
      </c>
      <c r="L57" s="255">
        <v>59117.42</v>
      </c>
      <c r="M57" s="255">
        <v>45564.72</v>
      </c>
      <c r="O57" s="256">
        <f t="shared" si="0"/>
        <v>457951.52</v>
      </c>
      <c r="Q57" s="732"/>
    </row>
    <row r="58" spans="1:17">
      <c r="A58" s="254" t="s">
        <v>479</v>
      </c>
      <c r="B58" s="255">
        <v>0</v>
      </c>
      <c r="C58" s="255">
        <v>0</v>
      </c>
      <c r="D58" s="255">
        <v>0</v>
      </c>
      <c r="E58" s="255">
        <v>1181.5</v>
      </c>
      <c r="F58" s="255">
        <v>0</v>
      </c>
      <c r="G58" s="255">
        <v>0</v>
      </c>
      <c r="H58" s="255">
        <v>0</v>
      </c>
      <c r="I58" s="255">
        <v>0</v>
      </c>
      <c r="J58" s="255">
        <v>96.66</v>
      </c>
      <c r="K58" s="255">
        <v>306.19</v>
      </c>
      <c r="L58" s="255">
        <v>74.290000000000006</v>
      </c>
      <c r="M58" s="255">
        <v>0</v>
      </c>
      <c r="O58" s="256">
        <f t="shared" si="0"/>
        <v>1658.64</v>
      </c>
    </row>
    <row r="59" spans="1:17">
      <c r="A59" s="254" t="s">
        <v>480</v>
      </c>
      <c r="B59" s="255">
        <v>83.56</v>
      </c>
      <c r="C59" s="255">
        <v>111.6</v>
      </c>
      <c r="D59" s="255">
        <v>996.21</v>
      </c>
      <c r="E59" s="255">
        <v>897.16</v>
      </c>
      <c r="F59" s="255">
        <v>550.48</v>
      </c>
      <c r="G59" s="255">
        <v>573.82000000000005</v>
      </c>
      <c r="H59" s="255">
        <v>2087.66</v>
      </c>
      <c r="I59" s="255">
        <v>1120.97</v>
      </c>
      <c r="J59" s="255">
        <v>596.20000000000005</v>
      </c>
      <c r="K59" s="255">
        <v>423.34</v>
      </c>
      <c r="L59" s="255">
        <v>2049.09</v>
      </c>
      <c r="M59" s="255">
        <v>502.39</v>
      </c>
      <c r="O59" s="256">
        <f t="shared" si="0"/>
        <v>9992.48</v>
      </c>
    </row>
    <row r="60" spans="1:17">
      <c r="A60" s="254" t="s">
        <v>481</v>
      </c>
      <c r="B60" s="255">
        <v>3031.41</v>
      </c>
      <c r="C60" s="255">
        <v>5191.3900000000003</v>
      </c>
      <c r="D60" s="255">
        <v>10761.06</v>
      </c>
      <c r="E60" s="255">
        <v>6316.81</v>
      </c>
      <c r="F60" s="255">
        <v>6380.16</v>
      </c>
      <c r="G60" s="255">
        <v>7002.49</v>
      </c>
      <c r="H60" s="255">
        <v>9978.2999999999993</v>
      </c>
      <c r="I60" s="255">
        <v>6879.66</v>
      </c>
      <c r="J60" s="255">
        <v>7297.3</v>
      </c>
      <c r="K60" s="255">
        <v>4759.62</v>
      </c>
      <c r="L60" s="255">
        <v>6707.3</v>
      </c>
      <c r="M60" s="255">
        <v>6174.89</v>
      </c>
      <c r="O60" s="256">
        <f t="shared" si="0"/>
        <v>80480.39</v>
      </c>
    </row>
    <row r="61" spans="1:17">
      <c r="A61" s="254" t="s">
        <v>482</v>
      </c>
      <c r="B61" s="255">
        <v>35017.879999999997</v>
      </c>
      <c r="C61" s="255">
        <v>33195.21</v>
      </c>
      <c r="D61" s="255">
        <v>68218.44</v>
      </c>
      <c r="E61" s="255">
        <v>103822.37</v>
      </c>
      <c r="F61" s="255">
        <v>89225.48</v>
      </c>
      <c r="G61" s="255">
        <v>92104.1</v>
      </c>
      <c r="H61" s="255">
        <v>77838.149999999994</v>
      </c>
      <c r="I61" s="255">
        <v>101894.23</v>
      </c>
      <c r="J61" s="255">
        <v>85668.160000000003</v>
      </c>
      <c r="K61" s="255">
        <v>80210.039999999994</v>
      </c>
      <c r="L61" s="255">
        <v>87308.99</v>
      </c>
      <c r="M61" s="255">
        <v>56930.59</v>
      </c>
      <c r="O61" s="256">
        <f t="shared" si="0"/>
        <v>911433.64</v>
      </c>
    </row>
    <row r="62" spans="1:17">
      <c r="A62" s="254" t="s">
        <v>483</v>
      </c>
      <c r="B62" s="255">
        <v>128</v>
      </c>
      <c r="C62" s="255">
        <v>0</v>
      </c>
      <c r="D62" s="255">
        <v>155.19999999999999</v>
      </c>
      <c r="E62" s="255">
        <v>1920.24</v>
      </c>
      <c r="F62" s="255">
        <v>113.6</v>
      </c>
      <c r="G62" s="255">
        <v>0</v>
      </c>
      <c r="H62" s="255">
        <v>105.6</v>
      </c>
      <c r="I62" s="255">
        <v>356.8</v>
      </c>
      <c r="J62" s="255">
        <v>323.2</v>
      </c>
      <c r="K62" s="255">
        <v>109.6</v>
      </c>
      <c r="L62" s="255">
        <v>0</v>
      </c>
      <c r="M62" s="255">
        <v>0</v>
      </c>
      <c r="O62" s="256">
        <f t="shared" si="0"/>
        <v>3212.24</v>
      </c>
    </row>
    <row r="63" spans="1:17">
      <c r="A63" s="254" t="s">
        <v>484</v>
      </c>
      <c r="B63" s="255">
        <v>5206.84</v>
      </c>
      <c r="C63" s="255">
        <v>367.98</v>
      </c>
      <c r="D63" s="255">
        <v>992.3</v>
      </c>
      <c r="E63" s="255">
        <v>4001.21</v>
      </c>
      <c r="F63" s="255">
        <v>3522.19</v>
      </c>
      <c r="G63" s="255">
        <v>3981.32</v>
      </c>
      <c r="H63" s="255">
        <v>1496.93</v>
      </c>
      <c r="I63" s="255">
        <v>7198.52</v>
      </c>
      <c r="J63" s="255">
        <v>2478.4699999999998</v>
      </c>
      <c r="K63" s="255">
        <v>908.87</v>
      </c>
      <c r="L63" s="255">
        <v>761.9</v>
      </c>
      <c r="M63" s="255">
        <v>475.95</v>
      </c>
      <c r="O63" s="256">
        <f t="shared" si="0"/>
        <v>31392.480000000003</v>
      </c>
    </row>
    <row r="64" spans="1:17">
      <c r="A64" s="254" t="s">
        <v>485</v>
      </c>
      <c r="B64" s="255">
        <v>136.52000000000001</v>
      </c>
      <c r="C64" s="255">
        <v>167.29</v>
      </c>
      <c r="D64" s="255">
        <v>173.24</v>
      </c>
      <c r="E64" s="255">
        <v>143.9</v>
      </c>
      <c r="F64" s="255">
        <v>150.26</v>
      </c>
      <c r="G64" s="255">
        <v>189.59</v>
      </c>
      <c r="H64" s="255">
        <v>187.9</v>
      </c>
      <c r="I64" s="255">
        <v>221.42</v>
      </c>
      <c r="J64" s="255">
        <v>138.26</v>
      </c>
      <c r="K64" s="255">
        <v>187.43</v>
      </c>
      <c r="L64" s="255">
        <v>148.61000000000001</v>
      </c>
      <c r="M64" s="255">
        <v>225.99</v>
      </c>
      <c r="O64" s="256">
        <f t="shared" si="0"/>
        <v>2070.41</v>
      </c>
    </row>
    <row r="65" spans="1:16">
      <c r="A65" s="254" t="s">
        <v>486</v>
      </c>
      <c r="B65" s="255">
        <v>361.99</v>
      </c>
      <c r="C65" s="255">
        <v>510.52</v>
      </c>
      <c r="D65" s="255">
        <v>1366.2</v>
      </c>
      <c r="E65" s="255">
        <v>786.2</v>
      </c>
      <c r="F65" s="255">
        <v>509.06</v>
      </c>
      <c r="G65" s="255">
        <v>574.77</v>
      </c>
      <c r="H65" s="255">
        <v>460.97</v>
      </c>
      <c r="I65" s="255">
        <v>751.46</v>
      </c>
      <c r="J65" s="255">
        <v>556.20000000000005</v>
      </c>
      <c r="K65" s="255">
        <v>987.16</v>
      </c>
      <c r="L65" s="255">
        <v>359.06</v>
      </c>
      <c r="M65" s="255">
        <v>371.44</v>
      </c>
      <c r="O65" s="256">
        <f t="shared" si="0"/>
        <v>7595.03</v>
      </c>
    </row>
    <row r="66" spans="1:16">
      <c r="A66" s="254" t="s">
        <v>487</v>
      </c>
      <c r="B66" s="255">
        <v>8392.7999999999993</v>
      </c>
      <c r="C66" s="255">
        <v>6797.6</v>
      </c>
      <c r="D66" s="255">
        <v>9523.58</v>
      </c>
      <c r="E66" s="255">
        <v>9324</v>
      </c>
      <c r="F66" s="255">
        <v>5108</v>
      </c>
      <c r="G66" s="255">
        <v>12814.4</v>
      </c>
      <c r="H66" s="255">
        <v>7008</v>
      </c>
      <c r="I66" s="255">
        <v>12488</v>
      </c>
      <c r="J66" s="255">
        <v>12481.6</v>
      </c>
      <c r="K66" s="255">
        <v>14839.9</v>
      </c>
      <c r="L66" s="255">
        <v>15956</v>
      </c>
      <c r="M66" s="255">
        <v>18680</v>
      </c>
      <c r="O66" s="256">
        <f t="shared" si="0"/>
        <v>133413.88</v>
      </c>
    </row>
    <row r="67" spans="1:16">
      <c r="A67" s="254" t="s">
        <v>488</v>
      </c>
      <c r="B67" s="255">
        <v>26009.35</v>
      </c>
      <c r="C67" s="255">
        <v>22956.71</v>
      </c>
      <c r="D67" s="255">
        <v>34250.769999999997</v>
      </c>
      <c r="E67" s="255">
        <v>43870.19</v>
      </c>
      <c r="F67" s="255">
        <v>38869.230000000003</v>
      </c>
      <c r="G67" s="255">
        <v>37938.339999999997</v>
      </c>
      <c r="H67" s="255">
        <v>36985.699999999997</v>
      </c>
      <c r="I67" s="255">
        <v>44000.07</v>
      </c>
      <c r="J67" s="255">
        <v>36604.699999999997</v>
      </c>
      <c r="K67" s="255">
        <v>33492.49</v>
      </c>
      <c r="L67" s="255">
        <v>35087.39</v>
      </c>
      <c r="M67" s="255">
        <v>29849.55</v>
      </c>
      <c r="O67" s="256">
        <f t="shared" si="0"/>
        <v>419914.49</v>
      </c>
    </row>
    <row r="68" spans="1:16">
      <c r="A68" s="254" t="s">
        <v>489</v>
      </c>
      <c r="B68" s="255">
        <v>140</v>
      </c>
      <c r="C68" s="255">
        <v>0</v>
      </c>
      <c r="D68" s="255">
        <v>0</v>
      </c>
      <c r="E68" s="255">
        <v>0</v>
      </c>
      <c r="F68" s="255">
        <v>0</v>
      </c>
      <c r="G68" s="255">
        <v>0</v>
      </c>
      <c r="H68" s="255">
        <v>0</v>
      </c>
      <c r="I68" s="255">
        <v>0</v>
      </c>
      <c r="J68" s="255">
        <v>0</v>
      </c>
      <c r="K68" s="255">
        <v>0</v>
      </c>
      <c r="L68" s="255">
        <v>525.6</v>
      </c>
      <c r="M68" s="255">
        <v>0</v>
      </c>
      <c r="O68" s="256">
        <f>SUM(B68:M68)</f>
        <v>665.6</v>
      </c>
    </row>
    <row r="69" spans="1:16">
      <c r="A69" s="254" t="s">
        <v>490</v>
      </c>
      <c r="B69" s="255">
        <v>5760.49</v>
      </c>
      <c r="C69" s="255">
        <v>9941.9500000000007</v>
      </c>
      <c r="D69" s="255">
        <v>14174.28</v>
      </c>
      <c r="E69" s="255">
        <v>14322.52</v>
      </c>
      <c r="F69" s="255">
        <v>14466.41</v>
      </c>
      <c r="G69" s="255">
        <v>14598.25</v>
      </c>
      <c r="H69" s="255">
        <v>14710.89</v>
      </c>
      <c r="I69" s="255">
        <v>14799.24</v>
      </c>
      <c r="J69" s="255">
        <v>14765.75</v>
      </c>
      <c r="K69" s="255">
        <v>14953.99</v>
      </c>
      <c r="L69" s="255">
        <v>14883.58</v>
      </c>
      <c r="M69" s="255">
        <v>10319.700000000001</v>
      </c>
      <c r="O69" s="256">
        <f t="shared" si="0"/>
        <v>157697.05000000002</v>
      </c>
    </row>
    <row r="70" spans="1:16">
      <c r="A70" s="254" t="s">
        <v>491</v>
      </c>
      <c r="B70" s="255">
        <v>1118.7</v>
      </c>
      <c r="C70" s="255">
        <v>0</v>
      </c>
      <c r="D70" s="255">
        <v>0</v>
      </c>
      <c r="E70" s="255">
        <v>2358</v>
      </c>
      <c r="F70" s="255">
        <v>2358</v>
      </c>
      <c r="G70" s="255">
        <v>2395.5</v>
      </c>
      <c r="H70" s="255">
        <v>2358</v>
      </c>
      <c r="I70" s="255">
        <v>2358</v>
      </c>
      <c r="J70" s="255">
        <v>2358</v>
      </c>
      <c r="K70" s="255">
        <v>2358</v>
      </c>
      <c r="L70" s="255">
        <v>0</v>
      </c>
      <c r="M70" s="255">
        <v>0</v>
      </c>
      <c r="O70" s="256">
        <f t="shared" ref="O70:O78" si="1">SUM(B70:M70)</f>
        <v>17662.2</v>
      </c>
    </row>
    <row r="71" spans="1:16">
      <c r="A71" s="254" t="s">
        <v>492</v>
      </c>
      <c r="B71" s="255">
        <v>35089.15</v>
      </c>
      <c r="C71" s="255">
        <v>34643.800000000003</v>
      </c>
      <c r="D71" s="255">
        <v>50503.55</v>
      </c>
      <c r="E71" s="255">
        <v>41100.589999999997</v>
      </c>
      <c r="F71" s="255">
        <v>45611.07</v>
      </c>
      <c r="G71" s="255">
        <v>44049.07</v>
      </c>
      <c r="H71" s="255">
        <v>51048.35</v>
      </c>
      <c r="I71" s="255">
        <v>41428.36</v>
      </c>
      <c r="J71" s="255">
        <v>56200.27</v>
      </c>
      <c r="K71" s="255">
        <v>49712.34</v>
      </c>
      <c r="L71" s="255">
        <v>56809.01</v>
      </c>
      <c r="M71" s="255">
        <v>33523.800000000003</v>
      </c>
      <c r="O71" s="256">
        <f t="shared" si="1"/>
        <v>539719.3600000001</v>
      </c>
    </row>
    <row r="72" spans="1:16">
      <c r="A72" s="254" t="s">
        <v>493</v>
      </c>
      <c r="B72" s="255">
        <v>0</v>
      </c>
      <c r="C72" s="255">
        <v>0</v>
      </c>
      <c r="D72" s="255">
        <v>0</v>
      </c>
      <c r="E72" s="255">
        <v>0</v>
      </c>
      <c r="F72" s="255">
        <v>183.75</v>
      </c>
      <c r="G72" s="255">
        <v>0</v>
      </c>
      <c r="H72" s="255">
        <v>0</v>
      </c>
      <c r="I72" s="255">
        <v>0</v>
      </c>
      <c r="J72" s="255">
        <v>0</v>
      </c>
      <c r="K72" s="255">
        <v>0</v>
      </c>
      <c r="L72" s="255">
        <v>0</v>
      </c>
      <c r="M72" s="255">
        <v>0</v>
      </c>
      <c r="O72" s="256">
        <f t="shared" si="1"/>
        <v>183.75</v>
      </c>
    </row>
    <row r="73" spans="1:16">
      <c r="A73" s="254" t="s">
        <v>494</v>
      </c>
      <c r="B73" s="255">
        <v>0</v>
      </c>
      <c r="C73" s="255">
        <v>0</v>
      </c>
      <c r="D73" s="255">
        <v>208.48</v>
      </c>
      <c r="E73" s="255">
        <v>0</v>
      </c>
      <c r="F73" s="255">
        <v>0</v>
      </c>
      <c r="G73" s="255">
        <v>0</v>
      </c>
      <c r="H73" s="255">
        <v>0</v>
      </c>
      <c r="I73" s="255">
        <v>0</v>
      </c>
      <c r="J73" s="255">
        <v>0</v>
      </c>
      <c r="K73" s="255">
        <v>0</v>
      </c>
      <c r="L73" s="255">
        <v>0</v>
      </c>
      <c r="M73" s="255">
        <v>0</v>
      </c>
      <c r="O73" s="256">
        <f t="shared" si="1"/>
        <v>208.48</v>
      </c>
    </row>
    <row r="74" spans="1:16">
      <c r="A74" s="254" t="s">
        <v>495</v>
      </c>
      <c r="B74" s="255">
        <v>4452.75</v>
      </c>
      <c r="C74" s="255">
        <v>2520.9</v>
      </c>
      <c r="D74" s="255">
        <v>5550.1</v>
      </c>
      <c r="E74" s="255">
        <v>1968.3</v>
      </c>
      <c r="F74" s="255">
        <v>4614</v>
      </c>
      <c r="G74" s="255">
        <v>3504</v>
      </c>
      <c r="H74" s="255">
        <v>3106.5</v>
      </c>
      <c r="I74" s="255">
        <v>4256</v>
      </c>
      <c r="J74" s="255">
        <v>4321.3500000000004</v>
      </c>
      <c r="K74" s="255">
        <v>1700.04</v>
      </c>
      <c r="L74" s="255">
        <v>2873.25</v>
      </c>
      <c r="M74" s="255">
        <v>1597.65</v>
      </c>
      <c r="O74" s="256">
        <f t="shared" si="1"/>
        <v>40464.840000000004</v>
      </c>
    </row>
    <row r="75" spans="1:16">
      <c r="A75" s="254" t="s">
        <v>496</v>
      </c>
      <c r="B75" s="255">
        <v>589.88</v>
      </c>
      <c r="C75" s="255">
        <v>644.79999999999995</v>
      </c>
      <c r="D75" s="255">
        <v>530.79999999999995</v>
      </c>
      <c r="E75" s="255">
        <v>535.42999999999995</v>
      </c>
      <c r="F75" s="255">
        <v>758.24</v>
      </c>
      <c r="G75" s="255">
        <v>736.19</v>
      </c>
      <c r="H75" s="255">
        <v>603.79999999999995</v>
      </c>
      <c r="I75" s="255">
        <v>710.47</v>
      </c>
      <c r="J75" s="255">
        <v>779.59</v>
      </c>
      <c r="K75" s="255">
        <v>621.69000000000005</v>
      </c>
      <c r="L75" s="255">
        <v>879.65</v>
      </c>
      <c r="M75" s="255">
        <v>845.89</v>
      </c>
      <c r="O75" s="256">
        <f t="shared" si="1"/>
        <v>8236.4299999999985</v>
      </c>
    </row>
    <row r="76" spans="1:16">
      <c r="A76" s="254" t="s">
        <v>497</v>
      </c>
      <c r="B76" s="255">
        <v>120.24</v>
      </c>
      <c r="C76" s="255">
        <v>97.77</v>
      </c>
      <c r="D76" s="255">
        <v>74.16</v>
      </c>
      <c r="E76" s="255">
        <v>253.34</v>
      </c>
      <c r="F76" s="255">
        <v>140.18</v>
      </c>
      <c r="G76" s="255">
        <v>114.01</v>
      </c>
      <c r="H76" s="255">
        <v>87.23</v>
      </c>
      <c r="I76" s="255">
        <v>96.81</v>
      </c>
      <c r="J76" s="255">
        <v>78.12</v>
      </c>
      <c r="K76" s="255">
        <v>35.25</v>
      </c>
      <c r="L76" s="255">
        <v>57.03</v>
      </c>
      <c r="M76" s="255">
        <v>63.63</v>
      </c>
      <c r="O76" s="256">
        <f t="shared" si="1"/>
        <v>1217.7700000000002</v>
      </c>
    </row>
    <row r="77" spans="1:16">
      <c r="A77" s="254" t="s">
        <v>498</v>
      </c>
      <c r="B77" s="255">
        <v>2.35</v>
      </c>
      <c r="C77" s="255">
        <v>3.62</v>
      </c>
      <c r="D77" s="255">
        <v>1</v>
      </c>
      <c r="E77" s="255">
        <v>6.09</v>
      </c>
      <c r="F77" s="255">
        <v>8</v>
      </c>
      <c r="G77" s="255">
        <v>7.09</v>
      </c>
      <c r="H77" s="255">
        <v>2</v>
      </c>
      <c r="I77" s="255">
        <v>4.24</v>
      </c>
      <c r="J77" s="255">
        <v>2.21</v>
      </c>
      <c r="K77" s="255">
        <v>0</v>
      </c>
      <c r="L77" s="255">
        <v>0</v>
      </c>
      <c r="M77" s="255">
        <v>1.36</v>
      </c>
      <c r="O77" s="256">
        <f t="shared" si="1"/>
        <v>37.96</v>
      </c>
    </row>
    <row r="78" spans="1:16">
      <c r="A78" s="254" t="s">
        <v>499</v>
      </c>
      <c r="B78" s="255">
        <v>171.03</v>
      </c>
      <c r="C78" s="255">
        <v>143.11000000000001</v>
      </c>
      <c r="D78" s="255">
        <v>132.82</v>
      </c>
      <c r="E78" s="255">
        <v>148.47</v>
      </c>
      <c r="F78" s="255">
        <v>236.52</v>
      </c>
      <c r="G78" s="255">
        <v>130.02000000000001</v>
      </c>
      <c r="H78" s="255">
        <v>189.52</v>
      </c>
      <c r="I78" s="255">
        <v>133.84</v>
      </c>
      <c r="J78" s="255">
        <v>226.1</v>
      </c>
      <c r="K78" s="255">
        <v>281.98</v>
      </c>
      <c r="L78" s="255">
        <v>151.94</v>
      </c>
      <c r="M78" s="255">
        <v>150.88999999999999</v>
      </c>
      <c r="O78" s="256">
        <f t="shared" si="1"/>
        <v>2096.2399999999998</v>
      </c>
    </row>
    <row r="79" spans="1:16">
      <c r="A79" s="253"/>
      <c r="B79" s="255"/>
      <c r="C79" s="255"/>
      <c r="D79" s="255"/>
      <c r="E79" s="255"/>
      <c r="F79" s="255"/>
      <c r="G79" s="255"/>
      <c r="H79" s="255"/>
      <c r="I79" s="255"/>
      <c r="J79" s="255"/>
      <c r="K79" s="255"/>
      <c r="L79" s="255"/>
      <c r="M79" s="255"/>
      <c r="O79" s="256"/>
    </row>
    <row r="80" spans="1:16">
      <c r="A80" s="253" t="s">
        <v>263</v>
      </c>
      <c r="B80" s="257">
        <f>SUM(B5:B78)</f>
        <v>791633.11</v>
      </c>
      <c r="C80" s="257">
        <f t="shared" ref="C80:M80" si="2">SUM(C5:C78)</f>
        <v>783374.68999999983</v>
      </c>
      <c r="D80" s="257">
        <f t="shared" si="2"/>
        <v>930083.2899999998</v>
      </c>
      <c r="E80" s="257">
        <f t="shared" si="2"/>
        <v>984071.10999999987</v>
      </c>
      <c r="F80" s="257">
        <f t="shared" si="2"/>
        <v>942436.42999999982</v>
      </c>
      <c r="G80" s="257">
        <f t="shared" si="2"/>
        <v>977870.2699999999</v>
      </c>
      <c r="H80" s="257">
        <f t="shared" si="2"/>
        <v>975175.16999999993</v>
      </c>
      <c r="I80" s="257">
        <f t="shared" si="2"/>
        <v>1028480.54</v>
      </c>
      <c r="J80" s="257">
        <f t="shared" si="2"/>
        <v>1001304.2599999997</v>
      </c>
      <c r="K80" s="257">
        <f t="shared" si="2"/>
        <v>1003690.6099999993</v>
      </c>
      <c r="L80" s="257">
        <f t="shared" si="2"/>
        <v>989833.50000000012</v>
      </c>
      <c r="M80" s="257">
        <f t="shared" si="2"/>
        <v>940598.46000000008</v>
      </c>
      <c r="O80" s="257">
        <f>SUM(O5:O78)</f>
        <v>11348551.440000005</v>
      </c>
      <c r="P80" s="249" t="s">
        <v>841</v>
      </c>
    </row>
    <row r="81" spans="1:17">
      <c r="A81" s="253"/>
      <c r="B81" s="255"/>
      <c r="C81" s="255"/>
      <c r="D81" s="255"/>
      <c r="E81" s="255"/>
      <c r="F81" s="255"/>
      <c r="G81" s="255"/>
      <c r="H81" s="255"/>
      <c r="I81" s="255"/>
      <c r="J81" s="255"/>
      <c r="K81" s="255"/>
      <c r="L81" s="255"/>
      <c r="M81" s="255"/>
      <c r="O81" s="256"/>
    </row>
    <row r="82" spans="1:17">
      <c r="A82" s="799" t="s">
        <v>372</v>
      </c>
      <c r="B82" s="255"/>
      <c r="C82" s="255"/>
      <c r="D82" s="255"/>
      <c r="E82" s="255"/>
      <c r="F82" s="255"/>
      <c r="G82" s="255"/>
      <c r="H82" s="255"/>
      <c r="I82" s="255"/>
      <c r="J82" s="255"/>
      <c r="K82" s="255"/>
      <c r="L82" s="255"/>
      <c r="M82" s="255"/>
      <c r="O82" s="256"/>
      <c r="P82" s="800" t="s">
        <v>377</v>
      </c>
      <c r="Q82" s="249" t="s">
        <v>500</v>
      </c>
    </row>
    <row r="83" spans="1:17">
      <c r="A83" s="253" t="s">
        <v>360</v>
      </c>
      <c r="B83" s="255"/>
      <c r="C83" s="255"/>
      <c r="D83" s="255"/>
      <c r="E83" s="255"/>
      <c r="F83" s="255"/>
      <c r="G83" s="255"/>
      <c r="H83" s="255"/>
      <c r="I83" s="255"/>
      <c r="J83" s="255"/>
      <c r="K83" s="255"/>
      <c r="L83" s="255"/>
      <c r="M83" s="255"/>
      <c r="O83" s="256"/>
      <c r="P83" s="801">
        <v>3945816</v>
      </c>
    </row>
    <row r="84" spans="1:17">
      <c r="A84" s="253" t="s">
        <v>363</v>
      </c>
      <c r="B84" s="255"/>
      <c r="C84" s="255"/>
      <c r="D84" s="255"/>
      <c r="E84" s="255"/>
      <c r="F84" s="255"/>
      <c r="G84" s="255"/>
      <c r="H84" s="255"/>
      <c r="I84" s="255"/>
      <c r="J84" s="255"/>
      <c r="K84" s="255"/>
      <c r="L84" s="255"/>
      <c r="M84" s="255"/>
      <c r="O84" s="256"/>
      <c r="P84" s="801">
        <v>3153336</v>
      </c>
    </row>
    <row r="85" spans="1:17">
      <c r="A85" s="253" t="s">
        <v>361</v>
      </c>
      <c r="B85" s="255"/>
      <c r="C85" s="255"/>
      <c r="D85" s="255"/>
      <c r="E85" s="255"/>
      <c r="F85" s="255"/>
      <c r="G85" s="255"/>
      <c r="H85" s="255"/>
      <c r="I85" s="255"/>
      <c r="J85" s="255"/>
      <c r="K85" s="255"/>
      <c r="L85" s="255"/>
      <c r="M85" s="255"/>
      <c r="O85" s="256"/>
      <c r="P85" s="801">
        <v>1420090</v>
      </c>
    </row>
    <row r="86" spans="1:17">
      <c r="A86" s="253" t="s">
        <v>364</v>
      </c>
      <c r="B86" s="255"/>
      <c r="C86" s="255"/>
      <c r="D86" s="255"/>
      <c r="E86" s="255"/>
      <c r="F86" s="255"/>
      <c r="G86" s="255"/>
      <c r="H86" s="255"/>
      <c r="I86" s="255"/>
      <c r="J86" s="255"/>
      <c r="K86" s="255"/>
      <c r="L86" s="255"/>
      <c r="M86" s="255"/>
      <c r="O86" s="256"/>
      <c r="P86" s="801">
        <v>1641205</v>
      </c>
    </row>
    <row r="87" spans="1:17">
      <c r="A87" s="253" t="s">
        <v>373</v>
      </c>
      <c r="B87" s="255"/>
      <c r="C87" s="255"/>
      <c r="D87" s="255"/>
      <c r="E87" s="255"/>
      <c r="F87" s="255"/>
      <c r="G87" s="255"/>
      <c r="H87" s="255"/>
      <c r="I87" s="255"/>
      <c r="J87" s="255"/>
      <c r="K87" s="255"/>
      <c r="L87" s="255"/>
      <c r="M87" s="255"/>
      <c r="O87" s="256"/>
      <c r="P87" s="801">
        <v>430247</v>
      </c>
    </row>
    <row r="88" spans="1:17">
      <c r="A88" s="253" t="s">
        <v>365</v>
      </c>
      <c r="B88" s="255"/>
      <c r="C88" s="255"/>
      <c r="D88" s="255"/>
      <c r="E88" s="255"/>
      <c r="F88" s="255"/>
      <c r="G88" s="255"/>
      <c r="H88" s="255"/>
      <c r="I88" s="255"/>
      <c r="J88" s="255"/>
      <c r="K88" s="255"/>
      <c r="L88" s="255"/>
      <c r="M88" s="255"/>
      <c r="O88" s="256"/>
      <c r="P88" s="801">
        <v>697809</v>
      </c>
    </row>
    <row r="89" spans="1:17">
      <c r="A89" s="253" t="s">
        <v>366</v>
      </c>
      <c r="B89" s="255"/>
      <c r="C89" s="255"/>
      <c r="D89" s="255"/>
      <c r="E89" s="255"/>
      <c r="F89" s="255"/>
      <c r="G89" s="255"/>
      <c r="H89" s="255"/>
      <c r="I89" s="255"/>
      <c r="J89" s="255"/>
      <c r="K89" s="255"/>
      <c r="L89" s="255"/>
      <c r="M89" s="255"/>
      <c r="O89" s="256"/>
      <c r="P89" s="801">
        <v>0</v>
      </c>
    </row>
    <row r="90" spans="1:17">
      <c r="A90" s="253" t="s">
        <v>375</v>
      </c>
      <c r="B90" s="255"/>
      <c r="C90" s="255"/>
      <c r="D90" s="255"/>
      <c r="E90" s="255"/>
      <c r="F90" s="255"/>
      <c r="G90" s="255"/>
      <c r="H90" s="255"/>
      <c r="I90" s="255"/>
      <c r="J90" s="255"/>
      <c r="K90" s="255"/>
      <c r="L90" s="255"/>
      <c r="M90" s="255"/>
      <c r="O90" s="256"/>
      <c r="P90" s="801">
        <v>0</v>
      </c>
    </row>
    <row r="91" spans="1:17">
      <c r="A91" s="253" t="s">
        <v>376</v>
      </c>
      <c r="B91" s="255"/>
      <c r="C91" s="255"/>
      <c r="D91" s="255"/>
      <c r="E91" s="255"/>
      <c r="F91" s="255"/>
      <c r="G91" s="255"/>
      <c r="H91" s="255"/>
      <c r="I91" s="255"/>
      <c r="J91" s="255"/>
      <c r="K91" s="255"/>
      <c r="L91" s="255"/>
      <c r="M91" s="255"/>
      <c r="O91" s="256"/>
      <c r="P91" s="801">
        <v>0</v>
      </c>
    </row>
    <row r="92" spans="1:17">
      <c r="A92" s="253" t="s">
        <v>367</v>
      </c>
      <c r="B92" s="255"/>
      <c r="C92" s="255"/>
      <c r="D92" s="255"/>
      <c r="E92" s="255"/>
      <c r="F92" s="255"/>
      <c r="G92" s="255"/>
      <c r="H92" s="255"/>
      <c r="I92" s="255"/>
      <c r="J92" s="255"/>
      <c r="K92" s="255"/>
      <c r="L92" s="255"/>
      <c r="M92" s="255"/>
      <c r="O92" s="256"/>
      <c r="P92" s="801">
        <v>0</v>
      </c>
    </row>
    <row r="93" spans="1:17">
      <c r="A93" s="253" t="s">
        <v>368</v>
      </c>
      <c r="B93" s="255"/>
      <c r="C93" s="255"/>
      <c r="D93" s="255"/>
      <c r="E93" s="255"/>
      <c r="F93" s="255"/>
      <c r="G93" s="255"/>
      <c r="H93" s="255"/>
      <c r="I93" s="255"/>
      <c r="J93" s="255"/>
      <c r="K93" s="255"/>
      <c r="L93" s="255"/>
      <c r="M93" s="255"/>
      <c r="O93" s="256"/>
      <c r="P93" s="801">
        <v>18328</v>
      </c>
    </row>
    <row r="94" spans="1:17">
      <c r="A94" s="253" t="s">
        <v>369</v>
      </c>
      <c r="B94" s="255"/>
      <c r="C94" s="255"/>
      <c r="D94" s="255"/>
      <c r="E94" s="255"/>
      <c r="F94" s="255"/>
      <c r="G94" s="255"/>
      <c r="H94" s="255"/>
      <c r="I94" s="255"/>
      <c r="J94" s="255"/>
      <c r="K94" s="255"/>
      <c r="L94" s="255"/>
      <c r="M94" s="255"/>
      <c r="O94" s="256"/>
      <c r="P94" s="801">
        <v>40465</v>
      </c>
    </row>
    <row r="95" spans="1:17">
      <c r="A95" s="253" t="s">
        <v>374</v>
      </c>
      <c r="B95" s="255"/>
      <c r="C95" s="255"/>
      <c r="D95" s="255"/>
      <c r="E95" s="255"/>
      <c r="F95" s="255"/>
      <c r="G95" s="255"/>
      <c r="H95" s="255"/>
      <c r="I95" s="255"/>
      <c r="J95" s="255"/>
      <c r="K95" s="255"/>
      <c r="L95" s="255"/>
      <c r="M95" s="255"/>
      <c r="O95" s="256"/>
      <c r="P95" s="802">
        <v>5319</v>
      </c>
    </row>
    <row r="96" spans="1:17">
      <c r="A96" s="253" t="s">
        <v>371</v>
      </c>
      <c r="B96" s="255"/>
      <c r="C96" s="255"/>
      <c r="D96" s="255"/>
      <c r="E96" s="255"/>
      <c r="F96" s="255"/>
      <c r="G96" s="255"/>
      <c r="H96" s="255"/>
      <c r="I96" s="255"/>
      <c r="J96" s="255"/>
      <c r="K96" s="255"/>
      <c r="L96" s="255"/>
      <c r="M96" s="255"/>
      <c r="O96" s="256"/>
      <c r="P96" s="801">
        <f>SUM(P83:P95)</f>
        <v>11352615</v>
      </c>
    </row>
    <row r="97" spans="1:16">
      <c r="A97" s="253"/>
      <c r="B97" s="255"/>
      <c r="C97" s="255"/>
      <c r="D97" s="255"/>
      <c r="E97" s="255"/>
      <c r="F97" s="255"/>
      <c r="G97" s="255"/>
      <c r="H97" s="255"/>
      <c r="I97" s="255"/>
      <c r="J97" s="255"/>
      <c r="K97" s="255"/>
      <c r="L97" s="255"/>
      <c r="M97" s="255"/>
      <c r="O97" s="256"/>
      <c r="P97" s="801">
        <f>+P96-O80</f>
        <v>4063.5599999949336</v>
      </c>
    </row>
    <row r="98" spans="1:16">
      <c r="A98" s="249" t="s">
        <v>370</v>
      </c>
      <c r="B98" s="255"/>
      <c r="C98" s="255"/>
      <c r="D98" s="255"/>
      <c r="E98" s="255"/>
      <c r="F98" s="255"/>
      <c r="G98" s="255"/>
      <c r="H98" s="255"/>
      <c r="I98" s="255"/>
      <c r="J98" s="255"/>
      <c r="K98" s="255"/>
      <c r="L98" s="255"/>
      <c r="M98" s="255"/>
      <c r="O98" s="256"/>
    </row>
    <row r="99" spans="1:16" s="258" customFormat="1">
      <c r="A99" s="254" t="s">
        <v>501</v>
      </c>
      <c r="B99" s="255">
        <v>0</v>
      </c>
      <c r="C99" s="255">
        <v>0</v>
      </c>
      <c r="D99" s="255">
        <v>4000</v>
      </c>
      <c r="E99" s="255">
        <v>0</v>
      </c>
      <c r="F99" s="255">
        <v>0</v>
      </c>
      <c r="G99" s="255">
        <v>0</v>
      </c>
      <c r="H99" s="255">
        <v>0</v>
      </c>
      <c r="I99" s="255">
        <v>0</v>
      </c>
      <c r="J99" s="255">
        <v>0</v>
      </c>
      <c r="K99" s="255">
        <v>0</v>
      </c>
      <c r="L99" s="255">
        <v>0</v>
      </c>
      <c r="M99" s="255">
        <v>0</v>
      </c>
      <c r="N99" s="248"/>
      <c r="O99" s="256">
        <f t="shared" ref="O99:O101" si="3">SUM(B99:M99)</f>
        <v>4000</v>
      </c>
    </row>
    <row r="100" spans="1:16">
      <c r="A100" s="253" t="s">
        <v>353</v>
      </c>
      <c r="B100" s="255"/>
      <c r="C100" s="255"/>
      <c r="D100" s="255"/>
      <c r="E100" s="255"/>
      <c r="F100" s="255"/>
      <c r="G100" s="255"/>
      <c r="H100" s="255"/>
      <c r="I100" s="255"/>
      <c r="J100" s="255"/>
      <c r="K100" s="255"/>
      <c r="L100" s="255"/>
      <c r="M100" s="255"/>
      <c r="O100" s="270">
        <f t="shared" si="3"/>
        <v>0</v>
      </c>
    </row>
    <row r="101" spans="1:16" s="258" customFormat="1">
      <c r="A101" s="259"/>
      <c r="B101" s="260">
        <f>+B99+B100</f>
        <v>0</v>
      </c>
      <c r="C101" s="260">
        <f t="shared" ref="C101:M101" si="4">+C99+C100</f>
        <v>0</v>
      </c>
      <c r="D101" s="260">
        <f t="shared" si="4"/>
        <v>4000</v>
      </c>
      <c r="E101" s="260">
        <f t="shared" si="4"/>
        <v>0</v>
      </c>
      <c r="F101" s="260">
        <f t="shared" si="4"/>
        <v>0</v>
      </c>
      <c r="G101" s="260">
        <f t="shared" si="4"/>
        <v>0</v>
      </c>
      <c r="H101" s="260">
        <f t="shared" si="4"/>
        <v>0</v>
      </c>
      <c r="I101" s="260">
        <f t="shared" si="4"/>
        <v>0</v>
      </c>
      <c r="J101" s="260">
        <f t="shared" si="4"/>
        <v>0</v>
      </c>
      <c r="K101" s="260">
        <f t="shared" si="4"/>
        <v>0</v>
      </c>
      <c r="L101" s="260">
        <f t="shared" si="4"/>
        <v>0</v>
      </c>
      <c r="M101" s="260">
        <f t="shared" si="4"/>
        <v>0</v>
      </c>
      <c r="N101" s="261"/>
      <c r="O101" s="256">
        <f t="shared" si="3"/>
        <v>4000</v>
      </c>
    </row>
    <row r="102" spans="1:16" s="258" customFormat="1">
      <c r="A102" s="259"/>
      <c r="B102" s="262"/>
      <c r="C102" s="262"/>
      <c r="D102" s="262"/>
      <c r="E102" s="262"/>
      <c r="F102" s="262"/>
      <c r="G102" s="262"/>
      <c r="H102" s="262"/>
      <c r="I102" s="262"/>
      <c r="J102" s="262"/>
      <c r="K102" s="262"/>
      <c r="L102" s="262"/>
      <c r="M102" s="262"/>
      <c r="N102" s="261"/>
      <c r="O102" s="248"/>
    </row>
    <row r="103" spans="1:16">
      <c r="A103" s="253" t="s">
        <v>104</v>
      </c>
      <c r="B103" s="263">
        <f>+B80+B101</f>
        <v>791633.11</v>
      </c>
      <c r="C103" s="263">
        <f t="shared" ref="C103:O103" si="5">+C80+C101</f>
        <v>783374.68999999983</v>
      </c>
      <c r="D103" s="263">
        <f t="shared" si="5"/>
        <v>934083.2899999998</v>
      </c>
      <c r="E103" s="263">
        <f t="shared" si="5"/>
        <v>984071.10999999987</v>
      </c>
      <c r="F103" s="263">
        <f t="shared" si="5"/>
        <v>942436.42999999982</v>
      </c>
      <c r="G103" s="263">
        <f t="shared" si="5"/>
        <v>977870.2699999999</v>
      </c>
      <c r="H103" s="263">
        <f t="shared" si="5"/>
        <v>975175.16999999993</v>
      </c>
      <c r="I103" s="263">
        <f t="shared" si="5"/>
        <v>1028480.54</v>
      </c>
      <c r="J103" s="263">
        <f t="shared" si="5"/>
        <v>1001304.2599999997</v>
      </c>
      <c r="K103" s="263">
        <f t="shared" si="5"/>
        <v>1003690.6099999993</v>
      </c>
      <c r="L103" s="263">
        <f t="shared" si="5"/>
        <v>989833.50000000012</v>
      </c>
      <c r="M103" s="263">
        <f t="shared" si="5"/>
        <v>940598.46000000008</v>
      </c>
      <c r="N103" s="263"/>
      <c r="O103" s="271">
        <f t="shared" si="5"/>
        <v>11352551.440000005</v>
      </c>
    </row>
    <row r="104" spans="1:16">
      <c r="A104" s="259"/>
      <c r="B104" s="260"/>
      <c r="C104" s="260"/>
      <c r="D104" s="260"/>
      <c r="E104" s="260"/>
      <c r="F104" s="260"/>
      <c r="G104" s="260"/>
      <c r="H104" s="260"/>
      <c r="I104" s="260"/>
      <c r="J104" s="260"/>
      <c r="K104" s="260"/>
      <c r="L104" s="260"/>
      <c r="M104" s="260"/>
      <c r="N104" s="261"/>
    </row>
    <row r="105" spans="1:16">
      <c r="A105" s="253" t="s">
        <v>103</v>
      </c>
    </row>
    <row r="106" spans="1:16">
      <c r="A106" s="254" t="s">
        <v>614</v>
      </c>
      <c r="B106" s="255">
        <v>86.4</v>
      </c>
      <c r="C106" s="255">
        <v>1680.4</v>
      </c>
      <c r="D106" s="255">
        <v>102</v>
      </c>
      <c r="E106" s="255">
        <v>0</v>
      </c>
      <c r="F106" s="255">
        <v>86.4</v>
      </c>
      <c r="G106" s="255">
        <v>639.34</v>
      </c>
      <c r="H106" s="255">
        <v>0</v>
      </c>
      <c r="I106" s="255">
        <v>172.8</v>
      </c>
      <c r="J106" s="255">
        <v>0</v>
      </c>
      <c r="K106" s="255">
        <v>518.4</v>
      </c>
      <c r="L106" s="255">
        <v>0</v>
      </c>
      <c r="M106" s="255">
        <v>3800</v>
      </c>
      <c r="O106" s="248">
        <f>SUM(B106:M106)</f>
        <v>7085.7400000000007</v>
      </c>
    </row>
    <row r="107" spans="1:16">
      <c r="A107" s="254" t="s">
        <v>502</v>
      </c>
      <c r="B107" s="255">
        <v>199889.08</v>
      </c>
      <c r="C107" s="255">
        <v>192808.04</v>
      </c>
      <c r="D107" s="255">
        <v>195134.37</v>
      </c>
      <c r="E107" s="255">
        <v>307338.15999999997</v>
      </c>
      <c r="F107" s="255">
        <v>204827.92</v>
      </c>
      <c r="G107" s="255">
        <v>210195.89</v>
      </c>
      <c r="H107" s="255">
        <v>206192.5</v>
      </c>
      <c r="I107" s="255">
        <v>205138.14</v>
      </c>
      <c r="J107" s="255">
        <v>210480.24</v>
      </c>
      <c r="K107" s="255">
        <v>313202.26</v>
      </c>
      <c r="L107" s="255">
        <v>239920.94</v>
      </c>
      <c r="M107" s="255">
        <v>159634.94</v>
      </c>
      <c r="O107" s="248">
        <f>SUM(B107:M107)</f>
        <v>2644762.48</v>
      </c>
    </row>
    <row r="108" spans="1:16">
      <c r="A108" s="254" t="s">
        <v>503</v>
      </c>
      <c r="B108" s="255">
        <v>2145.31</v>
      </c>
      <c r="C108" s="255">
        <v>1396.45</v>
      </c>
      <c r="D108" s="255">
        <v>4890.95</v>
      </c>
      <c r="E108" s="255">
        <v>1099.93</v>
      </c>
      <c r="F108" s="255">
        <v>1500.63</v>
      </c>
      <c r="G108" s="255">
        <v>2382.15</v>
      </c>
      <c r="H108" s="255">
        <v>1176.99</v>
      </c>
      <c r="I108" s="255">
        <v>12068.94</v>
      </c>
      <c r="J108" s="255">
        <v>1353.63</v>
      </c>
      <c r="K108" s="255">
        <v>14904.88</v>
      </c>
      <c r="L108" s="255">
        <v>808.97</v>
      </c>
      <c r="M108" s="255">
        <v>1930.98</v>
      </c>
      <c r="O108" s="248">
        <f t="shared" ref="O108:O171" si="6">SUM(B108:M108)</f>
        <v>45659.810000000005</v>
      </c>
    </row>
    <row r="109" spans="1:16">
      <c r="A109" s="254" t="s">
        <v>504</v>
      </c>
      <c r="B109" s="255">
        <v>0</v>
      </c>
      <c r="C109" s="255">
        <v>0</v>
      </c>
      <c r="D109" s="255">
        <v>0</v>
      </c>
      <c r="E109" s="255">
        <v>248.33</v>
      </c>
      <c r="F109" s="255">
        <v>327.8</v>
      </c>
      <c r="G109" s="255">
        <v>97</v>
      </c>
      <c r="H109" s="255">
        <v>2156.4299999999998</v>
      </c>
      <c r="I109" s="255">
        <v>252.19</v>
      </c>
      <c r="J109" s="255">
        <v>221.53</v>
      </c>
      <c r="K109" s="255">
        <v>0</v>
      </c>
      <c r="L109" s="255">
        <v>0</v>
      </c>
      <c r="M109" s="255">
        <v>0</v>
      </c>
      <c r="O109" s="248">
        <f t="shared" si="6"/>
        <v>3303.28</v>
      </c>
    </row>
    <row r="110" spans="1:16">
      <c r="A110" s="254" t="s">
        <v>505</v>
      </c>
      <c r="B110" s="255">
        <v>188.33</v>
      </c>
      <c r="C110" s="255">
        <v>525.36</v>
      </c>
      <c r="D110" s="255">
        <v>6106.36</v>
      </c>
      <c r="E110" s="255">
        <v>2191.27</v>
      </c>
      <c r="F110" s="255">
        <v>8139.39</v>
      </c>
      <c r="G110" s="255">
        <v>3468.44</v>
      </c>
      <c r="H110" s="255">
        <v>3542.42</v>
      </c>
      <c r="I110" s="255">
        <v>161.12</v>
      </c>
      <c r="J110" s="255">
        <v>344.4</v>
      </c>
      <c r="K110" s="255">
        <v>-1371.67</v>
      </c>
      <c r="L110" s="255">
        <v>8405.65</v>
      </c>
      <c r="M110" s="255">
        <v>8180.82</v>
      </c>
      <c r="O110" s="248">
        <f t="shared" si="6"/>
        <v>39881.89</v>
      </c>
    </row>
    <row r="111" spans="1:16">
      <c r="A111" s="254" t="s">
        <v>506</v>
      </c>
      <c r="B111" s="255">
        <v>12730.35</v>
      </c>
      <c r="C111" s="255">
        <v>22723.8</v>
      </c>
      <c r="D111" s="255">
        <v>25994.74</v>
      </c>
      <c r="E111" s="255">
        <v>21830.02</v>
      </c>
      <c r="F111" s="255">
        <v>15034.16</v>
      </c>
      <c r="G111" s="255">
        <v>42856.31</v>
      </c>
      <c r="H111" s="255">
        <v>22481.34</v>
      </c>
      <c r="I111" s="255">
        <v>20873.73</v>
      </c>
      <c r="J111" s="255">
        <v>11647.89</v>
      </c>
      <c r="K111" s="255">
        <v>20803.080000000002</v>
      </c>
      <c r="L111" s="255">
        <v>21214.25</v>
      </c>
      <c r="M111" s="255">
        <v>-36375.879999999997</v>
      </c>
      <c r="O111" s="248">
        <f t="shared" si="6"/>
        <v>201813.79000000004</v>
      </c>
    </row>
    <row r="112" spans="1:16">
      <c r="A112" s="254" t="s">
        <v>507</v>
      </c>
      <c r="B112" s="255">
        <v>10979</v>
      </c>
      <c r="C112" s="255">
        <v>8701</v>
      </c>
      <c r="D112" s="255">
        <v>27129.759999999998</v>
      </c>
      <c r="E112" s="255">
        <v>19006.07</v>
      </c>
      <c r="F112" s="255">
        <v>22248.07</v>
      </c>
      <c r="G112" s="255">
        <v>12160.56</v>
      </c>
      <c r="H112" s="255">
        <v>13489.34</v>
      </c>
      <c r="I112" s="255">
        <v>15036.09</v>
      </c>
      <c r="J112" s="255">
        <v>20781.84</v>
      </c>
      <c r="K112" s="255">
        <v>10440.43</v>
      </c>
      <c r="L112" s="255">
        <v>18586.23</v>
      </c>
      <c r="M112" s="255">
        <v>2328</v>
      </c>
      <c r="O112" s="248">
        <f t="shared" si="6"/>
        <v>180886.38999999998</v>
      </c>
    </row>
    <row r="113" spans="1:15">
      <c r="A113" s="254" t="s">
        <v>508</v>
      </c>
      <c r="B113" s="255">
        <v>1150.82</v>
      </c>
      <c r="C113" s="255">
        <v>1372.61</v>
      </c>
      <c r="D113" s="255">
        <v>454.28</v>
      </c>
      <c r="E113" s="255">
        <v>1381.18</v>
      </c>
      <c r="F113" s="255">
        <v>637.30999999999995</v>
      </c>
      <c r="G113" s="255">
        <v>586.5</v>
      </c>
      <c r="H113" s="255">
        <v>2804.28</v>
      </c>
      <c r="I113" s="255">
        <v>2574.33</v>
      </c>
      <c r="J113" s="255">
        <v>1858.95</v>
      </c>
      <c r="K113" s="255">
        <v>993.28</v>
      </c>
      <c r="L113" s="255">
        <v>1171.4100000000001</v>
      </c>
      <c r="M113" s="255">
        <v>830.69</v>
      </c>
      <c r="O113" s="248">
        <f t="shared" si="6"/>
        <v>15815.640000000003</v>
      </c>
    </row>
    <row r="114" spans="1:15">
      <c r="A114" s="254" t="s">
        <v>509</v>
      </c>
      <c r="B114" s="255">
        <v>1395.76</v>
      </c>
      <c r="C114" s="255">
        <v>1439.08</v>
      </c>
      <c r="D114" s="255">
        <v>1823.36</v>
      </c>
      <c r="E114" s="255">
        <v>1273.96</v>
      </c>
      <c r="F114" s="255">
        <v>1604.23</v>
      </c>
      <c r="G114" s="255">
        <v>1612.21</v>
      </c>
      <c r="H114" s="255">
        <v>1099.27</v>
      </c>
      <c r="I114" s="255">
        <v>1689.58</v>
      </c>
      <c r="J114" s="255">
        <v>1419.58</v>
      </c>
      <c r="K114" s="255">
        <v>1358.25</v>
      </c>
      <c r="L114" s="255">
        <v>1693.37</v>
      </c>
      <c r="M114" s="255">
        <v>724.8</v>
      </c>
      <c r="O114" s="248">
        <f t="shared" si="6"/>
        <v>17133.449999999997</v>
      </c>
    </row>
    <row r="115" spans="1:15">
      <c r="A115" s="254" t="s">
        <v>510</v>
      </c>
      <c r="B115" s="255">
        <v>3718.16</v>
      </c>
      <c r="C115" s="255">
        <v>0</v>
      </c>
      <c r="D115" s="255">
        <v>0</v>
      </c>
      <c r="E115" s="255">
        <v>0</v>
      </c>
      <c r="F115" s="255">
        <v>0</v>
      </c>
      <c r="G115" s="255">
        <v>0</v>
      </c>
      <c r="H115" s="255">
        <v>3219.07</v>
      </c>
      <c r="I115" s="255">
        <v>0</v>
      </c>
      <c r="J115" s="255">
        <v>3948.23</v>
      </c>
      <c r="K115" s="255">
        <v>0</v>
      </c>
      <c r="L115" s="255">
        <v>0</v>
      </c>
      <c r="M115" s="255">
        <v>0</v>
      </c>
      <c r="O115" s="248">
        <f t="shared" si="6"/>
        <v>10885.46</v>
      </c>
    </row>
    <row r="116" spans="1:15">
      <c r="A116" s="254" t="s">
        <v>511</v>
      </c>
      <c r="B116" s="255">
        <v>507.2</v>
      </c>
      <c r="C116" s="255">
        <v>5.98</v>
      </c>
      <c r="D116" s="255">
        <v>0</v>
      </c>
      <c r="E116" s="255">
        <v>131.96</v>
      </c>
      <c r="F116" s="255">
        <v>0</v>
      </c>
      <c r="G116" s="255">
        <v>0</v>
      </c>
      <c r="H116" s="255">
        <v>2254.7199999999998</v>
      </c>
      <c r="I116" s="255">
        <v>188.98</v>
      </c>
      <c r="J116" s="255">
        <v>36.44</v>
      </c>
      <c r="K116" s="255">
        <v>0</v>
      </c>
      <c r="L116" s="255">
        <v>0</v>
      </c>
      <c r="M116" s="255">
        <v>3308.52</v>
      </c>
      <c r="O116" s="248">
        <f t="shared" si="6"/>
        <v>6433.7999999999993</v>
      </c>
    </row>
    <row r="117" spans="1:15">
      <c r="A117" s="254" t="s">
        <v>512</v>
      </c>
      <c r="B117" s="255">
        <v>0</v>
      </c>
      <c r="C117" s="255">
        <v>38.020000000000003</v>
      </c>
      <c r="D117" s="255">
        <v>330.54</v>
      </c>
      <c r="E117" s="255">
        <v>1855.81</v>
      </c>
      <c r="F117" s="255">
        <v>1541.84</v>
      </c>
      <c r="G117" s="255">
        <v>0</v>
      </c>
      <c r="H117" s="255">
        <v>710.24</v>
      </c>
      <c r="I117" s="255">
        <v>0</v>
      </c>
      <c r="J117" s="255">
        <v>0</v>
      </c>
      <c r="K117" s="255">
        <v>486.52</v>
      </c>
      <c r="L117" s="255">
        <v>2014.51</v>
      </c>
      <c r="M117" s="255">
        <v>0</v>
      </c>
      <c r="O117" s="248">
        <f t="shared" si="6"/>
        <v>6977.48</v>
      </c>
    </row>
    <row r="118" spans="1:15">
      <c r="A118" s="254" t="s">
        <v>513</v>
      </c>
      <c r="B118" s="255">
        <v>5764.49</v>
      </c>
      <c r="C118" s="255">
        <v>1811.24</v>
      </c>
      <c r="D118" s="255">
        <v>6014.81</v>
      </c>
      <c r="E118" s="255">
        <v>1466.9</v>
      </c>
      <c r="F118" s="255">
        <v>5562.9</v>
      </c>
      <c r="G118" s="255">
        <v>2162.04</v>
      </c>
      <c r="H118" s="255">
        <v>305.58</v>
      </c>
      <c r="I118" s="255">
        <v>4368.76</v>
      </c>
      <c r="J118" s="255">
        <v>114.65</v>
      </c>
      <c r="K118" s="255">
        <v>50</v>
      </c>
      <c r="L118" s="255">
        <v>448.06</v>
      </c>
      <c r="M118" s="255">
        <v>14642.53</v>
      </c>
      <c r="O118" s="248">
        <f t="shared" si="6"/>
        <v>42711.960000000006</v>
      </c>
    </row>
    <row r="119" spans="1:15">
      <c r="A119" s="254" t="s">
        <v>514</v>
      </c>
      <c r="B119" s="255">
        <v>0</v>
      </c>
      <c r="C119" s="255">
        <v>0</v>
      </c>
      <c r="D119" s="255">
        <v>0</v>
      </c>
      <c r="E119" s="255">
        <v>0</v>
      </c>
      <c r="F119" s="255">
        <v>0</v>
      </c>
      <c r="G119" s="255">
        <v>0</v>
      </c>
      <c r="H119" s="255">
        <v>0</v>
      </c>
      <c r="I119" s="255">
        <v>0</v>
      </c>
      <c r="J119" s="255">
        <v>0</v>
      </c>
      <c r="K119" s="255">
        <v>0</v>
      </c>
      <c r="L119" s="255">
        <v>0</v>
      </c>
      <c r="M119" s="255">
        <v>5087.75</v>
      </c>
      <c r="O119" s="248">
        <f t="shared" si="6"/>
        <v>5087.75</v>
      </c>
    </row>
    <row r="120" spans="1:15">
      <c r="A120" s="254" t="s">
        <v>515</v>
      </c>
      <c r="B120" s="255">
        <v>0</v>
      </c>
      <c r="C120" s="255">
        <v>0</v>
      </c>
      <c r="D120" s="255">
        <v>0</v>
      </c>
      <c r="E120" s="255">
        <v>0</v>
      </c>
      <c r="F120" s="255">
        <v>0</v>
      </c>
      <c r="G120" s="255">
        <v>0</v>
      </c>
      <c r="H120" s="255">
        <v>0</v>
      </c>
      <c r="I120" s="255">
        <v>0</v>
      </c>
      <c r="J120" s="255">
        <v>0</v>
      </c>
      <c r="K120" s="255">
        <v>0</v>
      </c>
      <c r="L120" s="255">
        <v>0</v>
      </c>
      <c r="M120" s="255">
        <v>8266</v>
      </c>
      <c r="O120" s="248">
        <f t="shared" si="6"/>
        <v>8266</v>
      </c>
    </row>
    <row r="121" spans="1:15">
      <c r="A121" s="254" t="s">
        <v>516</v>
      </c>
      <c r="B121" s="255">
        <v>0</v>
      </c>
      <c r="C121" s="255">
        <v>0</v>
      </c>
      <c r="D121" s="255">
        <v>0</v>
      </c>
      <c r="E121" s="255">
        <v>0</v>
      </c>
      <c r="F121" s="255">
        <v>0</v>
      </c>
      <c r="G121" s="255">
        <v>0</v>
      </c>
      <c r="H121" s="255">
        <v>0</v>
      </c>
      <c r="I121" s="255">
        <v>0</v>
      </c>
      <c r="J121" s="255">
        <v>0</v>
      </c>
      <c r="K121" s="255">
        <v>0</v>
      </c>
      <c r="L121" s="255">
        <v>0</v>
      </c>
      <c r="M121" s="255">
        <v>141353.15</v>
      </c>
      <c r="O121" s="248">
        <f t="shared" si="6"/>
        <v>141353.15</v>
      </c>
    </row>
    <row r="122" spans="1:15">
      <c r="A122" s="254" t="s">
        <v>517</v>
      </c>
      <c r="B122" s="255">
        <v>0</v>
      </c>
      <c r="C122" s="255">
        <v>0</v>
      </c>
      <c r="D122" s="255">
        <v>0</v>
      </c>
      <c r="E122" s="255">
        <v>0</v>
      </c>
      <c r="F122" s="255">
        <v>0</v>
      </c>
      <c r="G122" s="255">
        <v>0</v>
      </c>
      <c r="H122" s="255">
        <v>0</v>
      </c>
      <c r="I122" s="255">
        <v>0</v>
      </c>
      <c r="J122" s="255">
        <v>0</v>
      </c>
      <c r="K122" s="255">
        <v>0</v>
      </c>
      <c r="L122" s="255">
        <v>0</v>
      </c>
      <c r="M122" s="255">
        <v>193.45</v>
      </c>
      <c r="O122" s="248">
        <f t="shared" si="6"/>
        <v>193.45</v>
      </c>
    </row>
    <row r="123" spans="1:15">
      <c r="A123" s="254" t="s">
        <v>518</v>
      </c>
      <c r="B123" s="255">
        <v>0</v>
      </c>
      <c r="C123" s="255">
        <v>0</v>
      </c>
      <c r="D123" s="255">
        <v>0</v>
      </c>
      <c r="E123" s="255">
        <v>0</v>
      </c>
      <c r="F123" s="255">
        <v>0</v>
      </c>
      <c r="G123" s="255">
        <v>0</v>
      </c>
      <c r="H123" s="255">
        <v>0</v>
      </c>
      <c r="I123" s="255">
        <v>0</v>
      </c>
      <c r="J123" s="255">
        <v>0</v>
      </c>
      <c r="K123" s="255">
        <v>0</v>
      </c>
      <c r="L123" s="255">
        <v>0</v>
      </c>
      <c r="M123" s="255">
        <v>2239.35</v>
      </c>
      <c r="O123" s="248">
        <f t="shared" si="6"/>
        <v>2239.35</v>
      </c>
    </row>
    <row r="124" spans="1:15">
      <c r="A124" s="254" t="s">
        <v>519</v>
      </c>
      <c r="B124" s="255">
        <v>0</v>
      </c>
      <c r="C124" s="255">
        <v>0</v>
      </c>
      <c r="D124" s="255">
        <v>0</v>
      </c>
      <c r="E124" s="255">
        <v>0</v>
      </c>
      <c r="F124" s="255">
        <v>0</v>
      </c>
      <c r="G124" s="255">
        <v>0</v>
      </c>
      <c r="H124" s="255">
        <v>0</v>
      </c>
      <c r="I124" s="255">
        <v>0</v>
      </c>
      <c r="J124" s="255">
        <v>0</v>
      </c>
      <c r="K124" s="255">
        <v>0</v>
      </c>
      <c r="L124" s="255">
        <v>0</v>
      </c>
      <c r="M124" s="255">
        <v>689940.47</v>
      </c>
      <c r="O124" s="248">
        <f t="shared" si="6"/>
        <v>689940.47</v>
      </c>
    </row>
    <row r="125" spans="1:15">
      <c r="A125" s="254" t="s">
        <v>520</v>
      </c>
      <c r="B125" s="255">
        <v>0</v>
      </c>
      <c r="C125" s="255">
        <v>0</v>
      </c>
      <c r="D125" s="255">
        <v>0</v>
      </c>
      <c r="E125" s="255">
        <v>0</v>
      </c>
      <c r="F125" s="255">
        <v>0</v>
      </c>
      <c r="G125" s="255">
        <v>0</v>
      </c>
      <c r="H125" s="255">
        <v>0</v>
      </c>
      <c r="I125" s="255">
        <v>0</v>
      </c>
      <c r="J125" s="255">
        <v>0</v>
      </c>
      <c r="K125" s="255">
        <v>0</v>
      </c>
      <c r="L125" s="255">
        <v>0</v>
      </c>
      <c r="M125" s="255">
        <v>135752.04</v>
      </c>
      <c r="O125" s="248">
        <f t="shared" si="6"/>
        <v>135752.04</v>
      </c>
    </row>
    <row r="126" spans="1:15">
      <c r="A126" s="254" t="s">
        <v>521</v>
      </c>
      <c r="B126" s="255">
        <v>0</v>
      </c>
      <c r="C126" s="255">
        <v>0</v>
      </c>
      <c r="D126" s="255">
        <v>0</v>
      </c>
      <c r="E126" s="255">
        <v>0</v>
      </c>
      <c r="F126" s="255">
        <v>0</v>
      </c>
      <c r="G126" s="255">
        <v>0</v>
      </c>
      <c r="H126" s="255">
        <v>0</v>
      </c>
      <c r="I126" s="255">
        <v>0</v>
      </c>
      <c r="J126" s="255">
        <v>0</v>
      </c>
      <c r="K126" s="255">
        <v>0</v>
      </c>
      <c r="L126" s="255">
        <v>0</v>
      </c>
      <c r="M126" s="255">
        <v>98000.68</v>
      </c>
      <c r="O126" s="248">
        <f t="shared" si="6"/>
        <v>98000.68</v>
      </c>
    </row>
    <row r="127" spans="1:15">
      <c r="A127" s="254" t="s">
        <v>522</v>
      </c>
      <c r="B127" s="255">
        <v>0</v>
      </c>
      <c r="C127" s="255">
        <v>0</v>
      </c>
      <c r="D127" s="255">
        <v>0</v>
      </c>
      <c r="E127" s="255">
        <v>0</v>
      </c>
      <c r="F127" s="255">
        <v>0</v>
      </c>
      <c r="G127" s="255">
        <v>0</v>
      </c>
      <c r="H127" s="255">
        <v>0</v>
      </c>
      <c r="I127" s="255">
        <v>0</v>
      </c>
      <c r="J127" s="255">
        <v>0</v>
      </c>
      <c r="K127" s="255">
        <v>0</v>
      </c>
      <c r="L127" s="255">
        <v>0</v>
      </c>
      <c r="M127" s="255">
        <v>24270.36</v>
      </c>
      <c r="O127" s="248">
        <f t="shared" si="6"/>
        <v>24270.36</v>
      </c>
    </row>
    <row r="128" spans="1:15">
      <c r="A128" s="254" t="s">
        <v>523</v>
      </c>
      <c r="B128" s="255">
        <v>27994.13</v>
      </c>
      <c r="C128" s="255">
        <v>58873.91</v>
      </c>
      <c r="D128" s="255">
        <v>68311.47</v>
      </c>
      <c r="E128" s="255">
        <v>62536.75</v>
      </c>
      <c r="F128" s="255">
        <v>67236.78</v>
      </c>
      <c r="G128" s="255">
        <v>49353.45</v>
      </c>
      <c r="H128" s="255">
        <v>69877.91</v>
      </c>
      <c r="I128" s="255">
        <v>78383.42</v>
      </c>
      <c r="J128" s="255">
        <v>72782.27</v>
      </c>
      <c r="K128" s="255">
        <v>50100.92</v>
      </c>
      <c r="L128" s="255">
        <v>129131.57</v>
      </c>
      <c r="M128" s="255">
        <v>44094.59</v>
      </c>
      <c r="O128" s="248">
        <f t="shared" si="6"/>
        <v>778677.17</v>
      </c>
    </row>
    <row r="129" spans="1:15">
      <c r="A129" s="254" t="s">
        <v>524</v>
      </c>
      <c r="B129" s="255">
        <v>3820.94</v>
      </c>
      <c r="C129" s="255">
        <v>9024.5499999999993</v>
      </c>
      <c r="D129" s="255">
        <v>5452.16</v>
      </c>
      <c r="E129" s="255">
        <v>7722.38</v>
      </c>
      <c r="F129" s="255">
        <v>5849.16</v>
      </c>
      <c r="G129" s="255">
        <v>8915.67</v>
      </c>
      <c r="H129" s="255">
        <v>4838.87</v>
      </c>
      <c r="I129" s="255">
        <v>11457.75</v>
      </c>
      <c r="J129" s="255">
        <v>5245.03</v>
      </c>
      <c r="K129" s="255">
        <v>9197.18</v>
      </c>
      <c r="L129" s="255">
        <v>7283.09</v>
      </c>
      <c r="M129" s="255">
        <v>6783.84</v>
      </c>
      <c r="O129" s="248">
        <f t="shared" si="6"/>
        <v>85590.62</v>
      </c>
    </row>
    <row r="130" spans="1:15">
      <c r="A130" s="254" t="s">
        <v>525</v>
      </c>
      <c r="B130" s="255">
        <v>845.3</v>
      </c>
      <c r="C130" s="255">
        <v>720.65</v>
      </c>
      <c r="D130" s="255">
        <v>289.52999999999997</v>
      </c>
      <c r="E130" s="255">
        <v>1346.22</v>
      </c>
      <c r="F130" s="255">
        <v>693.81</v>
      </c>
      <c r="G130" s="255">
        <v>1348.13</v>
      </c>
      <c r="H130" s="255">
        <v>861.92</v>
      </c>
      <c r="I130" s="255">
        <v>3357.68</v>
      </c>
      <c r="J130" s="255">
        <v>2821.96</v>
      </c>
      <c r="K130" s="255">
        <v>2967.71</v>
      </c>
      <c r="L130" s="255">
        <v>2591</v>
      </c>
      <c r="M130" s="255">
        <v>2103.38</v>
      </c>
      <c r="O130" s="248">
        <f t="shared" si="6"/>
        <v>19947.29</v>
      </c>
    </row>
    <row r="131" spans="1:15">
      <c r="A131" s="254" t="s">
        <v>526</v>
      </c>
      <c r="B131" s="255">
        <v>114624.55</v>
      </c>
      <c r="C131" s="255">
        <v>92427.59</v>
      </c>
      <c r="D131" s="255">
        <v>247349.43</v>
      </c>
      <c r="E131" s="255">
        <v>261194.48</v>
      </c>
      <c r="F131" s="255">
        <v>220176.13</v>
      </c>
      <c r="G131" s="255">
        <v>259496.64</v>
      </c>
      <c r="H131" s="255">
        <v>244817.89</v>
      </c>
      <c r="I131" s="255">
        <v>251772.21</v>
      </c>
      <c r="J131" s="255">
        <v>249162.08</v>
      </c>
      <c r="K131" s="255">
        <v>224010.65</v>
      </c>
      <c r="L131" s="255">
        <v>244710.33</v>
      </c>
      <c r="M131" s="255">
        <v>180839.41</v>
      </c>
      <c r="O131" s="248">
        <f t="shared" si="6"/>
        <v>2590581.39</v>
      </c>
    </row>
    <row r="132" spans="1:15">
      <c r="A132" s="254" t="s">
        <v>527</v>
      </c>
      <c r="B132" s="255">
        <v>1616.46</v>
      </c>
      <c r="C132" s="255">
        <v>2714.93</v>
      </c>
      <c r="D132" s="255">
        <v>5067.24</v>
      </c>
      <c r="E132" s="255">
        <v>6218.22</v>
      </c>
      <c r="F132" s="255">
        <v>6472.99</v>
      </c>
      <c r="G132" s="255">
        <v>7168.24</v>
      </c>
      <c r="H132" s="255">
        <v>5869.64</v>
      </c>
      <c r="I132" s="255">
        <v>6511.56</v>
      </c>
      <c r="J132" s="255">
        <v>7347.29</v>
      </c>
      <c r="K132" s="255">
        <v>5058.2</v>
      </c>
      <c r="L132" s="255">
        <v>5682.49</v>
      </c>
      <c r="M132" s="255">
        <v>6572.98</v>
      </c>
      <c r="O132" s="248">
        <f t="shared" si="6"/>
        <v>66300.239999999991</v>
      </c>
    </row>
    <row r="133" spans="1:15">
      <c r="A133" s="254" t="s">
        <v>528</v>
      </c>
      <c r="B133" s="255">
        <v>1556.5</v>
      </c>
      <c r="C133" s="255">
        <v>2796.82</v>
      </c>
      <c r="D133" s="255">
        <v>2042.42</v>
      </c>
      <c r="E133" s="255">
        <v>4169.13</v>
      </c>
      <c r="F133" s="255">
        <v>3221.02</v>
      </c>
      <c r="G133" s="255">
        <v>3097.2</v>
      </c>
      <c r="H133" s="255">
        <v>2474.81</v>
      </c>
      <c r="I133" s="255">
        <v>5547.73</v>
      </c>
      <c r="J133" s="255">
        <v>3264.35</v>
      </c>
      <c r="K133" s="255">
        <v>3338.16</v>
      </c>
      <c r="L133" s="255">
        <v>4438.2700000000004</v>
      </c>
      <c r="M133" s="255">
        <v>2972.44</v>
      </c>
      <c r="O133" s="248">
        <f t="shared" si="6"/>
        <v>38918.850000000006</v>
      </c>
    </row>
    <row r="134" spans="1:15">
      <c r="A134" s="254" t="s">
        <v>529</v>
      </c>
      <c r="B134" s="255">
        <v>3022.79</v>
      </c>
      <c r="C134" s="255">
        <v>9064.75</v>
      </c>
      <c r="D134" s="255">
        <v>15143.64</v>
      </c>
      <c r="E134" s="255">
        <v>11194.99</v>
      </c>
      <c r="F134" s="255">
        <v>9724.9599999999991</v>
      </c>
      <c r="G134" s="255">
        <v>11645.47</v>
      </c>
      <c r="H134" s="255">
        <v>16884.150000000001</v>
      </c>
      <c r="I134" s="255">
        <v>13119.79</v>
      </c>
      <c r="J134" s="255">
        <v>14610.77</v>
      </c>
      <c r="K134" s="255">
        <v>12795.02</v>
      </c>
      <c r="L134" s="255">
        <v>11664.52</v>
      </c>
      <c r="M134" s="255">
        <v>13331.46</v>
      </c>
      <c r="O134" s="248">
        <f t="shared" si="6"/>
        <v>142202.31000000003</v>
      </c>
    </row>
    <row r="135" spans="1:15">
      <c r="A135" s="254" t="s">
        <v>530</v>
      </c>
      <c r="B135" s="255">
        <v>1236.8900000000001</v>
      </c>
      <c r="C135" s="255">
        <v>920.53</v>
      </c>
      <c r="D135" s="255">
        <v>1506.5</v>
      </c>
      <c r="E135" s="255">
        <v>779.29</v>
      </c>
      <c r="F135" s="255">
        <v>971.57</v>
      </c>
      <c r="G135" s="255">
        <v>837.11</v>
      </c>
      <c r="H135" s="255">
        <v>989.57</v>
      </c>
      <c r="I135" s="255">
        <v>1489.15</v>
      </c>
      <c r="J135" s="255">
        <v>692.57</v>
      </c>
      <c r="K135" s="255">
        <v>928.5</v>
      </c>
      <c r="L135" s="255">
        <v>1793.38</v>
      </c>
      <c r="M135" s="255">
        <v>1037.03</v>
      </c>
      <c r="O135" s="248">
        <f t="shared" si="6"/>
        <v>13182.089999999998</v>
      </c>
    </row>
    <row r="136" spans="1:15">
      <c r="A136" s="254" t="s">
        <v>531</v>
      </c>
      <c r="B136" s="255">
        <v>3632.04</v>
      </c>
      <c r="C136" s="255">
        <v>3712.23</v>
      </c>
      <c r="D136" s="255">
        <v>4062.96</v>
      </c>
      <c r="E136" s="255">
        <v>4376.43</v>
      </c>
      <c r="F136" s="255">
        <v>4202.28</v>
      </c>
      <c r="G136" s="255">
        <v>4662.3599999999997</v>
      </c>
      <c r="H136" s="255">
        <v>4092.93</v>
      </c>
      <c r="I136" s="255">
        <v>4335.12</v>
      </c>
      <c r="J136" s="255">
        <v>5499.09</v>
      </c>
      <c r="K136" s="255">
        <v>2694.06</v>
      </c>
      <c r="L136" s="255">
        <v>3329.91</v>
      </c>
      <c r="M136" s="255">
        <v>4351.32</v>
      </c>
      <c r="O136" s="248">
        <f t="shared" si="6"/>
        <v>48950.73</v>
      </c>
    </row>
    <row r="137" spans="1:15">
      <c r="A137" s="254" t="s">
        <v>532</v>
      </c>
      <c r="B137" s="255">
        <v>3774.05</v>
      </c>
      <c r="C137" s="255">
        <v>3126.23</v>
      </c>
      <c r="D137" s="255">
        <v>0</v>
      </c>
      <c r="E137" s="255">
        <v>10757.07</v>
      </c>
      <c r="F137" s="255">
        <v>6102.49</v>
      </c>
      <c r="G137" s="255">
        <v>5940.92</v>
      </c>
      <c r="H137" s="255">
        <v>6723.62</v>
      </c>
      <c r="I137" s="255">
        <v>5797.06</v>
      </c>
      <c r="J137" s="255">
        <v>6118.65</v>
      </c>
      <c r="K137" s="255">
        <v>5962.08</v>
      </c>
      <c r="L137" s="255">
        <v>5164.8599999999997</v>
      </c>
      <c r="M137" s="255">
        <v>4540.33</v>
      </c>
      <c r="O137" s="248">
        <f t="shared" si="6"/>
        <v>64007.360000000001</v>
      </c>
    </row>
    <row r="138" spans="1:15">
      <c r="A138" s="254" t="s">
        <v>533</v>
      </c>
      <c r="B138" s="255">
        <v>1100.24</v>
      </c>
      <c r="C138" s="255">
        <v>1075.82</v>
      </c>
      <c r="D138" s="255">
        <v>0</v>
      </c>
      <c r="E138" s="255">
        <v>2866.63</v>
      </c>
      <c r="F138" s="255">
        <v>1385.7</v>
      </c>
      <c r="G138" s="255">
        <v>1708.1</v>
      </c>
      <c r="H138" s="255">
        <v>1327.57</v>
      </c>
      <c r="I138" s="255">
        <v>1639.58</v>
      </c>
      <c r="J138" s="255">
        <v>1291.47</v>
      </c>
      <c r="K138" s="255">
        <v>1377.76</v>
      </c>
      <c r="L138" s="255">
        <v>1609.66</v>
      </c>
      <c r="M138" s="255">
        <v>951.45</v>
      </c>
      <c r="O138" s="248">
        <f t="shared" si="6"/>
        <v>16333.98</v>
      </c>
    </row>
    <row r="139" spans="1:15">
      <c r="A139" s="254" t="s">
        <v>534</v>
      </c>
      <c r="B139" s="255">
        <v>30954.400000000001</v>
      </c>
      <c r="C139" s="255">
        <v>25430.400000000001</v>
      </c>
      <c r="D139" s="255">
        <v>36243.199999999997</v>
      </c>
      <c r="E139" s="255">
        <v>35462.400000000001</v>
      </c>
      <c r="F139" s="255">
        <v>32832</v>
      </c>
      <c r="G139" s="255">
        <v>41123.199999999997</v>
      </c>
      <c r="H139" s="255">
        <v>33897.599999999999</v>
      </c>
      <c r="I139" s="255">
        <v>43098.400000000001</v>
      </c>
      <c r="J139" s="255">
        <v>40325.599999999999</v>
      </c>
      <c r="K139" s="255">
        <v>39672</v>
      </c>
      <c r="L139" s="255">
        <v>45819.4</v>
      </c>
      <c r="M139" s="255">
        <v>39402</v>
      </c>
      <c r="O139" s="248">
        <f t="shared" si="6"/>
        <v>444260.6</v>
      </c>
    </row>
    <row r="140" spans="1:15">
      <c r="A140" s="254" t="s">
        <v>535</v>
      </c>
      <c r="B140" s="255">
        <v>0</v>
      </c>
      <c r="C140" s="255">
        <v>0</v>
      </c>
      <c r="D140" s="255">
        <v>0</v>
      </c>
      <c r="E140" s="255">
        <v>0</v>
      </c>
      <c r="F140" s="255">
        <v>150.16</v>
      </c>
      <c r="G140" s="255">
        <v>0</v>
      </c>
      <c r="H140" s="255">
        <v>0</v>
      </c>
      <c r="I140" s="255">
        <v>0</v>
      </c>
      <c r="J140" s="255">
        <v>0</v>
      </c>
      <c r="K140" s="255">
        <v>0</v>
      </c>
      <c r="L140" s="255">
        <v>0</v>
      </c>
      <c r="M140" s="255">
        <v>0</v>
      </c>
      <c r="O140" s="248">
        <f t="shared" si="6"/>
        <v>150.16</v>
      </c>
    </row>
    <row r="141" spans="1:15">
      <c r="A141" s="254" t="s">
        <v>536</v>
      </c>
      <c r="B141" s="316">
        <v>500</v>
      </c>
      <c r="C141" s="316">
        <v>500</v>
      </c>
      <c r="D141" s="316">
        <v>0</v>
      </c>
      <c r="E141" s="316">
        <v>0</v>
      </c>
      <c r="F141" s="316">
        <v>1500</v>
      </c>
      <c r="G141" s="316">
        <v>500</v>
      </c>
      <c r="H141" s="316">
        <v>500</v>
      </c>
      <c r="I141" s="316">
        <v>500</v>
      </c>
      <c r="J141" s="316">
        <v>500</v>
      </c>
      <c r="K141" s="316">
        <v>500</v>
      </c>
      <c r="L141" s="255">
        <v>0</v>
      </c>
      <c r="M141" s="255">
        <v>0</v>
      </c>
      <c r="O141" s="248">
        <f t="shared" si="6"/>
        <v>5000</v>
      </c>
    </row>
    <row r="142" spans="1:15">
      <c r="A142" s="254" t="s">
        <v>537</v>
      </c>
      <c r="B142" s="255">
        <v>43232.09</v>
      </c>
      <c r="C142" s="255">
        <v>45261.34</v>
      </c>
      <c r="D142" s="255">
        <v>45261.34</v>
      </c>
      <c r="E142" s="255">
        <v>45261.34</v>
      </c>
      <c r="F142" s="255">
        <v>45261.34</v>
      </c>
      <c r="G142" s="255">
        <v>45261.34</v>
      </c>
      <c r="H142" s="255">
        <v>46275.96</v>
      </c>
      <c r="I142" s="255">
        <v>46275.96</v>
      </c>
      <c r="J142" s="255">
        <v>48305.21</v>
      </c>
      <c r="K142" s="255">
        <v>48305.21</v>
      </c>
      <c r="L142" s="255">
        <v>48305.21</v>
      </c>
      <c r="M142" s="255">
        <v>48305.21</v>
      </c>
      <c r="O142" s="248">
        <f t="shared" si="6"/>
        <v>555311.55000000005</v>
      </c>
    </row>
    <row r="143" spans="1:15">
      <c r="A143" s="254" t="s">
        <v>538</v>
      </c>
      <c r="B143" s="255">
        <v>13407.5</v>
      </c>
      <c r="C143" s="255">
        <v>1617.25</v>
      </c>
      <c r="D143" s="255">
        <v>2080</v>
      </c>
      <c r="E143" s="255">
        <v>3980</v>
      </c>
      <c r="F143" s="255">
        <v>4391</v>
      </c>
      <c r="G143" s="255">
        <v>960</v>
      </c>
      <c r="H143" s="255">
        <v>1191</v>
      </c>
      <c r="I143" s="255">
        <v>7408.25</v>
      </c>
      <c r="J143" s="255">
        <v>7198.75</v>
      </c>
      <c r="K143" s="255">
        <v>0</v>
      </c>
      <c r="L143" s="255">
        <v>10287</v>
      </c>
      <c r="M143" s="255">
        <v>2781</v>
      </c>
      <c r="O143" s="248">
        <f t="shared" si="6"/>
        <v>55301.75</v>
      </c>
    </row>
    <row r="144" spans="1:15">
      <c r="A144" s="254" t="s">
        <v>539</v>
      </c>
      <c r="B144" s="255">
        <v>0</v>
      </c>
      <c r="C144" s="255">
        <v>0</v>
      </c>
      <c r="D144" s="255">
        <v>46872.639999999999</v>
      </c>
      <c r="E144" s="255">
        <v>0</v>
      </c>
      <c r="F144" s="255">
        <v>0</v>
      </c>
      <c r="G144" s="255">
        <v>0</v>
      </c>
      <c r="H144" s="255">
        <v>0</v>
      </c>
      <c r="I144" s="255">
        <v>0</v>
      </c>
      <c r="J144" s="255">
        <v>0</v>
      </c>
      <c r="K144" s="255">
        <v>0</v>
      </c>
      <c r="L144" s="255">
        <v>0</v>
      </c>
      <c r="M144" s="255">
        <v>0</v>
      </c>
      <c r="O144" s="248">
        <f t="shared" si="6"/>
        <v>46872.639999999999</v>
      </c>
    </row>
    <row r="145" spans="1:15">
      <c r="A145" s="254" t="s">
        <v>540</v>
      </c>
      <c r="B145" s="255">
        <v>0</v>
      </c>
      <c r="C145" s="255">
        <v>0</v>
      </c>
      <c r="D145" s="255">
        <v>1071.56</v>
      </c>
      <c r="E145" s="255">
        <v>0</v>
      </c>
      <c r="F145" s="255">
        <v>0</v>
      </c>
      <c r="G145" s="255">
        <v>0</v>
      </c>
      <c r="H145" s="255">
        <v>0</v>
      </c>
      <c r="I145" s="255">
        <v>0</v>
      </c>
      <c r="J145" s="255">
        <v>0</v>
      </c>
      <c r="K145" s="255">
        <v>0</v>
      </c>
      <c r="L145" s="255">
        <v>0</v>
      </c>
      <c r="M145" s="255">
        <v>0</v>
      </c>
      <c r="O145" s="248">
        <f t="shared" si="6"/>
        <v>1071.56</v>
      </c>
    </row>
    <row r="146" spans="1:15">
      <c r="A146" s="254" t="s">
        <v>541</v>
      </c>
      <c r="B146" s="255">
        <v>0</v>
      </c>
      <c r="C146" s="255">
        <v>0</v>
      </c>
      <c r="D146" s="255">
        <v>0</v>
      </c>
      <c r="E146" s="255">
        <v>0</v>
      </c>
      <c r="F146" s="255">
        <v>0</v>
      </c>
      <c r="G146" s="255">
        <v>0</v>
      </c>
      <c r="H146" s="255">
        <v>0</v>
      </c>
      <c r="I146" s="255">
        <v>0</v>
      </c>
      <c r="J146" s="255">
        <v>0</v>
      </c>
      <c r="K146" s="255">
        <v>0</v>
      </c>
      <c r="L146" s="255">
        <v>0</v>
      </c>
      <c r="M146" s="255">
        <v>188967.14</v>
      </c>
      <c r="O146" s="248">
        <f t="shared" si="6"/>
        <v>188967.14</v>
      </c>
    </row>
    <row r="147" spans="1:15">
      <c r="A147" s="254" t="s">
        <v>542</v>
      </c>
      <c r="B147" s="255">
        <v>0</v>
      </c>
      <c r="C147" s="255">
        <v>0</v>
      </c>
      <c r="D147" s="255">
        <v>0</v>
      </c>
      <c r="E147" s="255">
        <v>0</v>
      </c>
      <c r="F147" s="255">
        <v>0</v>
      </c>
      <c r="G147" s="255">
        <v>0</v>
      </c>
      <c r="H147" s="255">
        <v>0</v>
      </c>
      <c r="I147" s="255">
        <v>0</v>
      </c>
      <c r="J147" s="255">
        <v>0</v>
      </c>
      <c r="K147" s="255">
        <v>0</v>
      </c>
      <c r="L147" s="255">
        <v>0</v>
      </c>
      <c r="M147" s="255">
        <v>1943.03</v>
      </c>
      <c r="O147" s="248">
        <f t="shared" si="6"/>
        <v>1943.03</v>
      </c>
    </row>
    <row r="148" spans="1:15">
      <c r="A148" s="254" t="s">
        <v>543</v>
      </c>
      <c r="B148" s="255">
        <v>0</v>
      </c>
      <c r="C148" s="255">
        <v>0</v>
      </c>
      <c r="D148" s="255">
        <v>0</v>
      </c>
      <c r="E148" s="255">
        <v>0</v>
      </c>
      <c r="F148" s="255">
        <v>0</v>
      </c>
      <c r="G148" s="255">
        <v>0</v>
      </c>
      <c r="H148" s="255">
        <v>0</v>
      </c>
      <c r="I148" s="255">
        <v>0</v>
      </c>
      <c r="J148" s="255">
        <v>0</v>
      </c>
      <c r="K148" s="255">
        <v>0</v>
      </c>
      <c r="L148" s="255">
        <v>0</v>
      </c>
      <c r="M148" s="255">
        <v>19059.68</v>
      </c>
      <c r="O148" s="248">
        <f t="shared" si="6"/>
        <v>19059.68</v>
      </c>
    </row>
    <row r="149" spans="1:15">
      <c r="A149" s="254" t="s">
        <v>544</v>
      </c>
      <c r="B149" s="255">
        <v>0</v>
      </c>
      <c r="C149" s="255">
        <v>1931.19</v>
      </c>
      <c r="D149" s="255">
        <v>1083.77</v>
      </c>
      <c r="E149" s="255">
        <v>1021.87</v>
      </c>
      <c r="F149" s="255">
        <v>1030.9100000000001</v>
      </c>
      <c r="G149" s="255">
        <v>959.95</v>
      </c>
      <c r="H149" s="255">
        <v>0</v>
      </c>
      <c r="I149" s="255">
        <v>2151.4899999999998</v>
      </c>
      <c r="J149" s="255">
        <v>947.77</v>
      </c>
      <c r="K149" s="255">
        <v>1004.93</v>
      </c>
      <c r="L149" s="255">
        <v>860.94</v>
      </c>
      <c r="M149" s="255">
        <v>927.96</v>
      </c>
      <c r="O149" s="248">
        <f t="shared" si="6"/>
        <v>11920.779999999999</v>
      </c>
    </row>
    <row r="150" spans="1:15">
      <c r="A150" s="254" t="s">
        <v>545</v>
      </c>
      <c r="B150" s="255">
        <v>0</v>
      </c>
      <c r="C150" s="255">
        <v>2693.27</v>
      </c>
      <c r="D150" s="255">
        <v>1118.73</v>
      </c>
      <c r="E150" s="255">
        <v>1493.34</v>
      </c>
      <c r="F150" s="255">
        <v>1155.79</v>
      </c>
      <c r="G150" s="255">
        <v>1611.99</v>
      </c>
      <c r="H150" s="255">
        <v>0</v>
      </c>
      <c r="I150" s="255">
        <v>2863.35</v>
      </c>
      <c r="J150" s="255">
        <v>1456.91</v>
      </c>
      <c r="K150" s="255">
        <v>1716.96</v>
      </c>
      <c r="L150" s="255">
        <v>1386.51</v>
      </c>
      <c r="M150" s="255">
        <v>1708.29</v>
      </c>
      <c r="O150" s="248">
        <f t="shared" si="6"/>
        <v>17205.14</v>
      </c>
    </row>
    <row r="151" spans="1:15">
      <c r="A151" s="254" t="s">
        <v>546</v>
      </c>
      <c r="B151" s="255">
        <v>0</v>
      </c>
      <c r="C151" s="255">
        <v>32.47</v>
      </c>
      <c r="D151" s="255">
        <v>16.3</v>
      </c>
      <c r="E151" s="255">
        <v>16.14</v>
      </c>
      <c r="F151" s="255">
        <v>16.260000000000002</v>
      </c>
      <c r="G151" s="255">
        <v>16.71</v>
      </c>
      <c r="H151" s="255">
        <v>0</v>
      </c>
      <c r="I151" s="255">
        <v>29.56</v>
      </c>
      <c r="J151" s="255">
        <v>16.03</v>
      </c>
      <c r="K151" s="255">
        <v>6.32</v>
      </c>
      <c r="L151" s="255">
        <v>30.71</v>
      </c>
      <c r="M151" s="255">
        <v>26.59</v>
      </c>
      <c r="O151" s="248">
        <f t="shared" si="6"/>
        <v>207.09</v>
      </c>
    </row>
    <row r="152" spans="1:15">
      <c r="A152" s="254" t="s">
        <v>547</v>
      </c>
      <c r="B152" s="255">
        <v>0</v>
      </c>
      <c r="C152" s="255">
        <v>12575.19</v>
      </c>
      <c r="D152" s="255">
        <v>7216.57</v>
      </c>
      <c r="E152" s="255">
        <v>7162.37</v>
      </c>
      <c r="F152" s="255">
        <v>7048.22</v>
      </c>
      <c r="G152" s="255">
        <v>7238.98</v>
      </c>
      <c r="H152" s="255">
        <v>0</v>
      </c>
      <c r="I152" s="255">
        <v>14955.8</v>
      </c>
      <c r="J152" s="255">
        <v>7611.01</v>
      </c>
      <c r="K152" s="255">
        <v>7807.97</v>
      </c>
      <c r="L152" s="255">
        <v>7778.78</v>
      </c>
      <c r="M152" s="255">
        <v>7814.53</v>
      </c>
      <c r="O152" s="248">
        <f t="shared" si="6"/>
        <v>87209.42</v>
      </c>
    </row>
    <row r="153" spans="1:15">
      <c r="A153" s="254" t="s">
        <v>548</v>
      </c>
      <c r="B153" s="255">
        <v>0</v>
      </c>
      <c r="C153" s="255">
        <v>1347.21</v>
      </c>
      <c r="D153" s="255">
        <v>688.84</v>
      </c>
      <c r="E153" s="255">
        <v>727.75</v>
      </c>
      <c r="F153" s="255">
        <v>753.23</v>
      </c>
      <c r="G153" s="255">
        <v>726.47</v>
      </c>
      <c r="H153" s="255">
        <v>0</v>
      </c>
      <c r="I153" s="255">
        <v>1590.9</v>
      </c>
      <c r="J153" s="255">
        <v>742.58</v>
      </c>
      <c r="K153" s="255">
        <v>752.93</v>
      </c>
      <c r="L153" s="255">
        <v>704.93</v>
      </c>
      <c r="M153" s="255">
        <v>726.77</v>
      </c>
      <c r="O153" s="248">
        <f t="shared" si="6"/>
        <v>8761.61</v>
      </c>
    </row>
    <row r="154" spans="1:15">
      <c r="A154" s="254" t="s">
        <v>549</v>
      </c>
      <c r="B154" s="255">
        <v>0</v>
      </c>
      <c r="C154" s="255">
        <v>587.37</v>
      </c>
      <c r="D154" s="255">
        <v>361.38</v>
      </c>
      <c r="E154" s="255">
        <v>393.44</v>
      </c>
      <c r="F154" s="255">
        <v>369.36</v>
      </c>
      <c r="G154" s="255">
        <v>367.87</v>
      </c>
      <c r="H154" s="255">
        <v>0</v>
      </c>
      <c r="I154" s="255">
        <v>753.67</v>
      </c>
      <c r="J154" s="255">
        <v>413.77</v>
      </c>
      <c r="K154" s="255">
        <v>403.63</v>
      </c>
      <c r="L154" s="255">
        <v>377.23</v>
      </c>
      <c r="M154" s="255">
        <v>359.01</v>
      </c>
      <c r="O154" s="248">
        <f t="shared" si="6"/>
        <v>4386.7300000000005</v>
      </c>
    </row>
    <row r="155" spans="1:15">
      <c r="A155" s="254" t="s">
        <v>550</v>
      </c>
      <c r="B155" s="255">
        <v>0</v>
      </c>
      <c r="C155" s="255">
        <v>573.54999999999995</v>
      </c>
      <c r="D155" s="255">
        <v>399.56</v>
      </c>
      <c r="E155" s="255">
        <v>400.92</v>
      </c>
      <c r="F155" s="255">
        <v>365.63</v>
      </c>
      <c r="G155" s="255">
        <v>405.91</v>
      </c>
      <c r="H155" s="255">
        <v>0</v>
      </c>
      <c r="I155" s="255">
        <v>838.38</v>
      </c>
      <c r="J155" s="255">
        <v>394.27</v>
      </c>
      <c r="K155" s="255">
        <v>393.4</v>
      </c>
      <c r="L155" s="255">
        <v>435.52</v>
      </c>
      <c r="M155" s="255">
        <v>374.39</v>
      </c>
      <c r="O155" s="248">
        <f t="shared" si="6"/>
        <v>4581.53</v>
      </c>
    </row>
    <row r="156" spans="1:15">
      <c r="A156" s="254" t="s">
        <v>551</v>
      </c>
      <c r="B156" s="255">
        <v>0</v>
      </c>
      <c r="C156" s="255">
        <v>1210.94</v>
      </c>
      <c r="D156" s="255">
        <v>860.78</v>
      </c>
      <c r="E156" s="255">
        <v>711.95</v>
      </c>
      <c r="F156" s="255">
        <v>690.64</v>
      </c>
      <c r="G156" s="255">
        <v>724.74</v>
      </c>
      <c r="H156" s="255">
        <v>0</v>
      </c>
      <c r="I156" s="255">
        <v>1640.29</v>
      </c>
      <c r="J156" s="255">
        <v>766.76</v>
      </c>
      <c r="K156" s="255">
        <v>669.21</v>
      </c>
      <c r="L156" s="255">
        <v>732.99</v>
      </c>
      <c r="M156" s="255">
        <v>749.18</v>
      </c>
      <c r="O156" s="248">
        <f t="shared" si="6"/>
        <v>8757.48</v>
      </c>
    </row>
    <row r="157" spans="1:15">
      <c r="A157" s="254" t="s">
        <v>552</v>
      </c>
      <c r="B157" s="255">
        <v>0</v>
      </c>
      <c r="C157" s="255">
        <v>2054.4499999999998</v>
      </c>
      <c r="D157" s="255">
        <v>1794.51</v>
      </c>
      <c r="E157" s="255">
        <v>2589.0500000000002</v>
      </c>
      <c r="F157" s="255">
        <v>2244.11</v>
      </c>
      <c r="G157" s="255">
        <v>2277.7399999999998</v>
      </c>
      <c r="H157" s="255">
        <v>0</v>
      </c>
      <c r="I157" s="255">
        <v>4565.78</v>
      </c>
      <c r="J157" s="255">
        <v>2141.14</v>
      </c>
      <c r="K157" s="255">
        <v>1990.41</v>
      </c>
      <c r="L157" s="255">
        <v>2142.9299999999998</v>
      </c>
      <c r="M157" s="255">
        <v>1519.77</v>
      </c>
      <c r="O157" s="248">
        <f t="shared" si="6"/>
        <v>23319.89</v>
      </c>
    </row>
    <row r="158" spans="1:15">
      <c r="A158" s="254" t="s">
        <v>553</v>
      </c>
      <c r="B158" s="255">
        <v>0</v>
      </c>
      <c r="C158" s="255">
        <v>1035.5899999999999</v>
      </c>
      <c r="D158" s="255">
        <v>533.22</v>
      </c>
      <c r="E158" s="255">
        <v>530.49</v>
      </c>
      <c r="F158" s="255">
        <v>550.16</v>
      </c>
      <c r="G158" s="255">
        <v>561.9</v>
      </c>
      <c r="H158" s="255">
        <v>0</v>
      </c>
      <c r="I158" s="255">
        <v>1096.6099999999999</v>
      </c>
      <c r="J158" s="255">
        <v>583.91999999999996</v>
      </c>
      <c r="K158" s="255">
        <v>574.83000000000004</v>
      </c>
      <c r="L158" s="255">
        <v>555.64</v>
      </c>
      <c r="M158" s="255">
        <v>550.29</v>
      </c>
      <c r="O158" s="248">
        <f t="shared" si="6"/>
        <v>6572.6500000000005</v>
      </c>
    </row>
    <row r="159" spans="1:15">
      <c r="A159" s="254" t="s">
        <v>554</v>
      </c>
      <c r="B159" s="255">
        <v>0</v>
      </c>
      <c r="C159" s="255">
        <v>122.14</v>
      </c>
      <c r="D159" s="255">
        <v>97.14</v>
      </c>
      <c r="E159" s="255">
        <v>34.549999999999997</v>
      </c>
      <c r="F159" s="255">
        <v>80.89</v>
      </c>
      <c r="G159" s="255">
        <v>61.44</v>
      </c>
      <c r="H159" s="255">
        <v>0</v>
      </c>
      <c r="I159" s="255">
        <v>128.94999999999999</v>
      </c>
      <c r="J159" s="255">
        <v>75.66</v>
      </c>
      <c r="K159" s="255">
        <v>29.75</v>
      </c>
      <c r="L159" s="255">
        <v>50.28</v>
      </c>
      <c r="M159" s="255">
        <v>27.98</v>
      </c>
      <c r="O159" s="248">
        <f t="shared" si="6"/>
        <v>708.77999999999986</v>
      </c>
    </row>
    <row r="160" spans="1:15">
      <c r="A160" s="254" t="s">
        <v>555</v>
      </c>
      <c r="B160" s="255">
        <v>0</v>
      </c>
      <c r="C160" s="255">
        <v>406.68</v>
      </c>
      <c r="D160" s="255">
        <v>211.62</v>
      </c>
      <c r="E160" s="255">
        <v>277.08999999999997</v>
      </c>
      <c r="F160" s="255">
        <v>218.71</v>
      </c>
      <c r="G160" s="255">
        <v>212.4</v>
      </c>
      <c r="H160" s="255">
        <v>0</v>
      </c>
      <c r="I160" s="255">
        <v>462.93</v>
      </c>
      <c r="J160" s="255">
        <v>250.87</v>
      </c>
      <c r="K160" s="255">
        <v>227.45</v>
      </c>
      <c r="L160" s="255">
        <v>214.43</v>
      </c>
      <c r="M160" s="255">
        <v>214.36</v>
      </c>
      <c r="O160" s="248">
        <f t="shared" si="6"/>
        <v>2696.54</v>
      </c>
    </row>
    <row r="161" spans="1:15">
      <c r="A161" s="254" t="s">
        <v>556</v>
      </c>
      <c r="B161" s="255">
        <v>0</v>
      </c>
      <c r="C161" s="255">
        <v>537.47</v>
      </c>
      <c r="D161" s="255">
        <v>231.98</v>
      </c>
      <c r="E161" s="255">
        <v>352.45</v>
      </c>
      <c r="F161" s="255">
        <v>351.25</v>
      </c>
      <c r="G161" s="255">
        <v>378.27</v>
      </c>
      <c r="H161" s="255">
        <v>0</v>
      </c>
      <c r="I161" s="255">
        <v>737.04</v>
      </c>
      <c r="J161" s="255">
        <v>317.02</v>
      </c>
      <c r="K161" s="255">
        <v>274.70999999999998</v>
      </c>
      <c r="L161" s="255">
        <v>263.83999999999997</v>
      </c>
      <c r="M161" s="255">
        <v>224.71</v>
      </c>
      <c r="O161" s="248">
        <f t="shared" si="6"/>
        <v>3668.7400000000002</v>
      </c>
    </row>
    <row r="162" spans="1:15">
      <c r="A162" s="254" t="s">
        <v>557</v>
      </c>
      <c r="B162" s="255">
        <v>0</v>
      </c>
      <c r="C162" s="255">
        <v>121.87</v>
      </c>
      <c r="D162" s="255">
        <v>62.49</v>
      </c>
      <c r="E162" s="255">
        <v>64.05</v>
      </c>
      <c r="F162" s="255">
        <v>62.56</v>
      </c>
      <c r="G162" s="255">
        <v>67.23</v>
      </c>
      <c r="H162" s="255">
        <v>0</v>
      </c>
      <c r="I162" s="255">
        <v>128.18</v>
      </c>
      <c r="J162" s="255">
        <v>56.55</v>
      </c>
      <c r="K162" s="255">
        <v>64.92</v>
      </c>
      <c r="L162" s="255">
        <v>61.75</v>
      </c>
      <c r="M162" s="255">
        <v>62.27</v>
      </c>
      <c r="O162" s="248">
        <f t="shared" si="6"/>
        <v>751.87</v>
      </c>
    </row>
    <row r="163" spans="1:15">
      <c r="A163" s="254" t="s">
        <v>558</v>
      </c>
      <c r="B163" s="255">
        <v>0</v>
      </c>
      <c r="C163" s="255">
        <v>411.16</v>
      </c>
      <c r="D163" s="255">
        <v>314.05</v>
      </c>
      <c r="E163" s="255">
        <v>279.66000000000003</v>
      </c>
      <c r="F163" s="255">
        <v>301.77</v>
      </c>
      <c r="G163" s="255">
        <v>293.33999999999997</v>
      </c>
      <c r="H163" s="255">
        <v>0</v>
      </c>
      <c r="I163" s="255">
        <v>612.41</v>
      </c>
      <c r="J163" s="255">
        <v>354.89</v>
      </c>
      <c r="K163" s="255">
        <v>297.69</v>
      </c>
      <c r="L163" s="255">
        <v>349.54</v>
      </c>
      <c r="M163" s="255">
        <v>194.8</v>
      </c>
      <c r="O163" s="248">
        <f t="shared" si="6"/>
        <v>3409.31</v>
      </c>
    </row>
    <row r="164" spans="1:15">
      <c r="A164" s="254" t="s">
        <v>559</v>
      </c>
      <c r="B164" s="255">
        <v>0</v>
      </c>
      <c r="C164" s="255">
        <v>240.18</v>
      </c>
      <c r="D164" s="255">
        <v>178.72</v>
      </c>
      <c r="E164" s="255">
        <v>172.96</v>
      </c>
      <c r="F164" s="255">
        <v>164.05</v>
      </c>
      <c r="G164" s="255">
        <v>172.04</v>
      </c>
      <c r="H164" s="255">
        <v>0</v>
      </c>
      <c r="I164" s="255">
        <v>362.22</v>
      </c>
      <c r="J164" s="255">
        <v>173.98</v>
      </c>
      <c r="K164" s="255">
        <v>187.95</v>
      </c>
      <c r="L164" s="255">
        <v>155.99</v>
      </c>
      <c r="M164" s="255">
        <v>152.85</v>
      </c>
      <c r="O164" s="248">
        <f t="shared" si="6"/>
        <v>1960.94</v>
      </c>
    </row>
    <row r="165" spans="1:15">
      <c r="A165" s="254" t="s">
        <v>560</v>
      </c>
      <c r="B165" s="255">
        <v>0</v>
      </c>
      <c r="C165" s="255">
        <v>48.27</v>
      </c>
      <c r="D165" s="255">
        <v>46.28</v>
      </c>
      <c r="E165" s="255">
        <v>28.49</v>
      </c>
      <c r="F165" s="255">
        <v>30.35</v>
      </c>
      <c r="G165" s="255">
        <v>30.28</v>
      </c>
      <c r="H165" s="255">
        <v>0</v>
      </c>
      <c r="I165" s="255">
        <v>61.37</v>
      </c>
      <c r="J165" s="255">
        <v>31.01</v>
      </c>
      <c r="K165" s="255">
        <v>32.35</v>
      </c>
      <c r="L165" s="255">
        <v>31.97</v>
      </c>
      <c r="M165" s="255">
        <v>30.13</v>
      </c>
      <c r="O165" s="248">
        <f t="shared" si="6"/>
        <v>370.5</v>
      </c>
    </row>
    <row r="166" spans="1:15">
      <c r="A166" s="254" t="s">
        <v>561</v>
      </c>
      <c r="B166" s="255">
        <v>0</v>
      </c>
      <c r="C166" s="255">
        <v>0</v>
      </c>
      <c r="D166" s="255">
        <v>0</v>
      </c>
      <c r="E166" s="255">
        <v>0</v>
      </c>
      <c r="F166" s="255">
        <v>0</v>
      </c>
      <c r="G166" s="255">
        <v>0</v>
      </c>
      <c r="H166" s="255">
        <v>0</v>
      </c>
      <c r="I166" s="255">
        <v>0</v>
      </c>
      <c r="J166" s="255">
        <v>0</v>
      </c>
      <c r="K166" s="255">
        <v>0</v>
      </c>
      <c r="L166" s="255">
        <v>0</v>
      </c>
      <c r="M166" s="255">
        <v>0</v>
      </c>
      <c r="O166" s="248">
        <f t="shared" si="6"/>
        <v>0</v>
      </c>
    </row>
    <row r="167" spans="1:15">
      <c r="A167" s="254" t="s">
        <v>562</v>
      </c>
      <c r="B167" s="255">
        <v>160.19999999999999</v>
      </c>
      <c r="C167" s="255">
        <v>161.56</v>
      </c>
      <c r="D167" s="255">
        <v>0</v>
      </c>
      <c r="E167" s="255">
        <v>0</v>
      </c>
      <c r="F167" s="255">
        <v>0</v>
      </c>
      <c r="G167" s="255">
        <v>0</v>
      </c>
      <c r="H167" s="255">
        <v>0</v>
      </c>
      <c r="I167" s="255">
        <v>0</v>
      </c>
      <c r="J167" s="255">
        <v>0</v>
      </c>
      <c r="K167" s="255">
        <v>161.76</v>
      </c>
      <c r="L167" s="255">
        <v>0</v>
      </c>
      <c r="M167" s="255">
        <v>0</v>
      </c>
      <c r="O167" s="248">
        <f t="shared" si="6"/>
        <v>483.52</v>
      </c>
    </row>
    <row r="168" spans="1:15">
      <c r="A168" s="254" t="s">
        <v>563</v>
      </c>
      <c r="B168" s="255">
        <v>0</v>
      </c>
      <c r="C168" s="255">
        <v>0</v>
      </c>
      <c r="D168" s="255">
        <v>0</v>
      </c>
      <c r="E168" s="255">
        <v>0</v>
      </c>
      <c r="F168" s="255">
        <v>0</v>
      </c>
      <c r="G168" s="255">
        <v>0</v>
      </c>
      <c r="H168" s="255">
        <v>12726.4</v>
      </c>
      <c r="I168" s="255">
        <v>0</v>
      </c>
      <c r="J168" s="255">
        <v>0</v>
      </c>
      <c r="K168" s="255">
        <v>0</v>
      </c>
      <c r="L168" s="255">
        <v>0</v>
      </c>
      <c r="M168" s="255">
        <v>-12726.4</v>
      </c>
      <c r="O168" s="248">
        <f t="shared" si="6"/>
        <v>0</v>
      </c>
    </row>
    <row r="169" spans="1:15">
      <c r="A169" s="254" t="s">
        <v>564</v>
      </c>
      <c r="B169" s="255">
        <v>60</v>
      </c>
      <c r="C169" s="255">
        <v>0</v>
      </c>
      <c r="D169" s="255">
        <v>0</v>
      </c>
      <c r="E169" s="255">
        <v>0</v>
      </c>
      <c r="F169" s="255">
        <v>0</v>
      </c>
      <c r="G169" s="255">
        <v>0</v>
      </c>
      <c r="H169" s="255">
        <v>0</v>
      </c>
      <c r="I169" s="255">
        <v>0</v>
      </c>
      <c r="J169" s="255">
        <v>0</v>
      </c>
      <c r="K169" s="255">
        <v>0</v>
      </c>
      <c r="L169" s="255">
        <v>0</v>
      </c>
      <c r="M169" s="255">
        <v>0</v>
      </c>
      <c r="O169" s="248">
        <f t="shared" si="6"/>
        <v>60</v>
      </c>
    </row>
    <row r="170" spans="1:15">
      <c r="A170" s="254" t="s">
        <v>565</v>
      </c>
      <c r="B170" s="255">
        <v>50</v>
      </c>
      <c r="C170" s="255">
        <v>0</v>
      </c>
      <c r="D170" s="255">
        <v>0</v>
      </c>
      <c r="E170" s="255">
        <v>0</v>
      </c>
      <c r="F170" s="255">
        <v>0</v>
      </c>
      <c r="G170" s="255">
        <v>0</v>
      </c>
      <c r="H170" s="255">
        <v>0</v>
      </c>
      <c r="I170" s="255">
        <v>0</v>
      </c>
      <c r="J170" s="255">
        <v>0</v>
      </c>
      <c r="K170" s="255">
        <v>0</v>
      </c>
      <c r="L170" s="255">
        <v>0</v>
      </c>
      <c r="M170" s="255">
        <v>0</v>
      </c>
      <c r="O170" s="248">
        <f t="shared" si="6"/>
        <v>50</v>
      </c>
    </row>
    <row r="171" spans="1:15">
      <c r="A171" s="254" t="s">
        <v>566</v>
      </c>
      <c r="B171" s="255">
        <v>0</v>
      </c>
      <c r="C171" s="255">
        <v>420</v>
      </c>
      <c r="D171" s="255">
        <v>0</v>
      </c>
      <c r="E171" s="255">
        <v>0</v>
      </c>
      <c r="F171" s="255">
        <v>0</v>
      </c>
      <c r="G171" s="255">
        <v>0</v>
      </c>
      <c r="H171" s="255">
        <v>0</v>
      </c>
      <c r="I171" s="255">
        <v>0</v>
      </c>
      <c r="J171" s="255">
        <v>0</v>
      </c>
      <c r="K171" s="255">
        <v>0</v>
      </c>
      <c r="L171" s="255">
        <v>0</v>
      </c>
      <c r="M171" s="255">
        <v>0</v>
      </c>
      <c r="O171" s="248">
        <f t="shared" si="6"/>
        <v>420</v>
      </c>
    </row>
    <row r="172" spans="1:15">
      <c r="A172" s="254" t="s">
        <v>567</v>
      </c>
      <c r="B172" s="255">
        <v>0</v>
      </c>
      <c r="C172" s="255">
        <v>5789.21</v>
      </c>
      <c r="D172" s="255">
        <v>0</v>
      </c>
      <c r="E172" s="255">
        <v>2345.04</v>
      </c>
      <c r="F172" s="255">
        <v>121.93</v>
      </c>
      <c r="G172" s="255">
        <v>0</v>
      </c>
      <c r="H172" s="255">
        <v>0</v>
      </c>
      <c r="I172" s="255">
        <v>1923.57</v>
      </c>
      <c r="J172" s="255">
        <v>496.67</v>
      </c>
      <c r="K172" s="255">
        <v>0</v>
      </c>
      <c r="L172" s="255">
        <v>108.38</v>
      </c>
      <c r="M172" s="255">
        <v>570.11</v>
      </c>
      <c r="O172" s="248">
        <f t="shared" ref="O172:O218" si="7">SUM(B172:M172)</f>
        <v>11354.91</v>
      </c>
    </row>
    <row r="173" spans="1:15">
      <c r="A173" s="254" t="s">
        <v>568</v>
      </c>
      <c r="B173" s="255">
        <v>0</v>
      </c>
      <c r="C173" s="255">
        <v>22830.32</v>
      </c>
      <c r="D173" s="255">
        <v>0</v>
      </c>
      <c r="E173" s="255">
        <v>0</v>
      </c>
      <c r="F173" s="255">
        <v>0</v>
      </c>
      <c r="G173" s="255">
        <v>-37019.040000000001</v>
      </c>
      <c r="H173" s="255">
        <v>0</v>
      </c>
      <c r="I173" s="255">
        <v>0</v>
      </c>
      <c r="J173" s="255">
        <v>23047.82</v>
      </c>
      <c r="K173" s="255">
        <v>0</v>
      </c>
      <c r="L173" s="255">
        <v>18880.66</v>
      </c>
      <c r="M173" s="255">
        <v>-3064.04</v>
      </c>
      <c r="O173" s="248">
        <f t="shared" si="7"/>
        <v>24675.719999999998</v>
      </c>
    </row>
    <row r="174" spans="1:15">
      <c r="A174" s="254" t="s">
        <v>569</v>
      </c>
      <c r="B174" s="255">
        <v>0</v>
      </c>
      <c r="C174" s="255">
        <v>0</v>
      </c>
      <c r="D174" s="255">
        <v>0</v>
      </c>
      <c r="E174" s="255">
        <v>0</v>
      </c>
      <c r="F174" s="255">
        <v>0</v>
      </c>
      <c r="G174" s="255">
        <v>0</v>
      </c>
      <c r="H174" s="255">
        <v>1050</v>
      </c>
      <c r="I174" s="255">
        <v>0</v>
      </c>
      <c r="J174" s="255">
        <v>0</v>
      </c>
      <c r="K174" s="255">
        <v>0</v>
      </c>
      <c r="L174" s="255">
        <v>0</v>
      </c>
      <c r="M174" s="255">
        <v>0</v>
      </c>
      <c r="O174" s="248">
        <f t="shared" si="7"/>
        <v>1050</v>
      </c>
    </row>
    <row r="175" spans="1:15" ht="12" customHeight="1">
      <c r="A175" s="254" t="s">
        <v>570</v>
      </c>
      <c r="B175" s="255">
        <v>0</v>
      </c>
      <c r="C175" s="255">
        <v>0</v>
      </c>
      <c r="D175" s="255">
        <v>0</v>
      </c>
      <c r="E175" s="255">
        <v>0</v>
      </c>
      <c r="F175" s="255">
        <v>0</v>
      </c>
      <c r="G175" s="255">
        <v>0</v>
      </c>
      <c r="H175" s="255">
        <v>0</v>
      </c>
      <c r="I175" s="255">
        <v>0</v>
      </c>
      <c r="J175" s="255">
        <v>0</v>
      </c>
      <c r="K175" s="255">
        <v>0</v>
      </c>
      <c r="L175" s="255">
        <v>0</v>
      </c>
      <c r="M175" s="255">
        <v>0</v>
      </c>
      <c r="O175" s="248">
        <f t="shared" si="7"/>
        <v>0</v>
      </c>
    </row>
    <row r="176" spans="1:15" ht="12" customHeight="1">
      <c r="A176" s="254" t="s">
        <v>571</v>
      </c>
      <c r="B176" s="255">
        <v>0</v>
      </c>
      <c r="C176" s="255">
        <v>0</v>
      </c>
      <c r="D176" s="255">
        <v>0</v>
      </c>
      <c r="E176" s="255">
        <v>0</v>
      </c>
      <c r="F176" s="255">
        <v>0</v>
      </c>
      <c r="G176" s="255">
        <v>0</v>
      </c>
      <c r="H176" s="255">
        <v>0</v>
      </c>
      <c r="I176" s="255">
        <v>0</v>
      </c>
      <c r="J176" s="255">
        <v>0</v>
      </c>
      <c r="K176" s="255">
        <v>420</v>
      </c>
      <c r="L176" s="255">
        <v>0</v>
      </c>
      <c r="M176" s="255">
        <v>0</v>
      </c>
      <c r="O176" s="248">
        <f t="shared" si="7"/>
        <v>420</v>
      </c>
    </row>
    <row r="177" spans="1:15" ht="12" customHeight="1">
      <c r="A177" s="254" t="s">
        <v>572</v>
      </c>
      <c r="B177" s="255">
        <v>0</v>
      </c>
      <c r="C177" s="255">
        <v>0</v>
      </c>
      <c r="D177" s="255">
        <v>0</v>
      </c>
      <c r="E177" s="255">
        <v>0</v>
      </c>
      <c r="F177" s="255">
        <v>578</v>
      </c>
      <c r="G177" s="255">
        <v>0</v>
      </c>
      <c r="H177" s="255">
        <v>0</v>
      </c>
      <c r="I177" s="255">
        <v>0</v>
      </c>
      <c r="J177" s="255">
        <v>0</v>
      </c>
      <c r="K177" s="255">
        <v>0</v>
      </c>
      <c r="L177" s="255">
        <v>0</v>
      </c>
      <c r="M177" s="255">
        <v>0</v>
      </c>
      <c r="O177" s="248">
        <f t="shared" si="7"/>
        <v>578</v>
      </c>
    </row>
    <row r="178" spans="1:15" ht="12" customHeight="1">
      <c r="A178" s="254" t="s">
        <v>573</v>
      </c>
      <c r="B178" s="255">
        <v>0</v>
      </c>
      <c r="C178" s="255">
        <v>0</v>
      </c>
      <c r="D178" s="255">
        <v>0</v>
      </c>
      <c r="E178" s="255">
        <v>0</v>
      </c>
      <c r="F178" s="255">
        <v>0</v>
      </c>
      <c r="G178" s="255">
        <v>0</v>
      </c>
      <c r="H178" s="255">
        <v>0</v>
      </c>
      <c r="I178" s="255">
        <v>0</v>
      </c>
      <c r="J178" s="255">
        <v>0</v>
      </c>
      <c r="K178" s="255">
        <v>0</v>
      </c>
      <c r="L178" s="255">
        <v>0</v>
      </c>
      <c r="M178" s="255">
        <v>0</v>
      </c>
      <c r="O178" s="248">
        <f t="shared" si="7"/>
        <v>0</v>
      </c>
    </row>
    <row r="179" spans="1:15">
      <c r="A179" s="254" t="s">
        <v>574</v>
      </c>
      <c r="B179" s="255">
        <v>0</v>
      </c>
      <c r="C179" s="255">
        <v>0</v>
      </c>
      <c r="D179" s="255">
        <v>0</v>
      </c>
      <c r="E179" s="255">
        <v>0</v>
      </c>
      <c r="F179" s="255">
        <v>2100</v>
      </c>
      <c r="G179" s="255">
        <v>0</v>
      </c>
      <c r="H179" s="255">
        <v>0</v>
      </c>
      <c r="I179" s="255">
        <v>0</v>
      </c>
      <c r="J179" s="255">
        <v>0</v>
      </c>
      <c r="K179" s="255">
        <v>0</v>
      </c>
      <c r="L179" s="255">
        <v>0</v>
      </c>
      <c r="M179" s="255">
        <v>0</v>
      </c>
      <c r="O179" s="248">
        <f t="shared" si="7"/>
        <v>2100</v>
      </c>
    </row>
    <row r="180" spans="1:15">
      <c r="A180" s="254" t="s">
        <v>575</v>
      </c>
      <c r="B180" s="255">
        <v>0</v>
      </c>
      <c r="C180" s="255">
        <v>0</v>
      </c>
      <c r="D180" s="255">
        <v>0</v>
      </c>
      <c r="E180" s="255">
        <v>0</v>
      </c>
      <c r="F180" s="255">
        <v>0</v>
      </c>
      <c r="G180" s="255">
        <v>0</v>
      </c>
      <c r="H180" s="255">
        <v>0</v>
      </c>
      <c r="I180" s="255">
        <v>0</v>
      </c>
      <c r="J180" s="255">
        <v>0</v>
      </c>
      <c r="K180" s="255">
        <v>0</v>
      </c>
      <c r="L180" s="255">
        <v>0</v>
      </c>
      <c r="M180" s="255">
        <v>0</v>
      </c>
      <c r="O180" s="248">
        <f t="shared" si="7"/>
        <v>0</v>
      </c>
    </row>
    <row r="181" spans="1:15">
      <c r="A181" s="254" t="s">
        <v>576</v>
      </c>
      <c r="B181" s="255">
        <v>0</v>
      </c>
      <c r="C181" s="255">
        <v>0</v>
      </c>
      <c r="D181" s="255">
        <v>0</v>
      </c>
      <c r="E181" s="255">
        <v>0</v>
      </c>
      <c r="F181" s="255">
        <v>0</v>
      </c>
      <c r="G181" s="255">
        <v>0</v>
      </c>
      <c r="H181" s="255">
        <v>0</v>
      </c>
      <c r="I181" s="255">
        <v>0</v>
      </c>
      <c r="J181" s="255">
        <v>0</v>
      </c>
      <c r="K181" s="255">
        <v>0</v>
      </c>
      <c r="L181" s="255">
        <v>0</v>
      </c>
      <c r="M181" s="255">
        <v>0</v>
      </c>
      <c r="O181" s="248">
        <f t="shared" si="7"/>
        <v>0</v>
      </c>
    </row>
    <row r="182" spans="1:15">
      <c r="A182" s="254" t="s">
        <v>577</v>
      </c>
      <c r="B182" s="255">
        <v>0</v>
      </c>
      <c r="C182" s="255">
        <v>0</v>
      </c>
      <c r="D182" s="255">
        <v>0</v>
      </c>
      <c r="E182" s="255">
        <v>0</v>
      </c>
      <c r="F182" s="255">
        <v>0</v>
      </c>
      <c r="G182" s="255">
        <v>0</v>
      </c>
      <c r="H182" s="255">
        <v>0</v>
      </c>
      <c r="I182" s="255">
        <v>0</v>
      </c>
      <c r="J182" s="255">
        <v>0</v>
      </c>
      <c r="K182" s="255">
        <v>0</v>
      </c>
      <c r="L182" s="255">
        <v>0</v>
      </c>
      <c r="M182" s="255">
        <v>0</v>
      </c>
      <c r="O182" s="248">
        <f t="shared" si="7"/>
        <v>0</v>
      </c>
    </row>
    <row r="183" spans="1:15">
      <c r="A183" s="254" t="s">
        <v>578</v>
      </c>
      <c r="B183" s="255">
        <v>0</v>
      </c>
      <c r="C183" s="255">
        <v>0</v>
      </c>
      <c r="D183" s="255">
        <v>0</v>
      </c>
      <c r="E183" s="255">
        <v>0</v>
      </c>
      <c r="F183" s="255">
        <v>0</v>
      </c>
      <c r="G183" s="255">
        <v>0</v>
      </c>
      <c r="H183" s="255">
        <v>0</v>
      </c>
      <c r="I183" s="255">
        <v>0</v>
      </c>
      <c r="J183" s="255">
        <v>0</v>
      </c>
      <c r="K183" s="255">
        <v>210</v>
      </c>
      <c r="L183" s="255">
        <v>0</v>
      </c>
      <c r="M183" s="255">
        <v>0</v>
      </c>
      <c r="O183" s="248">
        <f t="shared" si="7"/>
        <v>210</v>
      </c>
    </row>
    <row r="184" spans="1:15">
      <c r="A184" s="254" t="s">
        <v>579</v>
      </c>
      <c r="B184" s="255">
        <v>0</v>
      </c>
      <c r="C184" s="255">
        <v>0</v>
      </c>
      <c r="D184" s="255">
        <v>0</v>
      </c>
      <c r="E184" s="255">
        <v>0</v>
      </c>
      <c r="F184" s="255">
        <v>420</v>
      </c>
      <c r="G184" s="255">
        <v>0</v>
      </c>
      <c r="H184" s="255">
        <v>0</v>
      </c>
      <c r="I184" s="255">
        <v>0</v>
      </c>
      <c r="J184" s="255">
        <v>0</v>
      </c>
      <c r="K184" s="255">
        <v>0</v>
      </c>
      <c r="L184" s="255">
        <v>0</v>
      </c>
      <c r="M184" s="255">
        <v>0</v>
      </c>
      <c r="O184" s="248">
        <f t="shared" si="7"/>
        <v>420</v>
      </c>
    </row>
    <row r="185" spans="1:15">
      <c r="A185" s="254" t="s">
        <v>580</v>
      </c>
      <c r="B185" s="255">
        <v>23185.32</v>
      </c>
      <c r="C185" s="255">
        <v>23049.32</v>
      </c>
      <c r="D185" s="255">
        <v>0</v>
      </c>
      <c r="E185" s="255">
        <v>0</v>
      </c>
      <c r="F185" s="255">
        <v>37653.879999999997</v>
      </c>
      <c r="G185" s="255">
        <v>25903.23</v>
      </c>
      <c r="H185" s="255">
        <v>26635.48</v>
      </c>
      <c r="I185" s="255">
        <v>26635.49</v>
      </c>
      <c r="J185" s="255">
        <v>27040.33</v>
      </c>
      <c r="K185" s="255">
        <v>27206.52</v>
      </c>
      <c r="L185" s="255">
        <v>27206.53</v>
      </c>
      <c r="M185" s="255">
        <v>-9071.93</v>
      </c>
      <c r="O185" s="248">
        <f t="shared" si="7"/>
        <v>235444.16999999998</v>
      </c>
    </row>
    <row r="186" spans="1:15">
      <c r="A186" s="254" t="s">
        <v>581</v>
      </c>
      <c r="B186" s="255">
        <v>7779.33</v>
      </c>
      <c r="C186" s="255">
        <v>0</v>
      </c>
      <c r="D186" s="255">
        <v>83204.929999999993</v>
      </c>
      <c r="E186" s="255">
        <v>367.19</v>
      </c>
      <c r="F186" s="255">
        <v>5308.24</v>
      </c>
      <c r="G186" s="255">
        <v>4303.51</v>
      </c>
      <c r="H186" s="255">
        <v>6574.57</v>
      </c>
      <c r="I186" s="255">
        <v>0</v>
      </c>
      <c r="J186" s="255">
        <v>5500</v>
      </c>
      <c r="K186" s="255">
        <v>0</v>
      </c>
      <c r="L186" s="255">
        <v>6098.66</v>
      </c>
      <c r="M186" s="255">
        <v>-82790.460000000006</v>
      </c>
      <c r="O186" s="248">
        <f t="shared" si="7"/>
        <v>36345.969999999987</v>
      </c>
    </row>
    <row r="187" spans="1:15">
      <c r="A187" s="254" t="s">
        <v>582</v>
      </c>
      <c r="B187" s="255">
        <v>0</v>
      </c>
      <c r="C187" s="255">
        <v>135.01</v>
      </c>
      <c r="D187" s="255">
        <v>69.58</v>
      </c>
      <c r="E187" s="255">
        <v>69.64</v>
      </c>
      <c r="F187" s="255">
        <v>84.78</v>
      </c>
      <c r="G187" s="255">
        <v>75.239999999999995</v>
      </c>
      <c r="H187" s="255">
        <v>0</v>
      </c>
      <c r="I187" s="255">
        <v>135.26</v>
      </c>
      <c r="J187" s="255">
        <v>74.36</v>
      </c>
      <c r="K187" s="255">
        <v>74.47</v>
      </c>
      <c r="L187" s="255">
        <v>96.06</v>
      </c>
      <c r="M187" s="255">
        <v>68.430000000000007</v>
      </c>
      <c r="O187" s="248">
        <f t="shared" si="7"/>
        <v>882.83000000000015</v>
      </c>
    </row>
    <row r="188" spans="1:15">
      <c r="A188" s="254" t="s">
        <v>583</v>
      </c>
      <c r="B188" s="255">
        <v>0</v>
      </c>
      <c r="C188" s="255">
        <v>161.37</v>
      </c>
      <c r="D188" s="255">
        <v>56.34</v>
      </c>
      <c r="E188" s="255">
        <v>47.73</v>
      </c>
      <c r="F188" s="255">
        <v>46.82</v>
      </c>
      <c r="G188" s="255">
        <v>48.5</v>
      </c>
      <c r="H188" s="255">
        <v>0</v>
      </c>
      <c r="I188" s="255">
        <v>103.6</v>
      </c>
      <c r="J188" s="255">
        <v>48.53</v>
      </c>
      <c r="K188" s="255">
        <v>62.86</v>
      </c>
      <c r="L188" s="255">
        <v>47.51</v>
      </c>
      <c r="M188" s="255">
        <v>46.37</v>
      </c>
      <c r="O188" s="248">
        <f t="shared" si="7"/>
        <v>669.63</v>
      </c>
    </row>
    <row r="189" spans="1:15">
      <c r="A189" s="254" t="s">
        <v>584</v>
      </c>
      <c r="B189" s="255">
        <v>0</v>
      </c>
      <c r="C189" s="255">
        <v>214.87</v>
      </c>
      <c r="D189" s="255">
        <v>109.9</v>
      </c>
      <c r="E189" s="255">
        <v>112.26</v>
      </c>
      <c r="F189" s="255">
        <v>123.8</v>
      </c>
      <c r="G189" s="255">
        <v>105.23</v>
      </c>
      <c r="H189" s="255">
        <v>0</v>
      </c>
      <c r="I189" s="255">
        <v>219.74</v>
      </c>
      <c r="J189" s="255">
        <v>108.41</v>
      </c>
      <c r="K189" s="255">
        <v>111.5</v>
      </c>
      <c r="L189" s="255">
        <v>111.13</v>
      </c>
      <c r="M189" s="255">
        <v>105.36</v>
      </c>
      <c r="O189" s="248">
        <f t="shared" si="7"/>
        <v>1322.2</v>
      </c>
    </row>
    <row r="190" spans="1:15">
      <c r="A190" s="254" t="s">
        <v>585</v>
      </c>
      <c r="B190" s="255">
        <v>3675.99</v>
      </c>
      <c r="C190" s="255">
        <v>15685.79</v>
      </c>
      <c r="D190" s="255">
        <v>23976.38</v>
      </c>
      <c r="E190" s="255">
        <v>14442.5</v>
      </c>
      <c r="F190" s="255">
        <v>3359.38</v>
      </c>
      <c r="G190" s="255">
        <v>24799.52</v>
      </c>
      <c r="H190" s="255">
        <v>14317</v>
      </c>
      <c r="I190" s="255">
        <v>18683.21</v>
      </c>
      <c r="J190" s="255">
        <v>15853.99</v>
      </c>
      <c r="K190" s="255">
        <v>4967.78</v>
      </c>
      <c r="L190" s="255">
        <v>26004.080000000002</v>
      </c>
      <c r="M190" s="255">
        <v>14774.71</v>
      </c>
      <c r="O190" s="248">
        <f t="shared" si="7"/>
        <v>180540.33</v>
      </c>
    </row>
    <row r="191" spans="1:15">
      <c r="A191" s="254" t="s">
        <v>586</v>
      </c>
      <c r="B191" s="255">
        <v>25621.88</v>
      </c>
      <c r="C191" s="255">
        <v>27081.25</v>
      </c>
      <c r="D191" s="255">
        <v>34170.269999999997</v>
      </c>
      <c r="E191" s="255">
        <v>27445.360000000001</v>
      </c>
      <c r="F191" s="255">
        <v>28007.88</v>
      </c>
      <c r="G191" s="255">
        <v>11585</v>
      </c>
      <c r="H191" s="255">
        <v>9642.1</v>
      </c>
      <c r="I191" s="255">
        <v>11208.1</v>
      </c>
      <c r="J191" s="255">
        <v>9817.02</v>
      </c>
      <c r="K191" s="255">
        <v>10499.3</v>
      </c>
      <c r="L191" s="255">
        <v>10514.6</v>
      </c>
      <c r="M191" s="255">
        <v>-97384.83</v>
      </c>
      <c r="O191" s="248">
        <f t="shared" si="7"/>
        <v>108207.92999999998</v>
      </c>
    </row>
    <row r="192" spans="1:15">
      <c r="A192" s="254" t="s">
        <v>587</v>
      </c>
      <c r="B192" s="255">
        <v>30290.51</v>
      </c>
      <c r="C192" s="255">
        <v>27920.29</v>
      </c>
      <c r="D192" s="255">
        <v>33259.39</v>
      </c>
      <c r="E192" s="255">
        <v>30234.34</v>
      </c>
      <c r="F192" s="255">
        <v>28655.23</v>
      </c>
      <c r="G192" s="255">
        <v>51795.76</v>
      </c>
      <c r="H192" s="255">
        <v>50715.83</v>
      </c>
      <c r="I192" s="255">
        <v>51559.01</v>
      </c>
      <c r="J192" s="255">
        <v>54114.67</v>
      </c>
      <c r="K192" s="255">
        <v>63219.48</v>
      </c>
      <c r="L192" s="255">
        <v>52520.65</v>
      </c>
      <c r="M192" s="255">
        <v>-45454.77</v>
      </c>
      <c r="O192" s="248">
        <f t="shared" si="7"/>
        <v>428830.39</v>
      </c>
    </row>
    <row r="193" spans="1:15">
      <c r="A193" s="254" t="s">
        <v>588</v>
      </c>
      <c r="B193" s="255">
        <v>8514.82</v>
      </c>
      <c r="C193" s="255">
        <v>8000.33</v>
      </c>
      <c r="D193" s="255">
        <v>13176.2</v>
      </c>
      <c r="E193" s="255">
        <v>7615.92</v>
      </c>
      <c r="F193" s="255">
        <v>11398.52</v>
      </c>
      <c r="G193" s="255">
        <v>13040.94</v>
      </c>
      <c r="H193" s="255">
        <v>8459.7099999999991</v>
      </c>
      <c r="I193" s="255">
        <v>8654.7199999999993</v>
      </c>
      <c r="J193" s="255">
        <v>12472.49</v>
      </c>
      <c r="K193" s="255">
        <v>9451.02</v>
      </c>
      <c r="L193" s="255">
        <v>16291.29</v>
      </c>
      <c r="M193" s="255">
        <v>22047.27</v>
      </c>
      <c r="O193" s="248">
        <f t="shared" si="7"/>
        <v>139123.23000000001</v>
      </c>
    </row>
    <row r="194" spans="1:15">
      <c r="A194" s="254" t="s">
        <v>589</v>
      </c>
      <c r="B194" s="255">
        <v>3465.13</v>
      </c>
      <c r="C194" s="255">
        <v>620.99</v>
      </c>
      <c r="D194" s="255">
        <v>1787.36</v>
      </c>
      <c r="E194" s="255">
        <v>578.74</v>
      </c>
      <c r="F194" s="255">
        <v>1246.82</v>
      </c>
      <c r="G194" s="255">
        <v>1153.97</v>
      </c>
      <c r="H194" s="255">
        <v>249.24</v>
      </c>
      <c r="I194" s="255">
        <v>944</v>
      </c>
      <c r="J194" s="255">
        <v>472</v>
      </c>
      <c r="K194" s="255">
        <v>2807.6</v>
      </c>
      <c r="L194" s="255">
        <v>0</v>
      </c>
      <c r="M194" s="255">
        <v>56986.47</v>
      </c>
      <c r="O194" s="248">
        <f t="shared" si="7"/>
        <v>70312.320000000007</v>
      </c>
    </row>
    <row r="195" spans="1:15">
      <c r="A195" s="254" t="s">
        <v>590</v>
      </c>
      <c r="B195" s="255">
        <v>0</v>
      </c>
      <c r="C195" s="255">
        <v>0</v>
      </c>
      <c r="D195" s="255">
        <v>0</v>
      </c>
      <c r="E195" s="255">
        <v>0</v>
      </c>
      <c r="F195" s="255">
        <v>0</v>
      </c>
      <c r="G195" s="255">
        <v>0</v>
      </c>
      <c r="H195" s="255">
        <v>0</v>
      </c>
      <c r="I195" s="255">
        <v>0</v>
      </c>
      <c r="J195" s="255">
        <v>0</v>
      </c>
      <c r="K195" s="255">
        <v>0</v>
      </c>
      <c r="L195" s="255">
        <v>850</v>
      </c>
      <c r="M195" s="255">
        <v>0</v>
      </c>
      <c r="O195" s="248">
        <f t="shared" si="7"/>
        <v>850</v>
      </c>
    </row>
    <row r="196" spans="1:15">
      <c r="A196" s="254" t="s">
        <v>591</v>
      </c>
      <c r="B196" s="255">
        <v>2204.58</v>
      </c>
      <c r="C196" s="255">
        <v>1554.95</v>
      </c>
      <c r="D196" s="255">
        <v>2266.2199999999998</v>
      </c>
      <c r="E196" s="255">
        <v>1522.43</v>
      </c>
      <c r="F196" s="255">
        <v>1522.43</v>
      </c>
      <c r="G196" s="255">
        <v>2595.85</v>
      </c>
      <c r="H196" s="255">
        <v>1506.17</v>
      </c>
      <c r="I196" s="255">
        <v>1945.19</v>
      </c>
      <c r="J196" s="255">
        <v>1522.43</v>
      </c>
      <c r="K196" s="255">
        <v>1522.43</v>
      </c>
      <c r="L196" s="255">
        <v>2212.39</v>
      </c>
      <c r="M196" s="255">
        <v>1642.43</v>
      </c>
      <c r="O196" s="248">
        <f t="shared" si="7"/>
        <v>22017.5</v>
      </c>
    </row>
    <row r="197" spans="1:15">
      <c r="A197" s="254" t="s">
        <v>592</v>
      </c>
      <c r="B197" s="255">
        <v>0</v>
      </c>
      <c r="C197" s="255">
        <v>348.48</v>
      </c>
      <c r="D197" s="255">
        <v>115.72</v>
      </c>
      <c r="E197" s="255">
        <v>72.5</v>
      </c>
      <c r="F197" s="255">
        <v>35.11</v>
      </c>
      <c r="G197" s="255">
        <v>33.409999999999997</v>
      </c>
      <c r="H197" s="255">
        <v>30.63</v>
      </c>
      <c r="I197" s="255">
        <v>28.43</v>
      </c>
      <c r="J197" s="255">
        <v>31.56</v>
      </c>
      <c r="K197" s="255">
        <v>65.540000000000006</v>
      </c>
      <c r="L197" s="255">
        <v>142.52000000000001</v>
      </c>
      <c r="M197" s="255">
        <v>175.68</v>
      </c>
      <c r="O197" s="248">
        <f t="shared" si="7"/>
        <v>1079.58</v>
      </c>
    </row>
    <row r="198" spans="1:15">
      <c r="A198" s="254" t="s">
        <v>593</v>
      </c>
      <c r="B198" s="255">
        <v>674.13</v>
      </c>
      <c r="C198" s="255">
        <v>363.81</v>
      </c>
      <c r="D198" s="255">
        <v>351.16</v>
      </c>
      <c r="E198" s="255">
        <v>655.22</v>
      </c>
      <c r="F198" s="255">
        <v>980.38</v>
      </c>
      <c r="G198" s="255">
        <v>992.09</v>
      </c>
      <c r="H198" s="255">
        <v>677.42</v>
      </c>
      <c r="I198" s="255">
        <v>353.38</v>
      </c>
      <c r="J198" s="255">
        <v>337.6</v>
      </c>
      <c r="K198" s="255">
        <v>653.25</v>
      </c>
      <c r="L198" s="255">
        <v>677.81</v>
      </c>
      <c r="M198" s="255">
        <v>649.38</v>
      </c>
      <c r="O198" s="248">
        <f t="shared" si="7"/>
        <v>7365.63</v>
      </c>
    </row>
    <row r="199" spans="1:15">
      <c r="A199" s="254" t="s">
        <v>594</v>
      </c>
      <c r="B199" s="255">
        <v>3328.43</v>
      </c>
      <c r="C199" s="255">
        <v>3390.58</v>
      </c>
      <c r="D199" s="255">
        <v>3601.34</v>
      </c>
      <c r="E199" s="255">
        <v>2521.4</v>
      </c>
      <c r="F199" s="255">
        <v>2387.13</v>
      </c>
      <c r="G199" s="255">
        <v>2385.96</v>
      </c>
      <c r="H199" s="255">
        <v>1994.2</v>
      </c>
      <c r="I199" s="255">
        <v>1859.29</v>
      </c>
      <c r="J199" s="255">
        <v>2416.71</v>
      </c>
      <c r="K199" s="255">
        <v>1711.6</v>
      </c>
      <c r="L199" s="255">
        <v>1929.58</v>
      </c>
      <c r="M199" s="255">
        <v>2500.8200000000002</v>
      </c>
      <c r="O199" s="248">
        <f t="shared" si="7"/>
        <v>30027.040000000001</v>
      </c>
    </row>
    <row r="200" spans="1:15">
      <c r="A200" s="254" t="s">
        <v>595</v>
      </c>
      <c r="B200" s="255">
        <v>999</v>
      </c>
      <c r="C200" s="255">
        <v>969</v>
      </c>
      <c r="D200" s="255">
        <v>1079.49</v>
      </c>
      <c r="E200" s="255">
        <v>828</v>
      </c>
      <c r="F200" s="255">
        <v>300</v>
      </c>
      <c r="G200" s="255">
        <v>1528.13</v>
      </c>
      <c r="H200" s="255">
        <v>1348</v>
      </c>
      <c r="I200" s="255">
        <v>592</v>
      </c>
      <c r="J200" s="255">
        <v>1118.18</v>
      </c>
      <c r="K200" s="255">
        <v>1009</v>
      </c>
      <c r="L200" s="255">
        <v>1774.09</v>
      </c>
      <c r="M200" s="255">
        <v>592</v>
      </c>
      <c r="O200" s="248">
        <f t="shared" si="7"/>
        <v>12136.89</v>
      </c>
    </row>
    <row r="201" spans="1:15">
      <c r="A201" s="254" t="s">
        <v>596</v>
      </c>
      <c r="B201" s="255">
        <v>300</v>
      </c>
      <c r="C201" s="255">
        <v>700</v>
      </c>
      <c r="D201" s="255">
        <v>410</v>
      </c>
      <c r="E201" s="255">
        <v>1135</v>
      </c>
      <c r="F201" s="255">
        <v>367.3</v>
      </c>
      <c r="G201" s="255">
        <v>886</v>
      </c>
      <c r="H201" s="255">
        <v>2362</v>
      </c>
      <c r="I201" s="255">
        <v>1443</v>
      </c>
      <c r="J201" s="255">
        <v>1161</v>
      </c>
      <c r="K201" s="255">
        <v>864.16</v>
      </c>
      <c r="L201" s="255">
        <v>350</v>
      </c>
      <c r="M201" s="255">
        <v>642</v>
      </c>
      <c r="O201" s="248">
        <f t="shared" si="7"/>
        <v>10620.46</v>
      </c>
    </row>
    <row r="202" spans="1:15">
      <c r="A202" s="254" t="s">
        <v>597</v>
      </c>
      <c r="B202" s="255">
        <v>0</v>
      </c>
      <c r="C202" s="255">
        <v>2435.6</v>
      </c>
      <c r="D202" s="255">
        <v>1471.3</v>
      </c>
      <c r="E202" s="255">
        <v>0</v>
      </c>
      <c r="F202" s="255">
        <v>6470.2</v>
      </c>
      <c r="G202" s="255">
        <v>0</v>
      </c>
      <c r="H202" s="255">
        <v>36</v>
      </c>
      <c r="I202" s="255">
        <v>104</v>
      </c>
      <c r="J202" s="255">
        <v>0</v>
      </c>
      <c r="K202" s="255">
        <v>1183.9000000000001</v>
      </c>
      <c r="L202" s="255">
        <v>5896.4</v>
      </c>
      <c r="M202" s="255">
        <v>681</v>
      </c>
      <c r="O202" s="248">
        <f t="shared" si="7"/>
        <v>18278.399999999998</v>
      </c>
    </row>
    <row r="203" spans="1:15">
      <c r="A203" s="254" t="s">
        <v>598</v>
      </c>
      <c r="B203" s="255">
        <v>3181.38</v>
      </c>
      <c r="C203" s="255">
        <v>228</v>
      </c>
      <c r="D203" s="255">
        <v>0</v>
      </c>
      <c r="E203" s="255">
        <v>1371.92</v>
      </c>
      <c r="F203" s="255">
        <v>228</v>
      </c>
      <c r="G203" s="255">
        <v>652.5</v>
      </c>
      <c r="H203" s="255">
        <v>1527.96</v>
      </c>
      <c r="I203" s="255">
        <v>382</v>
      </c>
      <c r="J203" s="255">
        <v>282.5</v>
      </c>
      <c r="K203" s="255">
        <v>1379.1</v>
      </c>
      <c r="L203" s="255">
        <v>535</v>
      </c>
      <c r="M203" s="255">
        <v>372</v>
      </c>
      <c r="O203" s="248">
        <f t="shared" si="7"/>
        <v>10140.36</v>
      </c>
    </row>
    <row r="204" spans="1:15">
      <c r="A204" s="254" t="s">
        <v>599</v>
      </c>
      <c r="B204" s="255">
        <v>227.5</v>
      </c>
      <c r="C204" s="255">
        <v>56</v>
      </c>
      <c r="D204" s="255">
        <v>2000</v>
      </c>
      <c r="E204" s="255">
        <v>168</v>
      </c>
      <c r="F204" s="255">
        <v>112</v>
      </c>
      <c r="G204" s="255">
        <v>35</v>
      </c>
      <c r="H204" s="255">
        <v>7055</v>
      </c>
      <c r="I204" s="255">
        <v>0</v>
      </c>
      <c r="J204" s="255">
        <v>0</v>
      </c>
      <c r="K204" s="255">
        <v>102.26</v>
      </c>
      <c r="L204" s="255">
        <v>0</v>
      </c>
      <c r="M204" s="255">
        <v>0</v>
      </c>
      <c r="O204" s="248">
        <f t="shared" si="7"/>
        <v>9755.76</v>
      </c>
    </row>
    <row r="205" spans="1:15">
      <c r="A205" s="254" t="s">
        <v>600</v>
      </c>
      <c r="B205" s="255">
        <v>1800</v>
      </c>
      <c r="C205" s="255">
        <v>1550</v>
      </c>
      <c r="D205" s="255">
        <v>1550</v>
      </c>
      <c r="E205" s="255">
        <v>1550</v>
      </c>
      <c r="F205" s="255">
        <v>2275</v>
      </c>
      <c r="G205" s="255">
        <v>1750</v>
      </c>
      <c r="H205" s="255">
        <v>2015</v>
      </c>
      <c r="I205" s="255">
        <v>450</v>
      </c>
      <c r="J205" s="255">
        <v>2650</v>
      </c>
      <c r="K205" s="255">
        <v>1550</v>
      </c>
      <c r="L205" s="255">
        <v>1750</v>
      </c>
      <c r="M205" s="255">
        <v>-3750</v>
      </c>
      <c r="O205" s="248">
        <f t="shared" si="7"/>
        <v>15140</v>
      </c>
    </row>
    <row r="206" spans="1:15">
      <c r="A206" s="254" t="s">
        <v>601</v>
      </c>
      <c r="B206" s="255">
        <v>345.99</v>
      </c>
      <c r="C206" s="255">
        <v>406.7</v>
      </c>
      <c r="D206" s="255">
        <v>185.03</v>
      </c>
      <c r="E206" s="255">
        <v>202.13</v>
      </c>
      <c r="F206" s="255">
        <v>318.54000000000002</v>
      </c>
      <c r="G206" s="255">
        <v>6.32</v>
      </c>
      <c r="H206" s="255">
        <v>6.32</v>
      </c>
      <c r="I206" s="255">
        <v>920.33</v>
      </c>
      <c r="J206" s="255">
        <v>1282</v>
      </c>
      <c r="K206" s="255">
        <v>213.34</v>
      </c>
      <c r="L206" s="255">
        <v>1092.75</v>
      </c>
      <c r="M206" s="255">
        <v>59.03</v>
      </c>
      <c r="O206" s="248">
        <f t="shared" si="7"/>
        <v>5038.4799999999996</v>
      </c>
    </row>
    <row r="207" spans="1:15">
      <c r="A207" s="254" t="s">
        <v>602</v>
      </c>
      <c r="B207" s="255">
        <v>90.63</v>
      </c>
      <c r="C207" s="255">
        <v>94.43</v>
      </c>
      <c r="D207" s="255">
        <v>0</v>
      </c>
      <c r="E207" s="255">
        <v>0</v>
      </c>
      <c r="F207" s="255">
        <v>211.95</v>
      </c>
      <c r="G207" s="255">
        <v>84.31</v>
      </c>
      <c r="H207" s="255">
        <v>84.31</v>
      </c>
      <c r="I207" s="255">
        <v>220.53</v>
      </c>
      <c r="J207" s="255">
        <v>381.37</v>
      </c>
      <c r="K207" s="255">
        <v>78.89</v>
      </c>
      <c r="L207" s="255">
        <v>0</v>
      </c>
      <c r="M207" s="255">
        <v>167.64</v>
      </c>
      <c r="O207" s="248">
        <f t="shared" si="7"/>
        <v>1414.06</v>
      </c>
    </row>
    <row r="208" spans="1:15">
      <c r="A208" s="254" t="s">
        <v>603</v>
      </c>
      <c r="B208" s="255">
        <v>-291415.05</v>
      </c>
      <c r="C208" s="255">
        <v>0</v>
      </c>
      <c r="D208" s="255">
        <v>0</v>
      </c>
      <c r="E208" s="255">
        <v>0</v>
      </c>
      <c r="F208" s="255">
        <v>0</v>
      </c>
      <c r="G208" s="255">
        <v>0</v>
      </c>
      <c r="H208" s="255">
        <v>0</v>
      </c>
      <c r="I208" s="255">
        <v>0</v>
      </c>
      <c r="J208" s="255">
        <v>0</v>
      </c>
      <c r="K208" s="255">
        <v>0</v>
      </c>
      <c r="L208" s="255">
        <v>0</v>
      </c>
      <c r="M208" s="255">
        <v>216827.27</v>
      </c>
      <c r="O208" s="248">
        <f t="shared" si="7"/>
        <v>-74587.78</v>
      </c>
    </row>
    <row r="209" spans="1:16">
      <c r="A209" s="254" t="s">
        <v>604</v>
      </c>
      <c r="B209" s="255">
        <v>-184.58</v>
      </c>
      <c r="C209" s="255">
        <v>-233.64</v>
      </c>
      <c r="D209" s="255">
        <v>-71.3</v>
      </c>
      <c r="E209" s="255">
        <v>-223.59</v>
      </c>
      <c r="F209" s="255">
        <v>-135.22999999999999</v>
      </c>
      <c r="G209" s="255">
        <v>0</v>
      </c>
      <c r="H209" s="255">
        <v>-47.51</v>
      </c>
      <c r="I209" s="255">
        <v>-78.52</v>
      </c>
      <c r="J209" s="255">
        <v>-130.97</v>
      </c>
      <c r="K209" s="255">
        <v>-25.15</v>
      </c>
      <c r="L209" s="255">
        <v>-49.69</v>
      </c>
      <c r="M209" s="255">
        <v>-122.16</v>
      </c>
      <c r="O209" s="248">
        <f t="shared" si="7"/>
        <v>-1302.3400000000001</v>
      </c>
    </row>
    <row r="210" spans="1:16">
      <c r="A210" s="254" t="s">
        <v>605</v>
      </c>
      <c r="B210" s="255">
        <v>0</v>
      </c>
      <c r="C210" s="255">
        <v>0</v>
      </c>
      <c r="D210" s="255">
        <v>-146.15</v>
      </c>
      <c r="E210" s="255">
        <v>-98.24</v>
      </c>
      <c r="F210" s="255">
        <v>0</v>
      </c>
      <c r="G210" s="255">
        <v>0</v>
      </c>
      <c r="H210" s="255">
        <v>0</v>
      </c>
      <c r="I210" s="255">
        <v>-38.26</v>
      </c>
      <c r="J210" s="255">
        <v>0</v>
      </c>
      <c r="K210" s="255">
        <v>-22.26</v>
      </c>
      <c r="L210" s="255">
        <v>-28.24</v>
      </c>
      <c r="M210" s="255">
        <v>0</v>
      </c>
      <c r="O210" s="248">
        <f t="shared" si="7"/>
        <v>-333.15</v>
      </c>
    </row>
    <row r="211" spans="1:16">
      <c r="A211" s="254" t="s">
        <v>606</v>
      </c>
      <c r="B211" s="255">
        <v>4636.6899999999996</v>
      </c>
      <c r="C211" s="255">
        <v>5218.75</v>
      </c>
      <c r="D211" s="255">
        <v>4567.9399999999996</v>
      </c>
      <c r="E211" s="255">
        <v>5191.34</v>
      </c>
      <c r="F211" s="255">
        <v>5393.06</v>
      </c>
      <c r="G211" s="255">
        <v>5785.94</v>
      </c>
      <c r="H211" s="255">
        <v>5097.8999999999996</v>
      </c>
      <c r="I211" s="255">
        <v>6772.64</v>
      </c>
      <c r="J211" s="255">
        <v>4274.87</v>
      </c>
      <c r="K211" s="255">
        <v>5721.18</v>
      </c>
      <c r="L211" s="255">
        <v>6512.1</v>
      </c>
      <c r="M211" s="255">
        <v>5378.01</v>
      </c>
      <c r="O211" s="248">
        <f t="shared" si="7"/>
        <v>64550.42</v>
      </c>
    </row>
    <row r="212" spans="1:16">
      <c r="A212" s="254" t="s">
        <v>607</v>
      </c>
      <c r="B212" s="255">
        <v>0</v>
      </c>
      <c r="C212" s="255">
        <v>0</v>
      </c>
      <c r="D212" s="255">
        <v>0</v>
      </c>
      <c r="E212" s="255">
        <v>28213.08</v>
      </c>
      <c r="F212" s="255">
        <v>0</v>
      </c>
      <c r="G212" s="255">
        <v>0</v>
      </c>
      <c r="H212" s="255">
        <v>0</v>
      </c>
      <c r="I212" s="255">
        <v>0</v>
      </c>
      <c r="J212" s="255">
        <v>0</v>
      </c>
      <c r="K212" s="255">
        <v>0</v>
      </c>
      <c r="L212" s="255">
        <v>0</v>
      </c>
      <c r="M212" s="255">
        <v>0</v>
      </c>
      <c r="O212" s="248">
        <f t="shared" si="7"/>
        <v>28213.08</v>
      </c>
    </row>
    <row r="213" spans="1:16">
      <c r="A213" s="254" t="s">
        <v>608</v>
      </c>
      <c r="B213" s="255">
        <v>0</v>
      </c>
      <c r="C213" s="255">
        <v>125</v>
      </c>
      <c r="D213" s="255">
        <v>0</v>
      </c>
      <c r="E213" s="255">
        <v>350</v>
      </c>
      <c r="F213" s="255">
        <v>200</v>
      </c>
      <c r="G213" s="255">
        <v>0</v>
      </c>
      <c r="H213" s="255">
        <v>0</v>
      </c>
      <c r="I213" s="255">
        <v>0</v>
      </c>
      <c r="J213" s="255">
        <v>0</v>
      </c>
      <c r="K213" s="255">
        <v>0</v>
      </c>
      <c r="L213" s="255">
        <v>0</v>
      </c>
      <c r="M213" s="255">
        <v>0</v>
      </c>
      <c r="O213" s="248">
        <f t="shared" si="7"/>
        <v>675</v>
      </c>
    </row>
    <row r="214" spans="1:16">
      <c r="A214" s="254" t="s">
        <v>609</v>
      </c>
      <c r="B214" s="255">
        <v>0</v>
      </c>
      <c r="C214" s="255">
        <v>0</v>
      </c>
      <c r="D214" s="255">
        <v>0</v>
      </c>
      <c r="E214" s="255">
        <v>0</v>
      </c>
      <c r="F214" s="255">
        <v>0</v>
      </c>
      <c r="G214" s="255">
        <v>0</v>
      </c>
      <c r="H214" s="255">
        <v>0</v>
      </c>
      <c r="I214" s="255">
        <v>0</v>
      </c>
      <c r="J214" s="255">
        <v>0</v>
      </c>
      <c r="K214" s="255">
        <v>0</v>
      </c>
      <c r="L214" s="255">
        <v>0</v>
      </c>
      <c r="M214" s="255">
        <v>149273.60000000001</v>
      </c>
      <c r="O214" s="248">
        <f t="shared" si="7"/>
        <v>149273.60000000001</v>
      </c>
    </row>
    <row r="215" spans="1:16">
      <c r="A215" s="254" t="s">
        <v>610</v>
      </c>
      <c r="B215" s="255">
        <v>0</v>
      </c>
      <c r="C215" s="255">
        <v>0</v>
      </c>
      <c r="D215" s="255">
        <v>0</v>
      </c>
      <c r="E215" s="255">
        <v>0</v>
      </c>
      <c r="F215" s="255">
        <v>-0.45</v>
      </c>
      <c r="G215" s="255">
        <v>-0.01</v>
      </c>
      <c r="H215" s="255">
        <v>0.18</v>
      </c>
      <c r="I215" s="255">
        <v>-0.66</v>
      </c>
      <c r="J215" s="255">
        <v>0</v>
      </c>
      <c r="K215" s="255">
        <v>1</v>
      </c>
      <c r="L215" s="255">
        <v>-0.3</v>
      </c>
      <c r="M215" s="255">
        <v>-0.04</v>
      </c>
      <c r="O215" s="248">
        <f t="shared" si="7"/>
        <v>-0.28000000000000003</v>
      </c>
    </row>
    <row r="216" spans="1:16">
      <c r="A216" s="254" t="s">
        <v>611</v>
      </c>
      <c r="B216" s="255">
        <v>0</v>
      </c>
      <c r="C216" s="255">
        <v>0</v>
      </c>
      <c r="D216" s="255">
        <v>0</v>
      </c>
      <c r="E216" s="255">
        <v>0</v>
      </c>
      <c r="F216" s="255">
        <v>0</v>
      </c>
      <c r="G216" s="255">
        <v>0</v>
      </c>
      <c r="H216" s="255">
        <v>0</v>
      </c>
      <c r="I216" s="255">
        <v>0</v>
      </c>
      <c r="J216" s="255">
        <v>0</v>
      </c>
      <c r="K216" s="255">
        <v>0</v>
      </c>
      <c r="L216" s="255">
        <v>0</v>
      </c>
      <c r="M216" s="255">
        <v>10708.82</v>
      </c>
      <c r="O216" s="248">
        <f t="shared" si="7"/>
        <v>10708.82</v>
      </c>
    </row>
    <row r="217" spans="1:16">
      <c r="A217" s="254" t="s">
        <v>612</v>
      </c>
      <c r="B217" s="255">
        <v>0</v>
      </c>
      <c r="C217" s="255">
        <v>0</v>
      </c>
      <c r="D217" s="255">
        <v>0</v>
      </c>
      <c r="E217" s="255">
        <v>0</v>
      </c>
      <c r="F217" s="255">
        <v>0</v>
      </c>
      <c r="G217" s="255">
        <v>0</v>
      </c>
      <c r="H217" s="255">
        <v>0</v>
      </c>
      <c r="I217" s="255">
        <v>0</v>
      </c>
      <c r="J217" s="255">
        <v>0</v>
      </c>
      <c r="K217" s="255">
        <v>0</v>
      </c>
      <c r="L217" s="255">
        <v>0</v>
      </c>
      <c r="M217" s="255">
        <v>-4063.66</v>
      </c>
      <c r="O217" s="248">
        <f t="shared" si="7"/>
        <v>-4063.66</v>
      </c>
    </row>
    <row r="218" spans="1:16">
      <c r="A218" s="254" t="s">
        <v>613</v>
      </c>
      <c r="B218" s="268">
        <v>433.6</v>
      </c>
      <c r="C218" s="268">
        <v>2428.83</v>
      </c>
      <c r="D218" s="268">
        <v>0</v>
      </c>
      <c r="E218" s="268">
        <v>1115.8800000000001</v>
      </c>
      <c r="F218" s="268">
        <v>242.06</v>
      </c>
      <c r="G218" s="268">
        <v>2803.39</v>
      </c>
      <c r="H218" s="268">
        <v>300.97000000000003</v>
      </c>
      <c r="I218" s="268">
        <v>0</v>
      </c>
      <c r="J218" s="268">
        <v>311.20999999999998</v>
      </c>
      <c r="K218" s="268">
        <v>169.28</v>
      </c>
      <c r="L218" s="268">
        <v>0</v>
      </c>
      <c r="M218" s="268">
        <v>0</v>
      </c>
      <c r="O218" s="269">
        <f t="shared" si="7"/>
        <v>7805.22</v>
      </c>
    </row>
    <row r="219" spans="1:16">
      <c r="A219" s="253" t="s">
        <v>13</v>
      </c>
      <c r="B219" s="263">
        <f t="shared" ref="B219:L219" si="8">ROUND(SUBTOTAL(9, B106:B218), 5)</f>
        <v>319298.26</v>
      </c>
      <c r="C219" s="263">
        <f t="shared" si="8"/>
        <v>667404.78</v>
      </c>
      <c r="D219" s="263">
        <f t="shared" si="8"/>
        <v>971142.3</v>
      </c>
      <c r="E219" s="263">
        <f t="shared" si="8"/>
        <v>959779.28</v>
      </c>
      <c r="F219" s="263">
        <f t="shared" si="8"/>
        <v>827128.69</v>
      </c>
      <c r="G219" s="263">
        <f t="shared" si="8"/>
        <v>849616.28</v>
      </c>
      <c r="H219" s="263">
        <f t="shared" si="8"/>
        <v>854420.5</v>
      </c>
      <c r="I219" s="263">
        <f t="shared" si="8"/>
        <v>911217.3</v>
      </c>
      <c r="J219" s="263">
        <f t="shared" si="8"/>
        <v>898391.36</v>
      </c>
      <c r="K219" s="263">
        <f t="shared" si="8"/>
        <v>920098.1</v>
      </c>
      <c r="L219" s="263">
        <f t="shared" si="8"/>
        <v>1013732.02</v>
      </c>
      <c r="M219" s="263">
        <f>ROUND(SUBTOTAL(9, M106:M218), 5)</f>
        <v>2073648.93</v>
      </c>
      <c r="O219" s="263">
        <f>ROUND(SUBTOTAL(9, O106:O218), 5)</f>
        <v>11265877.800000001</v>
      </c>
    </row>
    <row r="220" spans="1:16">
      <c r="A220" s="254"/>
      <c r="B220" s="255"/>
      <c r="C220" s="255"/>
      <c r="D220" s="255"/>
      <c r="E220" s="255"/>
      <c r="F220" s="255"/>
      <c r="G220" s="255"/>
      <c r="H220" s="255"/>
      <c r="I220" s="255"/>
      <c r="J220" s="255"/>
      <c r="K220" s="255"/>
      <c r="L220" s="255"/>
      <c r="M220" s="255"/>
    </row>
    <row r="221" spans="1:16" ht="13.5" thickBot="1">
      <c r="A221" s="253" t="s">
        <v>101</v>
      </c>
      <c r="B221" s="264">
        <f>+B103-B219</f>
        <v>472334.85</v>
      </c>
      <c r="C221" s="264">
        <f t="shared" ref="C221:M221" si="9">+C103-C219</f>
        <v>115969.9099999998</v>
      </c>
      <c r="D221" s="264">
        <f t="shared" si="9"/>
        <v>-37059.010000000242</v>
      </c>
      <c r="E221" s="264">
        <f t="shared" si="9"/>
        <v>24291.829999999842</v>
      </c>
      <c r="F221" s="264">
        <f t="shared" si="9"/>
        <v>115307.73999999987</v>
      </c>
      <c r="G221" s="264">
        <f t="shared" si="9"/>
        <v>128253.98999999987</v>
      </c>
      <c r="H221" s="264">
        <f t="shared" si="9"/>
        <v>120754.66999999993</v>
      </c>
      <c r="I221" s="264">
        <f t="shared" si="9"/>
        <v>117263.23999999999</v>
      </c>
      <c r="J221" s="264">
        <f t="shared" si="9"/>
        <v>102912.89999999967</v>
      </c>
      <c r="K221" s="264">
        <f t="shared" si="9"/>
        <v>83592.509999999311</v>
      </c>
      <c r="L221" s="264">
        <f t="shared" si="9"/>
        <v>-23898.519999999902</v>
      </c>
      <c r="M221" s="264">
        <f t="shared" si="9"/>
        <v>-1133050.4699999997</v>
      </c>
      <c r="N221" s="264"/>
      <c r="O221" s="264">
        <f>+O103-O219</f>
        <v>86673.640000004321</v>
      </c>
      <c r="P221" s="249" t="s">
        <v>841</v>
      </c>
    </row>
    <row r="222" spans="1:16" ht="13.5" thickTop="1">
      <c r="A222" s="254"/>
      <c r="B222" s="255"/>
      <c r="C222" s="255"/>
      <c r="D222" s="255"/>
      <c r="E222" s="255"/>
      <c r="F222" s="255"/>
      <c r="G222" s="255"/>
      <c r="H222" s="255"/>
      <c r="I222" s="255"/>
      <c r="J222" s="255"/>
      <c r="K222" s="255"/>
      <c r="L222" s="255"/>
      <c r="M222" s="255"/>
    </row>
    <row r="223" spans="1:16">
      <c r="A223" s="254"/>
      <c r="B223" s="255"/>
      <c r="C223" s="255"/>
      <c r="D223" s="255"/>
      <c r="E223" s="255"/>
      <c r="F223" s="255"/>
      <c r="G223" s="255"/>
      <c r="H223" s="255"/>
      <c r="I223" s="255"/>
      <c r="J223" s="255"/>
      <c r="K223" s="255"/>
      <c r="L223" s="255"/>
      <c r="M223" s="255"/>
    </row>
    <row r="224" spans="1:16">
      <c r="A224" s="254"/>
      <c r="B224" s="255"/>
      <c r="C224" s="255"/>
      <c r="D224" s="255"/>
      <c r="E224" s="255"/>
      <c r="F224" s="255"/>
      <c r="G224" s="255"/>
      <c r="H224" s="255"/>
      <c r="I224" s="255"/>
      <c r="J224" s="255"/>
      <c r="K224" s="255"/>
      <c r="L224" s="255"/>
      <c r="M224" s="255"/>
    </row>
    <row r="225" spans="1:13">
      <c r="A225" s="254"/>
      <c r="B225" s="255"/>
      <c r="C225" s="255"/>
      <c r="D225" s="255"/>
      <c r="E225" s="255"/>
      <c r="F225" s="255"/>
      <c r="G225" s="255"/>
      <c r="H225" s="255"/>
      <c r="I225" s="255"/>
      <c r="J225" s="255"/>
      <c r="K225" s="255"/>
      <c r="L225" s="255"/>
      <c r="M225" s="255"/>
    </row>
    <row r="226" spans="1:13">
      <c r="A226" s="254"/>
      <c r="B226" s="255"/>
      <c r="C226" s="255"/>
      <c r="D226" s="255"/>
      <c r="E226" s="255"/>
      <c r="F226" s="255"/>
      <c r="G226" s="255"/>
      <c r="H226" s="255"/>
      <c r="I226" s="255"/>
      <c r="J226" s="255"/>
      <c r="K226" s="255"/>
      <c r="L226" s="255"/>
      <c r="M226" s="255"/>
    </row>
    <row r="227" spans="1:13">
      <c r="A227" s="254"/>
      <c r="B227" s="255"/>
      <c r="C227" s="255"/>
      <c r="D227" s="255"/>
      <c r="E227" s="255"/>
      <c r="F227" s="255"/>
      <c r="G227" s="255"/>
      <c r="H227" s="255"/>
      <c r="I227" s="255"/>
      <c r="J227" s="255"/>
      <c r="K227" s="255"/>
      <c r="L227" s="255"/>
      <c r="M227" s="255"/>
    </row>
    <row r="228" spans="1:13">
      <c r="A228" s="254"/>
      <c r="B228" s="255"/>
      <c r="C228" s="255"/>
      <c r="D228" s="255"/>
      <c r="E228" s="255"/>
      <c r="F228" s="255"/>
      <c r="G228" s="255"/>
      <c r="H228" s="255"/>
      <c r="I228" s="255"/>
      <c r="J228" s="255"/>
      <c r="K228" s="255"/>
      <c r="L228" s="255"/>
      <c r="M228" s="255"/>
    </row>
    <row r="229" spans="1:13">
      <c r="A229" s="254"/>
      <c r="B229" s="255"/>
      <c r="C229" s="255"/>
      <c r="D229" s="255"/>
      <c r="E229" s="255"/>
      <c r="F229" s="255"/>
      <c r="G229" s="255"/>
      <c r="H229" s="255"/>
      <c r="I229" s="255"/>
      <c r="J229" s="255"/>
      <c r="K229" s="255"/>
      <c r="L229" s="255"/>
      <c r="M229" s="255"/>
    </row>
    <row r="230" spans="1:13">
      <c r="A230" s="254"/>
      <c r="B230" s="255"/>
      <c r="C230" s="255"/>
      <c r="D230" s="255"/>
      <c r="E230" s="255"/>
      <c r="F230" s="255"/>
      <c r="G230" s="255"/>
      <c r="H230" s="255"/>
      <c r="I230" s="255"/>
      <c r="J230" s="255"/>
      <c r="K230" s="255"/>
      <c r="L230" s="255"/>
      <c r="M230" s="255"/>
    </row>
    <row r="231" spans="1:13">
      <c r="A231" s="254"/>
      <c r="B231" s="255"/>
      <c r="C231" s="255"/>
      <c r="D231" s="255"/>
      <c r="E231" s="255"/>
      <c r="F231" s="255"/>
      <c r="G231" s="255"/>
      <c r="H231" s="255"/>
      <c r="I231" s="255"/>
      <c r="J231" s="255"/>
      <c r="K231" s="255"/>
      <c r="L231" s="255"/>
      <c r="M231" s="255"/>
    </row>
    <row r="232" spans="1:13">
      <c r="A232" s="254"/>
      <c r="B232" s="255"/>
      <c r="C232" s="255"/>
      <c r="D232" s="255"/>
      <c r="E232" s="255"/>
      <c r="F232" s="255"/>
      <c r="G232" s="255"/>
      <c r="H232" s="255"/>
      <c r="I232" s="255"/>
      <c r="J232" s="255"/>
      <c r="K232" s="255"/>
      <c r="L232" s="255"/>
      <c r="M232" s="255"/>
    </row>
    <row r="233" spans="1:13">
      <c r="A233" s="254"/>
      <c r="B233" s="255"/>
      <c r="C233" s="255"/>
      <c r="D233" s="255"/>
      <c r="E233" s="255"/>
      <c r="F233" s="255"/>
      <c r="G233" s="255"/>
      <c r="H233" s="255"/>
      <c r="I233" s="255"/>
      <c r="J233" s="255"/>
      <c r="K233" s="255"/>
      <c r="L233" s="255"/>
      <c r="M233" s="255"/>
    </row>
    <row r="234" spans="1:13">
      <c r="A234" s="254"/>
      <c r="B234" s="255"/>
      <c r="C234" s="255"/>
      <c r="D234" s="255"/>
      <c r="E234" s="255"/>
      <c r="F234" s="255"/>
      <c r="G234" s="255"/>
      <c r="H234" s="255"/>
      <c r="I234" s="255"/>
      <c r="J234" s="255"/>
      <c r="K234" s="255"/>
      <c r="L234" s="255"/>
      <c r="M234" s="255"/>
    </row>
    <row r="235" spans="1:13">
      <c r="A235" s="254"/>
      <c r="B235" s="255"/>
      <c r="C235" s="255"/>
      <c r="D235" s="255"/>
      <c r="E235" s="255"/>
      <c r="F235" s="255"/>
      <c r="G235" s="255"/>
      <c r="H235" s="255"/>
      <c r="I235" s="255"/>
      <c r="J235" s="255"/>
      <c r="K235" s="255"/>
      <c r="L235" s="255"/>
      <c r="M235" s="255"/>
    </row>
    <row r="236" spans="1:13">
      <c r="A236" s="254"/>
      <c r="B236" s="255"/>
      <c r="C236" s="255"/>
      <c r="D236" s="255"/>
      <c r="E236" s="255"/>
      <c r="F236" s="255"/>
      <c r="G236" s="255"/>
      <c r="H236" s="255"/>
      <c r="I236" s="255"/>
      <c r="J236" s="255"/>
      <c r="K236" s="255"/>
      <c r="L236" s="255"/>
      <c r="M236" s="255"/>
    </row>
    <row r="237" spans="1:13">
      <c r="A237" s="254"/>
      <c r="B237" s="255"/>
      <c r="C237" s="255"/>
      <c r="D237" s="255"/>
      <c r="E237" s="255"/>
      <c r="F237" s="255"/>
      <c r="G237" s="255"/>
      <c r="H237" s="255"/>
      <c r="I237" s="255"/>
      <c r="J237" s="255"/>
      <c r="K237" s="255"/>
      <c r="L237" s="255"/>
      <c r="M237" s="255"/>
    </row>
    <row r="238" spans="1:13">
      <c r="A238" s="254"/>
      <c r="B238" s="255"/>
      <c r="C238" s="255"/>
      <c r="D238" s="255"/>
      <c r="E238" s="255"/>
      <c r="F238" s="255"/>
      <c r="G238" s="255"/>
      <c r="H238" s="255"/>
      <c r="I238" s="255"/>
      <c r="J238" s="255"/>
      <c r="K238" s="255"/>
      <c r="L238" s="255"/>
      <c r="M238" s="255"/>
    </row>
    <row r="239" spans="1:13">
      <c r="A239" s="254"/>
      <c r="B239" s="255"/>
      <c r="C239" s="255"/>
      <c r="D239" s="255"/>
      <c r="E239" s="255"/>
      <c r="F239" s="255"/>
      <c r="G239" s="255"/>
      <c r="H239" s="255"/>
      <c r="I239" s="255"/>
      <c r="J239" s="255"/>
      <c r="K239" s="255"/>
      <c r="L239" s="255"/>
      <c r="M239" s="255"/>
    </row>
    <row r="240" spans="1:13">
      <c r="A240" s="254"/>
      <c r="B240" s="255"/>
      <c r="C240" s="255"/>
      <c r="D240" s="255"/>
      <c r="E240" s="255"/>
      <c r="F240" s="255"/>
      <c r="G240" s="255"/>
      <c r="H240" s="255"/>
      <c r="I240" s="255"/>
      <c r="J240" s="255"/>
      <c r="K240" s="255"/>
      <c r="L240" s="255"/>
      <c r="M240" s="255"/>
    </row>
    <row r="241" spans="1:15">
      <c r="A241" s="254"/>
      <c r="B241" s="255"/>
      <c r="C241" s="255"/>
      <c r="D241" s="255"/>
      <c r="E241" s="255"/>
      <c r="F241" s="255"/>
      <c r="G241" s="255"/>
      <c r="H241" s="255"/>
      <c r="I241" s="255"/>
      <c r="J241" s="255"/>
      <c r="K241" s="255"/>
      <c r="L241" s="255"/>
      <c r="M241" s="255"/>
    </row>
    <row r="242" spans="1:15">
      <c r="A242" s="254"/>
      <c r="B242" s="255"/>
      <c r="C242" s="255"/>
      <c r="D242" s="255"/>
      <c r="E242" s="255"/>
      <c r="F242" s="255"/>
      <c r="G242" s="255"/>
      <c r="H242" s="255"/>
      <c r="I242" s="255"/>
      <c r="J242" s="255"/>
      <c r="K242" s="255"/>
      <c r="L242" s="255"/>
      <c r="M242" s="255"/>
    </row>
    <row r="243" spans="1:15">
      <c r="A243" s="254"/>
      <c r="B243" s="255"/>
      <c r="C243" s="255"/>
      <c r="D243" s="255"/>
      <c r="E243" s="255"/>
      <c r="F243" s="255"/>
      <c r="G243" s="255"/>
      <c r="H243" s="255"/>
      <c r="I243" s="255"/>
      <c r="J243" s="255"/>
      <c r="K243" s="255"/>
      <c r="L243" s="255"/>
      <c r="M243" s="255"/>
    </row>
    <row r="244" spans="1:15">
      <c r="A244" s="254"/>
      <c r="B244" s="255"/>
      <c r="C244" s="255"/>
      <c r="D244" s="255"/>
      <c r="E244" s="255"/>
      <c r="F244" s="255"/>
      <c r="G244" s="255"/>
      <c r="H244" s="255"/>
      <c r="I244" s="255"/>
      <c r="J244" s="255"/>
      <c r="K244" s="255"/>
      <c r="L244" s="255"/>
      <c r="M244" s="255"/>
    </row>
    <row r="245" spans="1:15">
      <c r="A245" s="254"/>
      <c r="B245" s="255"/>
      <c r="C245" s="255"/>
      <c r="D245" s="255"/>
      <c r="E245" s="255"/>
      <c r="F245" s="255"/>
      <c r="G245" s="255"/>
      <c r="H245" s="255"/>
      <c r="I245" s="255"/>
      <c r="J245" s="255"/>
      <c r="K245" s="255"/>
      <c r="L245" s="255"/>
      <c r="M245" s="255"/>
    </row>
    <row r="246" spans="1:15">
      <c r="A246" s="254"/>
      <c r="B246" s="255"/>
      <c r="C246" s="255"/>
      <c r="D246" s="255"/>
      <c r="E246" s="255"/>
      <c r="F246" s="255"/>
      <c r="G246" s="255"/>
      <c r="H246" s="255"/>
      <c r="I246" s="255"/>
      <c r="J246" s="255"/>
      <c r="K246" s="255"/>
      <c r="L246" s="255"/>
      <c r="M246" s="255"/>
    </row>
    <row r="247" spans="1:15">
      <c r="O247" s="265"/>
    </row>
    <row r="248" spans="1:15">
      <c r="O248" s="265"/>
    </row>
    <row r="283" spans="1:16" s="258" customFormat="1">
      <c r="A283" s="249"/>
      <c r="B283" s="248"/>
      <c r="C283" s="248"/>
      <c r="D283" s="248"/>
      <c r="E283" s="248"/>
      <c r="F283" s="248"/>
      <c r="G283" s="248"/>
      <c r="H283" s="248"/>
      <c r="I283" s="248"/>
      <c r="J283" s="248"/>
      <c r="K283" s="248"/>
      <c r="L283" s="248"/>
      <c r="M283" s="248"/>
      <c r="N283" s="248"/>
      <c r="O283" s="248"/>
    </row>
    <row r="285" spans="1:16" s="258" customFormat="1">
      <c r="A285" s="249"/>
      <c r="B285" s="248"/>
      <c r="C285" s="248"/>
      <c r="D285" s="248"/>
      <c r="E285" s="248"/>
      <c r="F285" s="248"/>
      <c r="G285" s="248"/>
      <c r="H285" s="248"/>
      <c r="I285" s="248"/>
      <c r="J285" s="248"/>
      <c r="K285" s="248"/>
      <c r="L285" s="248"/>
      <c r="M285" s="248"/>
      <c r="N285" s="248"/>
      <c r="O285" s="248"/>
    </row>
    <row r="286" spans="1:16">
      <c r="P286" s="266"/>
    </row>
    <row r="288" spans="1:16">
      <c r="P288" s="267"/>
    </row>
    <row r="289" spans="16:16">
      <c r="P289" s="267"/>
    </row>
    <row r="290" spans="16:16">
      <c r="P290" s="267"/>
    </row>
    <row r="291" spans="16:16">
      <c r="P291" s="267"/>
    </row>
    <row r="292" spans="16:16">
      <c r="P292" s="267"/>
    </row>
    <row r="293" spans="16:16">
      <c r="P293" s="266"/>
    </row>
  </sheetData>
  <printOptions horizontalCentered="1"/>
  <pageMargins left="0.5" right="0.5" top="0.27" bottom="0.5" header="0.22" footer="0.26"/>
  <pageSetup scale="34" fitToHeight="3" orientation="landscape" horizontalDpi="300" verticalDpi="300" r:id="rId1"/>
  <headerFooter alignWithMargins="0"/>
  <rowBreaks count="1" manualBreakCount="1">
    <brk id="97" max="17"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O94"/>
  <sheetViews>
    <sheetView view="pageBreakPreview" zoomScale="60" zoomScaleNormal="100" workbookViewId="0">
      <selection activeCell="O83" sqref="O83"/>
    </sheetView>
  </sheetViews>
  <sheetFormatPr defaultRowHeight="15"/>
  <cols>
    <col min="1" max="1" width="2.21875" style="18" bestFit="1" customWidth="1"/>
    <col min="2" max="2" width="40.88671875" customWidth="1"/>
    <col min="3" max="5" width="20.88671875" customWidth="1"/>
    <col min="6" max="6" width="12.88671875" style="18" customWidth="1"/>
    <col min="7" max="7" width="12.88671875" customWidth="1"/>
    <col min="8" max="8" width="10.109375" style="18" bestFit="1" customWidth="1"/>
    <col min="9" max="9" width="20.88671875" customWidth="1"/>
    <col min="10" max="10" width="12.88671875" customWidth="1"/>
    <col min="11" max="11" width="5.88671875" style="18" customWidth="1"/>
    <col min="12" max="12" width="20.88671875" customWidth="1"/>
    <col min="14" max="14" width="13.21875" style="525" bestFit="1" customWidth="1"/>
    <col min="15" max="15" width="18.109375" style="525" bestFit="1" customWidth="1"/>
  </cols>
  <sheetData>
    <row r="1" spans="1:15" ht="16.5">
      <c r="B1" s="819" t="s">
        <v>664</v>
      </c>
      <c r="C1" s="819"/>
      <c r="D1" s="819"/>
      <c r="E1" s="819"/>
      <c r="F1" s="819"/>
      <c r="G1" s="819"/>
      <c r="H1" s="819"/>
      <c r="I1" s="819"/>
      <c r="J1" s="819"/>
      <c r="K1" s="819"/>
      <c r="L1" s="819"/>
    </row>
    <row r="2" spans="1:15" ht="16.5">
      <c r="B2" s="12"/>
      <c r="C2" s="6"/>
      <c r="D2" s="6"/>
      <c r="E2" s="6"/>
      <c r="F2" s="23"/>
      <c r="G2" s="6"/>
      <c r="H2" s="23"/>
      <c r="I2" s="6"/>
      <c r="J2" s="6"/>
      <c r="K2" s="23"/>
    </row>
    <row r="3" spans="1:15" ht="16.5">
      <c r="B3" s="819" t="s">
        <v>199</v>
      </c>
      <c r="C3" s="819"/>
      <c r="D3" s="819"/>
      <c r="E3" s="819"/>
      <c r="F3" s="819"/>
      <c r="G3" s="819"/>
      <c r="H3" s="819"/>
      <c r="I3" s="819"/>
      <c r="J3" s="819"/>
      <c r="K3" s="819"/>
      <c r="L3" s="819"/>
    </row>
    <row r="4" spans="1:15" ht="16.5">
      <c r="B4" s="7"/>
      <c r="C4" s="7"/>
      <c r="D4" s="7"/>
      <c r="E4" s="7"/>
      <c r="F4" s="24"/>
      <c r="G4" s="7"/>
      <c r="H4" s="24"/>
      <c r="I4" s="7"/>
      <c r="J4" s="7"/>
      <c r="K4" s="24"/>
      <c r="L4" s="7"/>
    </row>
    <row r="5" spans="1:15" ht="16.5">
      <c r="B5" s="828" t="str">
        <f>'Fly Sheet'!$A$20</f>
        <v>For the Twelve Months Ended December 31, 2021 Historical and March 31, 2024 Forecasted</v>
      </c>
      <c r="C5" s="828"/>
      <c r="D5" s="828"/>
      <c r="E5" s="828"/>
      <c r="F5" s="828"/>
      <c r="G5" s="828"/>
      <c r="H5" s="828"/>
      <c r="I5" s="828"/>
      <c r="J5" s="828"/>
      <c r="K5" s="828"/>
      <c r="L5" s="828"/>
    </row>
    <row r="6" spans="1:15" ht="15.75">
      <c r="B6" s="829"/>
      <c r="C6" s="829"/>
      <c r="D6" s="829"/>
      <c r="E6" s="829"/>
      <c r="F6" s="829"/>
      <c r="G6" s="829"/>
      <c r="H6" s="829"/>
      <c r="I6" s="829"/>
      <c r="J6" s="829"/>
      <c r="K6" s="829"/>
      <c r="L6" s="829"/>
    </row>
    <row r="7" spans="1:15" ht="15.75">
      <c r="B7" s="4"/>
      <c r="C7" s="4"/>
      <c r="D7" s="4"/>
      <c r="E7" s="4"/>
      <c r="F7" s="4"/>
      <c r="G7" s="4"/>
      <c r="H7" s="4"/>
      <c r="I7" s="4"/>
      <c r="J7" s="4"/>
      <c r="K7" s="4"/>
      <c r="L7" s="814"/>
    </row>
    <row r="8" spans="1:15" ht="15.75">
      <c r="C8" s="17" t="s">
        <v>112</v>
      </c>
      <c r="D8" s="17"/>
      <c r="E8" s="17"/>
      <c r="F8" s="17" t="s">
        <v>34</v>
      </c>
      <c r="G8" s="17" t="s">
        <v>21</v>
      </c>
      <c r="I8" s="17" t="s">
        <v>113</v>
      </c>
      <c r="J8" s="17" t="s">
        <v>200</v>
      </c>
      <c r="L8" s="17" t="s">
        <v>200</v>
      </c>
      <c r="N8" s="815" t="s">
        <v>1195</v>
      </c>
    </row>
    <row r="9" spans="1:15" ht="15.75">
      <c r="C9" s="17" t="s">
        <v>185</v>
      </c>
      <c r="D9" s="17" t="s">
        <v>1044</v>
      </c>
      <c r="E9" s="17" t="s">
        <v>1045</v>
      </c>
      <c r="F9" s="17" t="s">
        <v>16</v>
      </c>
      <c r="G9" s="17" t="s">
        <v>16</v>
      </c>
      <c r="I9" s="17" t="s">
        <v>185</v>
      </c>
      <c r="J9" s="17" t="s">
        <v>16</v>
      </c>
      <c r="L9" s="17" t="s">
        <v>187</v>
      </c>
      <c r="N9" s="815" t="s">
        <v>4</v>
      </c>
      <c r="O9" s="526"/>
    </row>
    <row r="10" spans="1:15" ht="15.75">
      <c r="C10" s="17" t="s">
        <v>186</v>
      </c>
      <c r="D10" s="17"/>
      <c r="E10" s="17"/>
      <c r="F10" s="31"/>
      <c r="G10" s="17"/>
      <c r="H10" s="25" t="s">
        <v>188</v>
      </c>
      <c r="I10" s="17" t="s">
        <v>186</v>
      </c>
      <c r="J10" s="17"/>
      <c r="K10" s="25" t="s">
        <v>188</v>
      </c>
      <c r="L10" s="17" t="s">
        <v>186</v>
      </c>
    </row>
    <row r="11" spans="1:15">
      <c r="B11" s="11" t="s">
        <v>27</v>
      </c>
      <c r="F11" s="29"/>
    </row>
    <row r="12" spans="1:15" ht="15.75">
      <c r="A12" s="18">
        <v>1</v>
      </c>
      <c r="B12" s="9" t="s">
        <v>773</v>
      </c>
      <c r="C12" s="29">
        <f>+'Sch 4 - 12 Months'!O12</f>
        <v>2805579.18</v>
      </c>
      <c r="D12" s="29"/>
      <c r="E12" s="29">
        <f>+C12-D12</f>
        <v>2805579.18</v>
      </c>
      <c r="F12" s="29"/>
      <c r="G12" s="32"/>
      <c r="H12" s="28"/>
      <c r="I12" s="32">
        <f>E12+G12+F12</f>
        <v>2805579.18</v>
      </c>
      <c r="J12" s="32"/>
      <c r="K12" s="28"/>
      <c r="L12" s="32">
        <f>I12+J12</f>
        <v>2805579.18</v>
      </c>
      <c r="N12" s="816">
        <f>+L12*1.19</f>
        <v>3338639.2242000001</v>
      </c>
    </row>
    <row r="13" spans="1:15" ht="15.75">
      <c r="A13" s="18">
        <v>2</v>
      </c>
      <c r="B13" s="9" t="s">
        <v>774</v>
      </c>
      <c r="C13" s="29">
        <f>+'Sch 4 - 12 Months'!O13</f>
        <v>1140237.23</v>
      </c>
      <c r="D13" s="29">
        <f>+C13</f>
        <v>1140237.23</v>
      </c>
      <c r="E13" s="29">
        <f t="shared" ref="E13:E24" si="0">+C13-D13</f>
        <v>0</v>
      </c>
      <c r="F13" s="29"/>
      <c r="G13" s="32"/>
      <c r="H13" s="28"/>
      <c r="I13" s="32">
        <f t="shared" ref="I13:I24" si="1">E13+G13+F13</f>
        <v>0</v>
      </c>
      <c r="J13" s="32"/>
      <c r="K13" s="28"/>
      <c r="L13" s="32">
        <f t="shared" ref="L13:L24" si="2">I13+J13</f>
        <v>0</v>
      </c>
      <c r="N13" s="816"/>
    </row>
    <row r="14" spans="1:15" ht="15.75">
      <c r="A14" s="18">
        <v>3</v>
      </c>
      <c r="B14" s="9" t="s">
        <v>775</v>
      </c>
      <c r="C14" s="29">
        <f>+'Sch 4 - 12 Months'!O14</f>
        <v>1840850.13</v>
      </c>
      <c r="D14" s="29"/>
      <c r="E14" s="29">
        <f t="shared" si="0"/>
        <v>1840850.13</v>
      </c>
      <c r="F14" s="29"/>
      <c r="G14" s="32"/>
      <c r="H14" s="28"/>
      <c r="I14" s="32">
        <f t="shared" si="1"/>
        <v>1840850.13</v>
      </c>
      <c r="J14" s="32"/>
      <c r="K14" s="28"/>
      <c r="L14" s="32">
        <f t="shared" si="2"/>
        <v>1840850.13</v>
      </c>
      <c r="N14" s="816">
        <f>+L14*1.19</f>
        <v>2190611.6546999998</v>
      </c>
    </row>
    <row r="15" spans="1:15" ht="15.75">
      <c r="A15" s="18">
        <v>4</v>
      </c>
      <c r="B15" s="9" t="s">
        <v>776</v>
      </c>
      <c r="C15" s="29">
        <f>+'Sch 4 - 12 Months'!O15</f>
        <v>1312485.7200000002</v>
      </c>
      <c r="D15" s="29">
        <f>+C15</f>
        <v>1312485.7200000002</v>
      </c>
      <c r="E15" s="29">
        <f t="shared" si="0"/>
        <v>0</v>
      </c>
      <c r="F15" s="29"/>
      <c r="G15" s="32"/>
      <c r="H15" s="28"/>
      <c r="I15" s="32">
        <f t="shared" si="1"/>
        <v>0</v>
      </c>
      <c r="J15" s="32"/>
      <c r="K15" s="28"/>
      <c r="L15" s="32">
        <f t="shared" si="2"/>
        <v>0</v>
      </c>
      <c r="N15" s="816"/>
    </row>
    <row r="16" spans="1:15" ht="15.75">
      <c r="A16" s="18">
        <v>5</v>
      </c>
      <c r="B16" s="9" t="s">
        <v>777</v>
      </c>
      <c r="C16" s="29">
        <f>+'Sch 4 - 12 Months'!O16</f>
        <v>724870.69000000006</v>
      </c>
      <c r="D16" s="29"/>
      <c r="E16" s="29">
        <f t="shared" si="0"/>
        <v>724870.69000000006</v>
      </c>
      <c r="F16" s="29"/>
      <c r="G16" s="32"/>
      <c r="H16" s="28"/>
      <c r="I16" s="32">
        <f t="shared" si="1"/>
        <v>724870.69000000006</v>
      </c>
      <c r="J16" s="32"/>
      <c r="K16" s="28"/>
      <c r="L16" s="32">
        <f t="shared" si="2"/>
        <v>724870.69000000006</v>
      </c>
      <c r="N16" s="816">
        <f>+L16*1.19</f>
        <v>862596.12109999999</v>
      </c>
    </row>
    <row r="17" spans="1:14" ht="15.75">
      <c r="A17" s="18">
        <v>6</v>
      </c>
      <c r="B17" s="9" t="s">
        <v>778</v>
      </c>
      <c r="C17" s="29">
        <f>+'Sch 4 - 12 Months'!O17</f>
        <v>695219.63000000012</v>
      </c>
      <c r="D17" s="29">
        <f>+C17</f>
        <v>695219.63000000012</v>
      </c>
      <c r="E17" s="29">
        <f t="shared" si="0"/>
        <v>0</v>
      </c>
      <c r="F17" s="29"/>
      <c r="G17" s="32"/>
      <c r="H17" s="28"/>
      <c r="I17" s="32">
        <f t="shared" si="1"/>
        <v>0</v>
      </c>
      <c r="J17" s="32"/>
      <c r="K17" s="28"/>
      <c r="L17" s="32">
        <f t="shared" si="2"/>
        <v>0</v>
      </c>
      <c r="N17" s="816"/>
    </row>
    <row r="18" spans="1:14" ht="15.75">
      <c r="A18" s="18">
        <v>7</v>
      </c>
      <c r="B18" s="9" t="s">
        <v>779</v>
      </c>
      <c r="C18" s="29">
        <f>+'Sch 4 - 12 Months'!O18</f>
        <v>591365.4</v>
      </c>
      <c r="D18" s="29"/>
      <c r="E18" s="29">
        <f t="shared" si="0"/>
        <v>591365.4</v>
      </c>
      <c r="F18" s="29"/>
      <c r="G18" s="32"/>
      <c r="H18" s="28"/>
      <c r="I18" s="32">
        <f t="shared" si="1"/>
        <v>591365.4</v>
      </c>
      <c r="J18" s="32">
        <f>+'Sch 2, pg 2 - Forecast'!H19</f>
        <v>47659.31458992805</v>
      </c>
      <c r="K18" s="28" t="s">
        <v>52</v>
      </c>
      <c r="L18" s="32">
        <f t="shared" si="2"/>
        <v>639024.71458992804</v>
      </c>
      <c r="N18" s="816">
        <f>+L18</f>
        <v>639024.71458992804</v>
      </c>
    </row>
    <row r="19" spans="1:14" ht="15.75">
      <c r="A19" s="18">
        <v>8</v>
      </c>
      <c r="B19" s="9" t="s">
        <v>1074</v>
      </c>
      <c r="C19" s="29">
        <f>+'Sch 4 - 12 Months'!O19</f>
        <v>1049839.29</v>
      </c>
      <c r="D19" s="29">
        <f>+C19</f>
        <v>1049839.29</v>
      </c>
      <c r="E19" s="29">
        <f t="shared" si="0"/>
        <v>0</v>
      </c>
      <c r="F19" s="29"/>
      <c r="G19" s="32"/>
      <c r="H19" s="28"/>
      <c r="I19" s="32">
        <f t="shared" si="1"/>
        <v>0</v>
      </c>
      <c r="J19" s="32"/>
      <c r="K19" s="28"/>
      <c r="L19" s="32">
        <f t="shared" si="2"/>
        <v>0</v>
      </c>
      <c r="N19" s="816"/>
    </row>
    <row r="20" spans="1:14" ht="15.75">
      <c r="A20" s="18">
        <v>9</v>
      </c>
      <c r="B20" s="9" t="s">
        <v>842</v>
      </c>
      <c r="C20" s="29">
        <f>+'Sch 4 - 12 Months'!O20</f>
        <v>419914.49</v>
      </c>
      <c r="D20" s="29">
        <f>+C20</f>
        <v>419914.49</v>
      </c>
      <c r="E20" s="29">
        <f t="shared" si="0"/>
        <v>0</v>
      </c>
      <c r="F20" s="29"/>
      <c r="G20" s="32"/>
      <c r="H20" s="28"/>
      <c r="I20" s="32">
        <f t="shared" si="1"/>
        <v>0</v>
      </c>
      <c r="J20" s="32"/>
      <c r="K20" s="28"/>
      <c r="L20" s="32">
        <f t="shared" si="2"/>
        <v>0</v>
      </c>
      <c r="N20" s="816"/>
    </row>
    <row r="21" spans="1:14" ht="15.75">
      <c r="A21" s="18">
        <v>10</v>
      </c>
      <c r="B21" s="9" t="s">
        <v>843</v>
      </c>
      <c r="C21" s="29">
        <f>+'Sch 4 - 12 Months'!O21</f>
        <v>716136.44</v>
      </c>
      <c r="D21" s="29">
        <f>+C21</f>
        <v>716136.44</v>
      </c>
      <c r="E21" s="29">
        <f t="shared" si="0"/>
        <v>0</v>
      </c>
      <c r="F21" s="29"/>
      <c r="G21" s="32"/>
      <c r="H21" s="28"/>
      <c r="I21" s="32">
        <f t="shared" si="1"/>
        <v>0</v>
      </c>
      <c r="J21" s="32"/>
      <c r="K21" s="28"/>
      <c r="L21" s="32">
        <f t="shared" si="2"/>
        <v>0</v>
      </c>
      <c r="N21" s="816"/>
    </row>
    <row r="22" spans="1:14" ht="15.75">
      <c r="A22" s="18">
        <v>11</v>
      </c>
      <c r="B22" s="9" t="s">
        <v>781</v>
      </c>
      <c r="C22" s="29">
        <f>+'Sch 4 - 12 Months'!O22</f>
        <v>40464.840000000004</v>
      </c>
      <c r="D22" s="29"/>
      <c r="E22" s="29">
        <f t="shared" si="0"/>
        <v>40464.840000000004</v>
      </c>
      <c r="F22" s="29"/>
      <c r="G22" s="32"/>
      <c r="H22" s="28"/>
      <c r="I22" s="32">
        <f t="shared" si="1"/>
        <v>40464.840000000004</v>
      </c>
      <c r="J22" s="32"/>
      <c r="K22" s="28"/>
      <c r="L22" s="32">
        <f t="shared" si="2"/>
        <v>40464.840000000004</v>
      </c>
      <c r="N22" s="816">
        <f>+L22</f>
        <v>40464.840000000004</v>
      </c>
    </row>
    <row r="23" spans="1:14" ht="15.75">
      <c r="A23" s="18">
        <v>12</v>
      </c>
      <c r="B23" s="9" t="s">
        <v>782</v>
      </c>
      <c r="C23" s="29">
        <f>+'Sch 4 - 12 Months'!O23</f>
        <v>10332.67</v>
      </c>
      <c r="D23" s="29"/>
      <c r="E23" s="29">
        <f t="shared" si="0"/>
        <v>10332.67</v>
      </c>
      <c r="F23" s="29"/>
      <c r="G23" s="32"/>
      <c r="H23" s="28"/>
      <c r="I23" s="32">
        <f t="shared" si="1"/>
        <v>10332.67</v>
      </c>
      <c r="J23" s="32"/>
      <c r="K23" s="28"/>
      <c r="L23" s="32">
        <f t="shared" si="2"/>
        <v>10332.67</v>
      </c>
      <c r="N23" s="816">
        <f>+L23</f>
        <v>10332.67</v>
      </c>
    </row>
    <row r="24" spans="1:14" ht="15.75">
      <c r="A24" s="18">
        <v>13</v>
      </c>
      <c r="B24" s="9" t="s">
        <v>783</v>
      </c>
      <c r="C24" s="29">
        <f>+'Sch 4 - 12 Months'!O24</f>
        <v>1255.73</v>
      </c>
      <c r="D24" s="29">
        <f>+C24</f>
        <v>1255.73</v>
      </c>
      <c r="E24" s="29">
        <f t="shared" si="0"/>
        <v>0</v>
      </c>
      <c r="F24" s="29"/>
      <c r="G24" s="32"/>
      <c r="H24" s="28"/>
      <c r="I24" s="32">
        <f t="shared" si="1"/>
        <v>0</v>
      </c>
      <c r="J24" s="32"/>
      <c r="K24" s="28"/>
      <c r="L24" s="32">
        <f t="shared" si="2"/>
        <v>0</v>
      </c>
      <c r="N24" s="816"/>
    </row>
    <row r="25" spans="1:14" ht="15.75">
      <c r="B25" s="9"/>
      <c r="C25" s="29"/>
      <c r="D25" s="29"/>
      <c r="E25" s="29"/>
      <c r="F25" s="28"/>
      <c r="G25" s="32"/>
      <c r="H25" s="28"/>
      <c r="I25" s="32"/>
      <c r="J25" s="32"/>
      <c r="K25" s="28"/>
      <c r="L25" s="32"/>
    </row>
    <row r="26" spans="1:14" ht="15.75">
      <c r="B26" s="20" t="s">
        <v>189</v>
      </c>
      <c r="C26" s="30">
        <f>SUM(C12:C24)</f>
        <v>11348551.439999999</v>
      </c>
      <c r="D26" s="30">
        <f>SUM(D12:D24)</f>
        <v>5335088.5300000012</v>
      </c>
      <c r="E26" s="30">
        <f>SUM(E12:E24)</f>
        <v>6013462.9100000011</v>
      </c>
      <c r="F26" s="30">
        <f t="shared" ref="F26:G26" si="3">SUM(F12:F24)</f>
        <v>0</v>
      </c>
      <c r="G26" s="30">
        <f t="shared" si="3"/>
        <v>0</v>
      </c>
      <c r="H26" s="34"/>
      <c r="I26" s="30">
        <f>SUM(I12:I24)</f>
        <v>6013462.9100000011</v>
      </c>
      <c r="J26" s="30">
        <f>SUM(J12:J24)</f>
        <v>47659.31458992805</v>
      </c>
      <c r="K26" s="34"/>
      <c r="L26" s="30">
        <f>SUM(L12:L24)</f>
        <v>6061122.224589929</v>
      </c>
      <c r="N26" s="30">
        <f>SUM(N12:N24)</f>
        <v>7081669.2245899281</v>
      </c>
    </row>
    <row r="27" spans="1:14">
      <c r="B27" s="27" t="s">
        <v>196</v>
      </c>
      <c r="C27" s="19">
        <f>SUM(C12:C24)</f>
        <v>11348551.439999999</v>
      </c>
      <c r="D27" s="19"/>
      <c r="E27" s="19">
        <f ca="1">+'LG Nonpublic 2018 V5.0c'!M21</f>
        <v>1322458.4779412628</v>
      </c>
      <c r="F27" s="28"/>
      <c r="H27" s="28"/>
      <c r="I27" s="32"/>
      <c r="J27" s="32"/>
      <c r="K27" s="28"/>
      <c r="L27" s="32"/>
    </row>
    <row r="28" spans="1:14" ht="15.75">
      <c r="B28" s="8"/>
      <c r="C28" s="19"/>
      <c r="D28" s="19"/>
      <c r="E28" s="703">
        <f ca="1">+E27/E26</f>
        <v>0.21991629411101873</v>
      </c>
      <c r="F28" s="28"/>
      <c r="H28" s="28"/>
      <c r="I28" s="32"/>
      <c r="J28" s="32"/>
      <c r="K28" s="28"/>
      <c r="L28" s="32"/>
    </row>
    <row r="29" spans="1:14">
      <c r="B29" s="11" t="s">
        <v>14</v>
      </c>
      <c r="C29" s="19"/>
      <c r="D29" s="19"/>
      <c r="E29" s="19"/>
      <c r="F29" s="28"/>
      <c r="G29" s="32"/>
      <c r="H29" s="28"/>
      <c r="I29" s="32"/>
      <c r="J29" s="32"/>
      <c r="K29" s="28"/>
      <c r="L29" s="32"/>
    </row>
    <row r="30" spans="1:14" ht="15.75">
      <c r="A30" s="18">
        <v>14</v>
      </c>
      <c r="B30" s="9" t="s">
        <v>789</v>
      </c>
      <c r="C30" s="29">
        <f>+'Sch 4 - 12 Months'!O28</f>
        <v>2644762.48</v>
      </c>
      <c r="D30" s="29">
        <f>+'WP-11, pg 2 Non-Regulated'!F6</f>
        <v>1287190.5919814131</v>
      </c>
      <c r="E30" s="29">
        <f t="shared" ref="E30:E79" si="4">+C30-D30</f>
        <v>1357571.8880185869</v>
      </c>
      <c r="F30" s="36">
        <f>+'Sch 3, pg 2 - Reclass'!B31</f>
        <v>-1357571.8880185869</v>
      </c>
      <c r="H30" s="28" t="s">
        <v>55</v>
      </c>
      <c r="I30" s="32">
        <f t="shared" ref="I30:I79" si="5">E30+G30+F30</f>
        <v>0</v>
      </c>
      <c r="J30" s="36"/>
      <c r="K30" s="28"/>
      <c r="L30" s="32">
        <f>I30+J30</f>
        <v>0</v>
      </c>
      <c r="N30" s="527"/>
    </row>
    <row r="31" spans="1:14" ht="15.75">
      <c r="A31" s="18">
        <v>15</v>
      </c>
      <c r="B31" s="9" t="s">
        <v>869</v>
      </c>
      <c r="C31" s="29">
        <v>0</v>
      </c>
      <c r="D31" s="29">
        <f>+'WP-11, pg 2 Non-Regulated'!F7</f>
        <v>0</v>
      </c>
      <c r="E31" s="29">
        <f t="shared" si="4"/>
        <v>0</v>
      </c>
      <c r="F31" s="36">
        <f>+'Sch 3, pg 2 - Reclass'!B32</f>
        <v>641259.63478344202</v>
      </c>
      <c r="H31" s="28" t="s">
        <v>55</v>
      </c>
      <c r="I31" s="32">
        <f t="shared" si="5"/>
        <v>641259.63478344202</v>
      </c>
      <c r="J31" s="36">
        <f>+'Sch 2, pg 2 - Forecast'!L32</f>
        <v>80703.004197731876</v>
      </c>
      <c r="K31" s="28" t="s">
        <v>51</v>
      </c>
      <c r="L31" s="32">
        <f t="shared" ref="L31:L34" si="6">I31+J31</f>
        <v>721962.63898117386</v>
      </c>
      <c r="N31" s="817">
        <f>+L31</f>
        <v>721962.63898117386</v>
      </c>
    </row>
    <row r="32" spans="1:14" ht="15.75">
      <c r="A32" s="18">
        <v>16</v>
      </c>
      <c r="B32" s="9" t="s">
        <v>870</v>
      </c>
      <c r="C32" s="29">
        <v>0</v>
      </c>
      <c r="D32" s="29">
        <f>+'WP-11, pg 2 Non-Regulated'!F8</f>
        <v>0</v>
      </c>
      <c r="E32" s="29">
        <f t="shared" si="4"/>
        <v>0</v>
      </c>
      <c r="F32" s="36">
        <f>+'Sch 3, pg 2 - Reclass'!B33</f>
        <v>129778.42990296466</v>
      </c>
      <c r="H32" s="28" t="s">
        <v>55</v>
      </c>
      <c r="I32" s="32">
        <f t="shared" si="5"/>
        <v>129778.42990296466</v>
      </c>
      <c r="J32" s="36">
        <f>+'Sch 2, pg 2 - Forecast'!L33</f>
        <v>6023.5483165132337</v>
      </c>
      <c r="K32" s="28" t="s">
        <v>51</v>
      </c>
      <c r="L32" s="32">
        <f t="shared" si="6"/>
        <v>135801.9782194779</v>
      </c>
      <c r="N32" s="817">
        <f t="shared" ref="N32:N79" si="7">+L32</f>
        <v>135801.9782194779</v>
      </c>
    </row>
    <row r="33" spans="1:14" ht="15.75">
      <c r="A33" s="18">
        <v>17</v>
      </c>
      <c r="B33" s="9" t="s">
        <v>873</v>
      </c>
      <c r="C33" s="29">
        <v>0</v>
      </c>
      <c r="D33" s="29">
        <f>+'WP-11, pg 2 Non-Regulated'!F9</f>
        <v>0</v>
      </c>
      <c r="E33" s="29">
        <f t="shared" si="4"/>
        <v>0</v>
      </c>
      <c r="F33" s="36">
        <f>+'Sch 3, pg 2 - Reclass'!B34</f>
        <v>49067.245819390242</v>
      </c>
      <c r="H33" s="28" t="s">
        <v>55</v>
      </c>
      <c r="I33" s="32">
        <f t="shared" si="5"/>
        <v>49067.245819390242</v>
      </c>
      <c r="J33" s="36">
        <f>+'Sch 2, pg 2 - Forecast'!L34</f>
        <v>2792.885678745376</v>
      </c>
      <c r="K33" s="28" t="s">
        <v>51</v>
      </c>
      <c r="L33" s="32">
        <f t="shared" si="6"/>
        <v>51860.131498135619</v>
      </c>
      <c r="N33" s="817">
        <f t="shared" si="7"/>
        <v>51860.131498135619</v>
      </c>
    </row>
    <row r="34" spans="1:14" ht="15.75">
      <c r="A34" s="18">
        <v>18</v>
      </c>
      <c r="B34" s="9" t="s">
        <v>871</v>
      </c>
      <c r="C34" s="29">
        <v>0</v>
      </c>
      <c r="D34" s="29">
        <f>+'WP-11, pg 2 Non-Regulated'!F10</f>
        <v>0</v>
      </c>
      <c r="E34" s="29">
        <f t="shared" si="4"/>
        <v>0</v>
      </c>
      <c r="F34" s="36">
        <f>+'Sch 3, pg 2 - Reclass'!B35</f>
        <v>399304.68</v>
      </c>
      <c r="H34" s="28" t="s">
        <v>55</v>
      </c>
      <c r="I34" s="32">
        <f t="shared" si="5"/>
        <v>399304.68</v>
      </c>
      <c r="J34" s="36">
        <f>+'Sch 2, pg 2 - Forecast'!L35</f>
        <v>29634.005706400028</v>
      </c>
      <c r="K34" s="28" t="s">
        <v>51</v>
      </c>
      <c r="L34" s="32">
        <f t="shared" si="6"/>
        <v>428938.68570640002</v>
      </c>
      <c r="N34" s="817">
        <f t="shared" si="7"/>
        <v>428938.68570640002</v>
      </c>
    </row>
    <row r="35" spans="1:14" ht="15.75">
      <c r="A35" s="18">
        <v>19</v>
      </c>
      <c r="B35" s="9" t="s">
        <v>872</v>
      </c>
      <c r="C35" s="29">
        <v>0</v>
      </c>
      <c r="D35" s="29">
        <f>+'WP-11, pg 2 Non-Regulated'!F11</f>
        <v>0</v>
      </c>
      <c r="E35" s="29">
        <f t="shared" si="4"/>
        <v>0</v>
      </c>
      <c r="F35" s="36">
        <f>+'Sch 3, pg 2 - Reclass'!B36</f>
        <v>68547.634318368029</v>
      </c>
      <c r="H35" s="28" t="s">
        <v>55</v>
      </c>
      <c r="I35" s="32">
        <f t="shared" si="5"/>
        <v>68547.634318368029</v>
      </c>
      <c r="J35" s="36">
        <f>+'Sch 2, pg 2 - Forecast'!L36</f>
        <v>4.8895364811348922E-2</v>
      </c>
      <c r="K35" s="28" t="s">
        <v>51</v>
      </c>
      <c r="L35" s="32">
        <f>I35+J35</f>
        <v>68547.683213732846</v>
      </c>
      <c r="N35" s="817">
        <f t="shared" si="7"/>
        <v>68547.683213732846</v>
      </c>
    </row>
    <row r="36" spans="1:14" ht="15.75">
      <c r="A36" s="18">
        <v>20</v>
      </c>
      <c r="B36" s="9" t="s">
        <v>1135</v>
      </c>
      <c r="C36" s="29">
        <v>0</v>
      </c>
      <c r="D36" s="29">
        <f>+'WP-11, pg 2 Non-Regulated'!F12</f>
        <v>0</v>
      </c>
      <c r="E36" s="29">
        <f t="shared" si="4"/>
        <v>0</v>
      </c>
      <c r="F36" s="36">
        <f>+'Sch 3, pg 2 - Reclass'!B37</f>
        <v>69614.263194421859</v>
      </c>
      <c r="H36" s="28" t="s">
        <v>55</v>
      </c>
      <c r="I36" s="32">
        <f>E36+G36+F36</f>
        <v>69614.263194421859</v>
      </c>
      <c r="J36" s="36">
        <f>+'Sch 2, pg 2 - Forecast'!F37</f>
        <v>-14315.936440020554</v>
      </c>
      <c r="K36" s="28" t="s">
        <v>51</v>
      </c>
      <c r="L36" s="32">
        <f>I36+J36</f>
        <v>55298.326754401307</v>
      </c>
      <c r="N36" s="817">
        <f t="shared" si="7"/>
        <v>55298.326754401307</v>
      </c>
    </row>
    <row r="37" spans="1:14" ht="15.75">
      <c r="A37" s="18">
        <v>21</v>
      </c>
      <c r="B37" s="9" t="s">
        <v>807</v>
      </c>
      <c r="C37" s="29">
        <f>+'Sch 4 - 12 Months'!O29</f>
        <v>537038.31999999995</v>
      </c>
      <c r="D37" s="29">
        <f>+'WP-11, pg 2 Non-Regulated'!F13</f>
        <v>246255.77361487658</v>
      </c>
      <c r="E37" s="29">
        <f t="shared" si="4"/>
        <v>290782.54638512339</v>
      </c>
      <c r="F37" s="36"/>
      <c r="G37" s="36">
        <f>+'Sch 1, pg 2 - Restated'!T32</f>
        <v>-50106.929999999935</v>
      </c>
      <c r="H37" s="28" t="s">
        <v>47</v>
      </c>
      <c r="I37" s="32">
        <f>E37+G37+F37</f>
        <v>240675.61638512346</v>
      </c>
      <c r="J37" s="36">
        <f>+'Sch 2, pg 2 - Forecast'!F38</f>
        <v>9456.9899438057619</v>
      </c>
      <c r="K37" s="28" t="s">
        <v>51</v>
      </c>
      <c r="L37" s="32">
        <f t="shared" ref="L37:L77" si="8">I37+J37</f>
        <v>250132.60632892922</v>
      </c>
      <c r="N37" s="817">
        <f t="shared" si="7"/>
        <v>250132.60632892922</v>
      </c>
    </row>
    <row r="38" spans="1:14" ht="15.75">
      <c r="A38" s="18">
        <v>22</v>
      </c>
      <c r="B38" s="9" t="s">
        <v>349</v>
      </c>
      <c r="C38" s="29">
        <f>+'Sch 4 - 12 Months'!O30</f>
        <v>22757.35</v>
      </c>
      <c r="D38" s="29">
        <f>+'WP-11, pg 2 Non-Regulated'!F14</f>
        <v>12058.033360824522</v>
      </c>
      <c r="E38" s="29">
        <f t="shared" si="4"/>
        <v>10699.316639175477</v>
      </c>
      <c r="F38" s="36"/>
      <c r="H38" s="28"/>
      <c r="I38" s="32">
        <f t="shared" si="5"/>
        <v>10699.316639175477</v>
      </c>
      <c r="J38" s="36"/>
      <c r="K38" s="28"/>
      <c r="L38" s="32">
        <f t="shared" si="8"/>
        <v>10699.316639175477</v>
      </c>
      <c r="N38" s="817">
        <f t="shared" si="7"/>
        <v>10699.316639175477</v>
      </c>
    </row>
    <row r="39" spans="1:14" ht="15.75">
      <c r="A39" s="18">
        <v>23</v>
      </c>
      <c r="B39" s="9" t="s">
        <v>71</v>
      </c>
      <c r="C39" s="29">
        <f>+'Sch 4 - 12 Months'!O31</f>
        <v>-76223.270000000019</v>
      </c>
      <c r="D39" s="29">
        <f>+'WP-11, pg 2 Non-Regulated'!F15</f>
        <v>0</v>
      </c>
      <c r="E39" s="29">
        <f t="shared" si="4"/>
        <v>-76223.270000000019</v>
      </c>
      <c r="F39" s="36"/>
      <c r="G39">
        <f>+'Sch 1, pg 2 - Restated'!T34</f>
        <v>81040.320000000022</v>
      </c>
      <c r="H39" s="28" t="s">
        <v>45</v>
      </c>
      <c r="I39" s="32">
        <f t="shared" si="5"/>
        <v>4817.0500000000029</v>
      </c>
      <c r="J39" s="36"/>
      <c r="K39" s="28"/>
      <c r="L39" s="32">
        <f t="shared" si="8"/>
        <v>4817.0500000000029</v>
      </c>
      <c r="N39" s="817">
        <f t="shared" si="7"/>
        <v>4817.0500000000029</v>
      </c>
    </row>
    <row r="40" spans="1:14" ht="15.75">
      <c r="A40" s="18">
        <v>24</v>
      </c>
      <c r="B40" s="9" t="s">
        <v>808</v>
      </c>
      <c r="C40" s="29">
        <f>+'Sch 4 - 12 Months'!O32</f>
        <v>6452.5399999999991</v>
      </c>
      <c r="D40" s="29">
        <f>+'WP-11, pg 2 Non-Regulated'!F16</f>
        <v>0</v>
      </c>
      <c r="E40" s="29">
        <f t="shared" si="4"/>
        <v>6452.5399999999991</v>
      </c>
      <c r="F40" s="36"/>
      <c r="G40" s="36"/>
      <c r="H40" s="28"/>
      <c r="I40" s="32">
        <f t="shared" si="5"/>
        <v>6452.5399999999991</v>
      </c>
      <c r="J40" s="36"/>
      <c r="K40" s="28"/>
      <c r="L40" s="32">
        <f t="shared" si="8"/>
        <v>6452.5399999999991</v>
      </c>
      <c r="N40" s="817">
        <f t="shared" si="7"/>
        <v>6452.5399999999991</v>
      </c>
    </row>
    <row r="41" spans="1:14" ht="15.75">
      <c r="A41" s="18">
        <v>25</v>
      </c>
      <c r="B41" s="9" t="s">
        <v>350</v>
      </c>
      <c r="C41" s="29">
        <f>+'Sch 4 - 12 Months'!O33</f>
        <v>64550.42</v>
      </c>
      <c r="D41" s="29">
        <f>+'WP-11, pg 2 Non-Regulated'!F17</f>
        <v>0</v>
      </c>
      <c r="E41" s="29">
        <f t="shared" si="4"/>
        <v>64550.42</v>
      </c>
      <c r="F41" s="36"/>
      <c r="G41" s="37"/>
      <c r="H41" s="28"/>
      <c r="I41" s="32">
        <f t="shared" si="5"/>
        <v>64550.42</v>
      </c>
      <c r="J41" s="36"/>
      <c r="K41" s="28"/>
      <c r="L41" s="32">
        <f t="shared" si="8"/>
        <v>64550.42</v>
      </c>
      <c r="N41" s="817">
        <f t="shared" si="7"/>
        <v>64550.42</v>
      </c>
    </row>
    <row r="42" spans="1:14" ht="15.75">
      <c r="A42" s="18">
        <v>26</v>
      </c>
      <c r="B42" s="9" t="s">
        <v>803</v>
      </c>
      <c r="C42" s="29">
        <f>+'Sch 4 - 12 Months'!O34</f>
        <v>11354.91</v>
      </c>
      <c r="D42" s="29">
        <f>+'WP-11, pg 2 Non-Regulated'!F18</f>
        <v>6016.4247414202437</v>
      </c>
      <c r="E42" s="29">
        <f t="shared" si="4"/>
        <v>5338.4852585797562</v>
      </c>
      <c r="F42" s="28"/>
      <c r="G42" s="37"/>
      <c r="H42" s="28"/>
      <c r="I42" s="32">
        <f t="shared" si="5"/>
        <v>5338.4852585797562</v>
      </c>
      <c r="J42" s="32"/>
      <c r="K42" s="28"/>
      <c r="L42" s="32">
        <f t="shared" si="8"/>
        <v>5338.4852585797562</v>
      </c>
      <c r="N42" s="817">
        <f t="shared" si="7"/>
        <v>5338.4852585797562</v>
      </c>
    </row>
    <row r="43" spans="1:14" ht="15.75">
      <c r="A43" s="18">
        <v>27</v>
      </c>
      <c r="B43" s="9" t="s">
        <v>351</v>
      </c>
      <c r="C43" s="29">
        <f>+'Sch 4 - 12 Months'!O35</f>
        <v>675</v>
      </c>
      <c r="D43" s="29">
        <f>+'WP-11, pg 2 Non-Regulated'!F19</f>
        <v>0</v>
      </c>
      <c r="E43" s="29">
        <f t="shared" si="4"/>
        <v>675</v>
      </c>
      <c r="F43" s="28"/>
      <c r="G43" s="36">
        <f>+'Sch 1, pg 2 - Restated'!T38</f>
        <v>-675</v>
      </c>
      <c r="H43" s="28" t="s">
        <v>44</v>
      </c>
      <c r="I43" s="32">
        <f t="shared" si="5"/>
        <v>0</v>
      </c>
      <c r="J43" s="32"/>
      <c r="K43" s="28"/>
      <c r="L43" s="32">
        <f t="shared" si="8"/>
        <v>0</v>
      </c>
      <c r="N43" s="817">
        <f t="shared" si="7"/>
        <v>0</v>
      </c>
    </row>
    <row r="44" spans="1:14" ht="15.75">
      <c r="A44" s="18">
        <v>28</v>
      </c>
      <c r="B44" s="9" t="s">
        <v>792</v>
      </c>
      <c r="C44" s="29">
        <f>+'Sch 4 - 12 Months'!O36</f>
        <v>24895.759999999998</v>
      </c>
      <c r="D44" s="29">
        <f>+'WP-11, pg 2 Non-Regulated'!F20</f>
        <v>3554.1043916769941</v>
      </c>
      <c r="E44" s="29">
        <f t="shared" si="4"/>
        <v>21341.655608323003</v>
      </c>
      <c r="F44" s="28"/>
      <c r="G44" s="32">
        <f>+'Sch 1, pg 2 - Restated'!T39</f>
        <v>-3360</v>
      </c>
      <c r="H44" s="28" t="s">
        <v>44</v>
      </c>
      <c r="I44" s="32">
        <f t="shared" si="5"/>
        <v>17981.655608323003</v>
      </c>
      <c r="J44" s="32"/>
      <c r="K44" s="28"/>
      <c r="L44" s="32">
        <f t="shared" si="8"/>
        <v>17981.655608323003</v>
      </c>
      <c r="N44" s="817">
        <f t="shared" si="7"/>
        <v>17981.655608323003</v>
      </c>
    </row>
    <row r="45" spans="1:14" ht="15.75">
      <c r="A45" s="18">
        <v>29</v>
      </c>
      <c r="B45" s="9" t="s">
        <v>786</v>
      </c>
      <c r="C45" s="29">
        <f>+'Sch 4 - 12 Months'!O37</f>
        <v>13182.089999999998</v>
      </c>
      <c r="D45" s="29">
        <f>+'WP-11, pg 2 Non-Regulated'!F21</f>
        <v>0</v>
      </c>
      <c r="E45" s="29">
        <f t="shared" si="4"/>
        <v>13182.089999999998</v>
      </c>
      <c r="F45" s="28"/>
      <c r="G45" s="37"/>
      <c r="H45" s="28"/>
      <c r="I45" s="32">
        <f t="shared" si="5"/>
        <v>13182.089999999998</v>
      </c>
      <c r="J45" s="32"/>
      <c r="K45" s="28"/>
      <c r="L45" s="32">
        <f t="shared" si="8"/>
        <v>13182.089999999998</v>
      </c>
      <c r="N45" s="817">
        <f t="shared" si="7"/>
        <v>13182.089999999998</v>
      </c>
    </row>
    <row r="46" spans="1:14" ht="15.75">
      <c r="A46" s="18">
        <v>30</v>
      </c>
      <c r="B46" s="9" t="s">
        <v>58</v>
      </c>
      <c r="C46" s="29">
        <f>+'Sch 4 - 12 Months'!O38</f>
        <v>3431652.9099999997</v>
      </c>
      <c r="D46" s="29">
        <f>+'WP-11, pg 2 Non-Regulated'!F22</f>
        <v>1292139.1351999999</v>
      </c>
      <c r="E46" s="29">
        <f t="shared" si="4"/>
        <v>2139513.7747999998</v>
      </c>
      <c r="F46" s="36">
        <f>+'Sch 3, pg 2 - Reclass'!L47</f>
        <v>-598217.25995690562</v>
      </c>
      <c r="G46" s="37"/>
      <c r="H46" s="28" t="s">
        <v>56</v>
      </c>
      <c r="I46" s="32">
        <f t="shared" si="5"/>
        <v>1541296.5148430942</v>
      </c>
      <c r="J46" s="51">
        <f>+'Sch 2, pg 2 - Forecast'!L47</f>
        <v>67252.016263309342</v>
      </c>
      <c r="K46" s="28" t="s">
        <v>52</v>
      </c>
      <c r="L46" s="32">
        <f t="shared" si="8"/>
        <v>1608548.5311064036</v>
      </c>
      <c r="N46" s="817">
        <f t="shared" si="7"/>
        <v>1608548.5311064036</v>
      </c>
    </row>
    <row r="47" spans="1:14" ht="15.75">
      <c r="A47" s="18">
        <v>31</v>
      </c>
      <c r="B47" s="9" t="s">
        <v>1047</v>
      </c>
      <c r="C47" s="29"/>
      <c r="D47" s="29"/>
      <c r="E47" s="29"/>
      <c r="F47" s="36">
        <f>+'Sch 3, pg 2 - Reclass'!L48</f>
        <v>598217.25995690562</v>
      </c>
      <c r="G47" s="37"/>
      <c r="H47" s="28" t="s">
        <v>56</v>
      </c>
      <c r="I47" s="32">
        <f t="shared" si="5"/>
        <v>598217.25995690562</v>
      </c>
      <c r="J47" s="51">
        <f>+'Sch 2, pg 2 - Forecast'!L48</f>
        <v>47659.31458992805</v>
      </c>
      <c r="K47" s="28" t="s">
        <v>52</v>
      </c>
      <c r="L47" s="32">
        <f t="shared" si="8"/>
        <v>645876.57454683364</v>
      </c>
      <c r="N47" s="817">
        <f t="shared" si="7"/>
        <v>645876.57454683364</v>
      </c>
    </row>
    <row r="48" spans="1:14" ht="15.75">
      <c r="A48" s="18">
        <v>32</v>
      </c>
      <c r="B48" s="9" t="s">
        <v>102</v>
      </c>
      <c r="C48" s="29">
        <f>+'Sch 4 - 12 Months'!O39</f>
        <v>864267.79</v>
      </c>
      <c r="D48" s="29">
        <f>+'WP-11, pg 2 Non-Regulated'!F23</f>
        <v>457934.24298110651</v>
      </c>
      <c r="E48" s="29">
        <f t="shared" si="4"/>
        <v>406333.54701889353</v>
      </c>
      <c r="F48" s="28"/>
      <c r="G48" s="32"/>
      <c r="H48" s="28"/>
      <c r="I48" s="32">
        <f t="shared" si="5"/>
        <v>406333.54701889353</v>
      </c>
      <c r="J48" s="32">
        <f>+'Sch 2, pg 2 - Forecast'!L49</f>
        <v>168262.49493834158</v>
      </c>
      <c r="K48" s="28" t="s">
        <v>50</v>
      </c>
      <c r="L48" s="32">
        <f t="shared" si="8"/>
        <v>574596.04195723508</v>
      </c>
      <c r="N48" s="817">
        <f t="shared" si="7"/>
        <v>574596.04195723508</v>
      </c>
    </row>
    <row r="49" spans="1:14" ht="15.75">
      <c r="A49" s="18">
        <v>33</v>
      </c>
      <c r="B49" s="9" t="s">
        <v>12</v>
      </c>
      <c r="C49" s="29">
        <f>+'Sch 4 - 12 Months'!O40</f>
        <v>0</v>
      </c>
      <c r="D49" s="29">
        <f>+'WP-11, pg 2 Non-Regulated'!F24</f>
        <v>0</v>
      </c>
      <c r="E49" s="29">
        <f t="shared" si="4"/>
        <v>0</v>
      </c>
      <c r="F49" s="36"/>
      <c r="H49" s="28"/>
      <c r="I49" s="32">
        <f t="shared" si="5"/>
        <v>0</v>
      </c>
      <c r="J49" s="36"/>
      <c r="K49" s="28"/>
      <c r="L49" s="32">
        <f t="shared" si="8"/>
        <v>0</v>
      </c>
      <c r="N49" s="817">
        <f t="shared" si="7"/>
        <v>0</v>
      </c>
    </row>
    <row r="50" spans="1:14" ht="15.75">
      <c r="A50" s="18">
        <v>34</v>
      </c>
      <c r="B50" s="9" t="s">
        <v>801</v>
      </c>
      <c r="C50" s="29">
        <f>+'Sch 4 - 12 Months'!O41</f>
        <v>189363.65999999997</v>
      </c>
      <c r="D50" s="29">
        <f>+'WP-11, pg 2 Non-Regulated'!F25</f>
        <v>89022.10082107356</v>
      </c>
      <c r="E50" s="29">
        <f t="shared" si="4"/>
        <v>100341.55917892641</v>
      </c>
      <c r="F50" s="36"/>
      <c r="H50" s="28"/>
      <c r="I50" s="32">
        <f t="shared" si="5"/>
        <v>100341.55917892641</v>
      </c>
      <c r="J50" s="32"/>
      <c r="K50" s="28"/>
      <c r="L50" s="32">
        <f t="shared" si="8"/>
        <v>100341.55917892641</v>
      </c>
      <c r="N50" s="817">
        <f t="shared" si="7"/>
        <v>100341.55917892641</v>
      </c>
    </row>
    <row r="51" spans="1:14" ht="15.75">
      <c r="A51" s="18">
        <v>35</v>
      </c>
      <c r="B51" s="9" t="s">
        <v>29</v>
      </c>
      <c r="C51" s="29">
        <f>+'Sch 4 - 12 Months'!O42</f>
        <v>234645.57</v>
      </c>
      <c r="D51" s="29">
        <f>+'WP-11, pg 2 Non-Regulated'!F26</f>
        <v>114200.640865911</v>
      </c>
      <c r="E51" s="29">
        <f t="shared" si="4"/>
        <v>120444.929134089</v>
      </c>
      <c r="F51" s="36"/>
      <c r="H51" s="28"/>
      <c r="I51" s="32">
        <f t="shared" si="5"/>
        <v>120444.929134089</v>
      </c>
      <c r="J51" s="32">
        <f>+'Sch 2, pg 2 - Forecast'!L52</f>
        <v>34589.8973709571</v>
      </c>
      <c r="K51" s="28" t="s">
        <v>51</v>
      </c>
      <c r="L51" s="32">
        <f t="shared" si="8"/>
        <v>155034.82650504611</v>
      </c>
      <c r="N51" s="817">
        <f t="shared" si="7"/>
        <v>155034.82650504611</v>
      </c>
    </row>
    <row r="52" spans="1:14" ht="15.75">
      <c r="A52" s="18">
        <v>36</v>
      </c>
      <c r="B52" s="9" t="s">
        <v>804</v>
      </c>
      <c r="C52" s="29">
        <f>+'Sch 4 - 12 Months'!O43</f>
        <v>55301.75</v>
      </c>
      <c r="D52" s="29">
        <f>+'WP-11, pg 2 Non-Regulated'!F27</f>
        <v>29301.757296520798</v>
      </c>
      <c r="E52" s="29">
        <f t="shared" si="4"/>
        <v>25999.992703479202</v>
      </c>
      <c r="F52" s="36"/>
      <c r="H52" s="28"/>
      <c r="I52" s="32">
        <f t="shared" si="5"/>
        <v>25999.992703479202</v>
      </c>
      <c r="J52" s="36"/>
      <c r="K52" s="28"/>
      <c r="L52" s="32">
        <f t="shared" si="8"/>
        <v>25999.992703479202</v>
      </c>
      <c r="N52" s="817">
        <f t="shared" si="7"/>
        <v>25999.992703479202</v>
      </c>
    </row>
    <row r="53" spans="1:14" ht="15.75">
      <c r="A53" s="18">
        <v>37</v>
      </c>
      <c r="B53" s="9" t="s">
        <v>790</v>
      </c>
      <c r="C53" s="29">
        <f>+'Sch 4 - 12 Months'!O44</f>
        <v>555311.55000000005</v>
      </c>
      <c r="D53" s="29">
        <f>+'WP-11, pg 2 Non-Regulated'!F28</f>
        <v>294233.08054545789</v>
      </c>
      <c r="E53" s="29">
        <f t="shared" si="4"/>
        <v>261078.46945454215</v>
      </c>
      <c r="F53" s="28"/>
      <c r="G53" s="38"/>
      <c r="H53" s="28"/>
      <c r="I53" s="32">
        <f t="shared" si="5"/>
        <v>261078.46945454215</v>
      </c>
      <c r="J53" s="32"/>
      <c r="K53" s="28"/>
      <c r="L53" s="32">
        <f t="shared" si="8"/>
        <v>261078.46945454215</v>
      </c>
      <c r="N53" s="817">
        <f t="shared" si="7"/>
        <v>261078.46945454215</v>
      </c>
    </row>
    <row r="54" spans="1:14" ht="15.75">
      <c r="A54" s="18">
        <v>38</v>
      </c>
      <c r="B54" s="9" t="s">
        <v>787</v>
      </c>
      <c r="C54" s="29">
        <f>+'Sch 4 - 12 Months'!O45</f>
        <v>64778.460000000006</v>
      </c>
      <c r="D54" s="29">
        <f>+'WP-11, pg 2 Non-Regulated'!F29</f>
        <v>49769.355986804185</v>
      </c>
      <c r="E54" s="29">
        <f t="shared" si="4"/>
        <v>15009.104013195822</v>
      </c>
      <c r="F54" s="28"/>
      <c r="G54" s="32"/>
      <c r="H54" s="28"/>
      <c r="I54" s="32">
        <f t="shared" si="5"/>
        <v>15009.104013195822</v>
      </c>
      <c r="J54" s="32"/>
      <c r="K54" s="28"/>
      <c r="L54" s="32">
        <f t="shared" si="8"/>
        <v>15009.104013195822</v>
      </c>
      <c r="N54" s="817">
        <f t="shared" si="7"/>
        <v>15009.104013195822</v>
      </c>
    </row>
    <row r="55" spans="1:14" ht="15.75">
      <c r="A55" s="18">
        <v>39</v>
      </c>
      <c r="B55" s="9" t="s">
        <v>800</v>
      </c>
      <c r="C55" s="29">
        <f>+'Sch 4 - 12 Months'!O46</f>
        <v>235444.16999999998</v>
      </c>
      <c r="D55" s="29">
        <f>+'WP-11, pg 2 Non-Regulated'!F30</f>
        <v>124750.62590642759</v>
      </c>
      <c r="E55" s="29">
        <f t="shared" si="4"/>
        <v>110693.54409357239</v>
      </c>
      <c r="F55" s="28"/>
      <c r="G55" s="32"/>
      <c r="H55" s="28"/>
      <c r="I55" s="32">
        <f t="shared" si="5"/>
        <v>110693.54409357239</v>
      </c>
      <c r="J55" s="32"/>
      <c r="K55" s="28"/>
      <c r="L55" s="32">
        <f t="shared" si="8"/>
        <v>110693.54409357239</v>
      </c>
      <c r="N55" s="817">
        <f t="shared" si="7"/>
        <v>110693.54409357239</v>
      </c>
    </row>
    <row r="56" spans="1:14" ht="15.75">
      <c r="A56" s="18">
        <v>40</v>
      </c>
      <c r="B56" s="9" t="s">
        <v>799</v>
      </c>
      <c r="C56" s="29">
        <f>+'Sch 4 - 12 Months'!O47</f>
        <v>5198</v>
      </c>
      <c r="D56" s="29">
        <f>+'WP-11, pg 2 Non-Regulated'!F31</f>
        <v>5198</v>
      </c>
      <c r="E56" s="29">
        <f t="shared" si="4"/>
        <v>0</v>
      </c>
      <c r="F56" s="36"/>
      <c r="H56" s="28"/>
      <c r="I56" s="32">
        <f t="shared" si="5"/>
        <v>0</v>
      </c>
      <c r="J56" s="36"/>
      <c r="K56" s="28"/>
      <c r="L56" s="32">
        <f t="shared" si="8"/>
        <v>0</v>
      </c>
      <c r="N56" s="817">
        <f t="shared" si="7"/>
        <v>0</v>
      </c>
    </row>
    <row r="57" spans="1:14" ht="15.75">
      <c r="A57" s="18">
        <v>41</v>
      </c>
      <c r="B57" s="9" t="s">
        <v>797</v>
      </c>
      <c r="C57" s="29">
        <f>+'Sch 4 - 12 Months'!O48</f>
        <v>209435.55</v>
      </c>
      <c r="D57" s="29">
        <f>+'WP-11, pg 2 Non-Regulated'!F32</f>
        <v>110969.89978370207</v>
      </c>
      <c r="E57" s="29">
        <f t="shared" si="4"/>
        <v>98465.650216297916</v>
      </c>
      <c r="F57" s="28"/>
      <c r="G57" s="38"/>
      <c r="H57" s="28"/>
      <c r="I57" s="32">
        <f t="shared" si="5"/>
        <v>98465.650216297916</v>
      </c>
      <c r="J57" s="36"/>
      <c r="K57" s="28"/>
      <c r="L57" s="32">
        <f t="shared" si="8"/>
        <v>98465.650216297916</v>
      </c>
      <c r="N57" s="817">
        <f t="shared" si="7"/>
        <v>98465.650216297916</v>
      </c>
    </row>
    <row r="58" spans="1:14" ht="15.75">
      <c r="A58" s="18">
        <v>42</v>
      </c>
      <c r="B58" s="9" t="s">
        <v>810</v>
      </c>
      <c r="C58" s="29">
        <f>+'Sch 4 - 12 Months'!O49</f>
        <v>110</v>
      </c>
      <c r="D58" s="29">
        <f>+'WP-11, pg 2 Non-Regulated'!F33</f>
        <v>58.283748753290588</v>
      </c>
      <c r="E58" s="29">
        <f t="shared" si="4"/>
        <v>51.716251246709412</v>
      </c>
      <c r="F58" s="28"/>
      <c r="G58" s="38"/>
      <c r="H58" s="28"/>
      <c r="I58" s="32">
        <f t="shared" si="5"/>
        <v>51.716251246709412</v>
      </c>
      <c r="J58" s="32"/>
      <c r="K58" s="28"/>
      <c r="L58" s="32">
        <f t="shared" si="8"/>
        <v>51.716251246709412</v>
      </c>
      <c r="N58" s="817">
        <f t="shared" si="7"/>
        <v>51.716251246709412</v>
      </c>
    </row>
    <row r="59" spans="1:14" ht="15.75">
      <c r="A59" s="18">
        <v>43</v>
      </c>
      <c r="B59" s="9" t="s">
        <v>802</v>
      </c>
      <c r="C59" s="29">
        <f>+'Sch 4 - 12 Months'!O50</f>
        <v>36345.969999999987</v>
      </c>
      <c r="D59" s="29">
        <f>+'WP-11, pg 2 Non-Regulated'!F34</f>
        <v>19257.994397042148</v>
      </c>
      <c r="E59" s="29">
        <f t="shared" si="4"/>
        <v>17087.975602957838</v>
      </c>
      <c r="F59" s="29"/>
      <c r="G59" s="36"/>
      <c r="H59" s="28"/>
      <c r="I59" s="32">
        <f t="shared" si="5"/>
        <v>17087.975602957838</v>
      </c>
      <c r="J59" s="32"/>
      <c r="K59" s="28"/>
      <c r="L59" s="32">
        <f t="shared" si="8"/>
        <v>17087.975602957838</v>
      </c>
      <c r="N59" s="817">
        <f t="shared" si="7"/>
        <v>17087.975602957838</v>
      </c>
    </row>
    <row r="60" spans="1:14" ht="15.75">
      <c r="A60" s="18">
        <v>44</v>
      </c>
      <c r="B60" s="9" t="s">
        <v>791</v>
      </c>
      <c r="C60" s="29">
        <f>+'Sch 4 - 12 Months'!O51</f>
        <v>47944.2</v>
      </c>
      <c r="D60" s="29">
        <f>+'WP-11, pg 2 Non-Regulated'!F35</f>
        <v>25403.342790704675</v>
      </c>
      <c r="E60" s="29">
        <f t="shared" si="4"/>
        <v>22540.857209295322</v>
      </c>
      <c r="F60" s="29"/>
      <c r="G60" s="32"/>
      <c r="H60" s="28"/>
      <c r="I60" s="32">
        <f t="shared" si="5"/>
        <v>22540.857209295322</v>
      </c>
      <c r="J60" s="32"/>
      <c r="K60" s="28"/>
      <c r="L60" s="32">
        <f t="shared" si="8"/>
        <v>22540.857209295322</v>
      </c>
      <c r="N60" s="817">
        <f t="shared" si="7"/>
        <v>22540.857209295322</v>
      </c>
    </row>
    <row r="61" spans="1:14" ht="15.75">
      <c r="A61" s="18">
        <v>45</v>
      </c>
      <c r="B61" s="9" t="s">
        <v>805</v>
      </c>
      <c r="C61" s="29">
        <f>+'Sch 4 - 12 Months'!O52</f>
        <v>0</v>
      </c>
      <c r="D61" s="29">
        <f>+'WP-11, pg 2 Non-Regulated'!F36</f>
        <v>0</v>
      </c>
      <c r="E61" s="29">
        <f t="shared" si="4"/>
        <v>0</v>
      </c>
      <c r="F61" s="29"/>
      <c r="G61" s="32"/>
      <c r="H61" s="28"/>
      <c r="I61" s="32">
        <f t="shared" si="5"/>
        <v>0</v>
      </c>
      <c r="J61" s="32"/>
      <c r="K61" s="28"/>
      <c r="L61" s="32">
        <f t="shared" si="8"/>
        <v>0</v>
      </c>
      <c r="N61" s="817">
        <f t="shared" si="7"/>
        <v>0</v>
      </c>
    </row>
    <row r="62" spans="1:14" ht="15.75">
      <c r="A62" s="18">
        <v>46</v>
      </c>
      <c r="B62" s="9" t="s">
        <v>796</v>
      </c>
      <c r="C62" s="29">
        <f>+'Sch 4 - 12 Months'!O53</f>
        <v>60489.75</v>
      </c>
      <c r="D62" s="29">
        <f>+'WP-11, pg 2 Non-Regulated'!F37</f>
        <v>32050.630828630539</v>
      </c>
      <c r="E62" s="29">
        <f t="shared" si="4"/>
        <v>28439.119171369461</v>
      </c>
      <c r="F62" s="29"/>
      <c r="G62" s="32"/>
      <c r="H62" s="28"/>
      <c r="I62" s="32">
        <f t="shared" si="5"/>
        <v>28439.119171369461</v>
      </c>
      <c r="J62" s="32"/>
      <c r="K62" s="28"/>
      <c r="L62" s="32">
        <f t="shared" si="8"/>
        <v>28439.119171369461</v>
      </c>
      <c r="N62" s="817">
        <f t="shared" si="7"/>
        <v>28439.119171369461</v>
      </c>
    </row>
    <row r="63" spans="1:14" ht="15.75">
      <c r="A63" s="18">
        <v>47</v>
      </c>
      <c r="B63" s="9" t="s">
        <v>352</v>
      </c>
      <c r="C63" s="29">
        <f>+'Sch 4 - 12 Months'!O54</f>
        <v>18278.399999999998</v>
      </c>
      <c r="D63" s="29">
        <f>+'WP-11, pg 2 Non-Regulated'!F38</f>
        <v>9684.8515746558769</v>
      </c>
      <c r="E63" s="29">
        <f t="shared" si="4"/>
        <v>8593.5484253441209</v>
      </c>
      <c r="F63" s="29"/>
      <c r="G63" s="32"/>
      <c r="H63" s="28"/>
      <c r="I63" s="32">
        <f t="shared" si="5"/>
        <v>8593.5484253441209</v>
      </c>
      <c r="J63" s="235"/>
      <c r="K63" s="28"/>
      <c r="L63" s="32">
        <f t="shared" si="8"/>
        <v>8593.5484253441209</v>
      </c>
      <c r="N63" s="817">
        <f t="shared" si="7"/>
        <v>8593.5484253441209</v>
      </c>
    </row>
    <row r="64" spans="1:14" ht="15.75">
      <c r="A64" s="18">
        <v>48</v>
      </c>
      <c r="B64" s="9" t="s">
        <v>811</v>
      </c>
      <c r="C64" s="29">
        <f>+'Sch 4 - 12 Months'!O55</f>
        <v>28213.08</v>
      </c>
      <c r="D64" s="29">
        <f>+'WP-11, pg 2 Non-Regulated'!F39</f>
        <v>0</v>
      </c>
      <c r="E64" s="29">
        <f t="shared" si="4"/>
        <v>28213.08</v>
      </c>
      <c r="F64" s="29"/>
      <c r="G64" s="32"/>
      <c r="H64" s="28"/>
      <c r="I64" s="32">
        <f t="shared" si="5"/>
        <v>28213.08</v>
      </c>
      <c r="J64" s="32"/>
      <c r="K64" s="28"/>
      <c r="L64" s="32">
        <f t="shared" si="8"/>
        <v>28213.08</v>
      </c>
      <c r="N64" s="817">
        <f t="shared" si="7"/>
        <v>28213.08</v>
      </c>
    </row>
    <row r="65" spans="1:15" ht="15.75">
      <c r="A65" s="18">
        <v>49</v>
      </c>
      <c r="B65" s="9" t="s">
        <v>785</v>
      </c>
      <c r="C65" s="29">
        <f>+'Sch 4 - 12 Months'!O56</f>
        <v>323607.86</v>
      </c>
      <c r="D65" s="29">
        <f>+'WP-11, pg 2 Non-Regulated'!F40</f>
        <v>171464.35642572757</v>
      </c>
      <c r="E65" s="29">
        <f t="shared" si="4"/>
        <v>152143.50357427241</v>
      </c>
      <c r="F65" s="29"/>
      <c r="G65" s="38"/>
      <c r="H65" s="28"/>
      <c r="I65" s="32">
        <f t="shared" si="5"/>
        <v>152143.50357427241</v>
      </c>
      <c r="J65" s="32"/>
      <c r="K65" s="28"/>
      <c r="L65" s="32">
        <f t="shared" si="8"/>
        <v>152143.50357427241</v>
      </c>
      <c r="N65" s="817">
        <f t="shared" si="7"/>
        <v>152143.50357427241</v>
      </c>
    </row>
    <row r="66" spans="1:15" ht="15.75">
      <c r="A66" s="18">
        <v>50</v>
      </c>
      <c r="B66" s="9" t="s">
        <v>784</v>
      </c>
      <c r="C66" s="29">
        <f>+'Sch 4 - 12 Months'!O57</f>
        <v>17971.199999999997</v>
      </c>
      <c r="D66" s="29">
        <f>+'WP-11, pg 2 Non-Regulated'!F41</f>
        <v>17971.199999999997</v>
      </c>
      <c r="E66" s="29">
        <f t="shared" si="4"/>
        <v>0</v>
      </c>
      <c r="F66" s="29"/>
      <c r="G66" s="32"/>
      <c r="H66" s="28"/>
      <c r="I66" s="32">
        <f t="shared" si="5"/>
        <v>0</v>
      </c>
      <c r="J66" s="32"/>
      <c r="K66" s="28"/>
      <c r="L66" s="32">
        <f t="shared" si="8"/>
        <v>0</v>
      </c>
      <c r="N66" s="817">
        <f t="shared" si="7"/>
        <v>0</v>
      </c>
    </row>
    <row r="67" spans="1:15" ht="15.75">
      <c r="A67" s="18">
        <v>51</v>
      </c>
      <c r="B67" s="9" t="s">
        <v>354</v>
      </c>
      <c r="C67" s="29">
        <f>+'Sch 4 - 12 Months'!O58</f>
        <v>5000</v>
      </c>
      <c r="D67" s="29">
        <f>+'WP-11, pg 2 Non-Regulated'!F42</f>
        <v>2649.2613069677541</v>
      </c>
      <c r="E67" s="29">
        <f t="shared" si="4"/>
        <v>2350.7386930322459</v>
      </c>
      <c r="F67" s="28"/>
      <c r="G67" s="32"/>
      <c r="H67" s="28"/>
      <c r="I67" s="32">
        <f t="shared" si="5"/>
        <v>2350.7386930322459</v>
      </c>
      <c r="J67" s="32"/>
      <c r="K67" s="28"/>
      <c r="L67" s="32">
        <f t="shared" si="8"/>
        <v>2350.7386930322459</v>
      </c>
      <c r="N67" s="817">
        <f t="shared" si="7"/>
        <v>2350.7386930322459</v>
      </c>
    </row>
    <row r="68" spans="1:15" ht="15.75">
      <c r="A68" s="18">
        <v>52</v>
      </c>
      <c r="B68" s="9" t="s">
        <v>794</v>
      </c>
      <c r="C68" s="29">
        <f>+'Sch 4 - 12 Months'!O59</f>
        <v>149273.60000000001</v>
      </c>
      <c r="D68" s="29">
        <f>+'WP-11, pg 2 Non-Regulated'!F43</f>
        <v>79092.954526356349</v>
      </c>
      <c r="E68" s="29">
        <f t="shared" si="4"/>
        <v>70180.645473643657</v>
      </c>
      <c r="F68" s="29"/>
      <c r="G68" s="32"/>
      <c r="H68" s="28"/>
      <c r="I68" s="32">
        <f t="shared" si="5"/>
        <v>70180.645473643657</v>
      </c>
      <c r="J68" s="32">
        <f>+'Sch 2, pg 2 - Forecast'!L69</f>
        <v>190.63725835971221</v>
      </c>
      <c r="K68" s="28" t="s">
        <v>52</v>
      </c>
      <c r="L68" s="32">
        <f t="shared" si="8"/>
        <v>70371.282732003368</v>
      </c>
      <c r="N68" s="817">
        <f t="shared" si="7"/>
        <v>70371.282732003368</v>
      </c>
    </row>
    <row r="69" spans="1:15" ht="15.75">
      <c r="A69" s="18">
        <v>53</v>
      </c>
      <c r="B69" s="9" t="s">
        <v>788</v>
      </c>
      <c r="C69" s="29">
        <f>+'Sch 4 - 12 Months'!O60</f>
        <v>180886.38999999998</v>
      </c>
      <c r="D69" s="29">
        <f>+'WP-11, pg 2 Non-Regulated'!F44</f>
        <v>95843.062796815764</v>
      </c>
      <c r="E69" s="29">
        <f t="shared" si="4"/>
        <v>85043.327203184221</v>
      </c>
      <c r="F69" s="28"/>
      <c r="G69" s="32"/>
      <c r="H69" s="28"/>
      <c r="I69" s="32">
        <f t="shared" si="5"/>
        <v>85043.327203184221</v>
      </c>
      <c r="J69" s="32"/>
      <c r="K69" s="28"/>
      <c r="L69" s="32">
        <f t="shared" si="8"/>
        <v>85043.327203184221</v>
      </c>
      <c r="N69" s="817">
        <f t="shared" si="7"/>
        <v>85043.327203184221</v>
      </c>
    </row>
    <row r="70" spans="1:15" ht="15.75">
      <c r="A70" s="18">
        <v>54</v>
      </c>
      <c r="B70" s="9" t="s">
        <v>806</v>
      </c>
      <c r="C70" s="29">
        <f>+'Sch 4 - 12 Months'!O61</f>
        <v>483.52</v>
      </c>
      <c r="D70" s="29">
        <f>+'WP-11, pg 2 Non-Regulated'!F45</f>
        <v>256.19416542900967</v>
      </c>
      <c r="E70" s="29">
        <f t="shared" si="4"/>
        <v>227.32583457099031</v>
      </c>
      <c r="F70" s="28"/>
      <c r="G70" s="32"/>
      <c r="H70" s="28"/>
      <c r="I70" s="32">
        <f t="shared" si="5"/>
        <v>227.32583457099031</v>
      </c>
      <c r="J70" s="32"/>
      <c r="K70" s="28"/>
      <c r="L70" s="32">
        <f t="shared" si="8"/>
        <v>227.32583457099031</v>
      </c>
      <c r="N70" s="817">
        <f t="shared" si="7"/>
        <v>227.32583457099031</v>
      </c>
    </row>
    <row r="71" spans="1:15" ht="15.75">
      <c r="A71" s="18">
        <v>55</v>
      </c>
      <c r="B71" s="9" t="s">
        <v>798</v>
      </c>
      <c r="C71" s="29">
        <f>+'Sch 4 - 12 Months'!O62</f>
        <v>10140.36</v>
      </c>
      <c r="D71" s="29">
        <f>+'WP-11, pg 2 Non-Regulated'!F46</f>
        <v>5372.8926773447074</v>
      </c>
      <c r="E71" s="29">
        <f t="shared" si="4"/>
        <v>4767.4673226552932</v>
      </c>
      <c r="F71" s="28"/>
      <c r="G71" s="37"/>
      <c r="H71" s="28"/>
      <c r="I71" s="32">
        <f t="shared" si="5"/>
        <v>4767.4673226552932</v>
      </c>
      <c r="J71" s="32"/>
      <c r="K71" s="28"/>
      <c r="L71" s="32">
        <f t="shared" si="8"/>
        <v>4767.4673226552932</v>
      </c>
      <c r="N71" s="817">
        <f t="shared" si="7"/>
        <v>4767.4673226552932</v>
      </c>
    </row>
    <row r="72" spans="1:15" ht="15.75">
      <c r="A72" s="18">
        <v>56</v>
      </c>
      <c r="B72" s="9" t="s">
        <v>812</v>
      </c>
      <c r="C72" s="29">
        <f>+'Sch 4 - 12 Months'!O63</f>
        <v>-4063.66</v>
      </c>
      <c r="D72" s="29">
        <f>+'WP-11, pg 2 Non-Regulated'!F47</f>
        <v>0</v>
      </c>
      <c r="E72" s="29">
        <f t="shared" si="4"/>
        <v>-4063.66</v>
      </c>
      <c r="F72" s="28"/>
      <c r="G72" s="36"/>
      <c r="H72" s="28"/>
      <c r="I72" s="32">
        <f t="shared" si="5"/>
        <v>-4063.66</v>
      </c>
      <c r="J72" s="32"/>
      <c r="K72" s="28"/>
      <c r="L72" s="32">
        <f t="shared" si="8"/>
        <v>-4063.66</v>
      </c>
      <c r="N72" s="817">
        <f t="shared" si="7"/>
        <v>-4063.66</v>
      </c>
    </row>
    <row r="73" spans="1:15" ht="15.75">
      <c r="A73" s="18">
        <v>57</v>
      </c>
      <c r="B73" s="9" t="s">
        <v>793</v>
      </c>
      <c r="C73" s="29">
        <f>+'Sch 4 - 12 Months'!O64</f>
        <v>10708.82</v>
      </c>
      <c r="D73" s="29">
        <f>+'WP-11, pg 2 Non-Regulated'!F48</f>
        <v>0</v>
      </c>
      <c r="E73" s="29">
        <f t="shared" si="4"/>
        <v>10708.82</v>
      </c>
      <c r="F73" s="28"/>
      <c r="G73" s="38">
        <f>+'Sch 1, pg 2 - Restated'!T67</f>
        <v>-10708.82</v>
      </c>
      <c r="H73" s="28" t="s">
        <v>44</v>
      </c>
      <c r="I73" s="32">
        <f t="shared" si="5"/>
        <v>0</v>
      </c>
      <c r="J73" s="32"/>
      <c r="K73" s="28"/>
      <c r="L73" s="32">
        <f t="shared" si="8"/>
        <v>0</v>
      </c>
      <c r="N73" s="817">
        <f t="shared" si="7"/>
        <v>0</v>
      </c>
    </row>
    <row r="74" spans="1:15" ht="15.75">
      <c r="A74" s="18">
        <v>58</v>
      </c>
      <c r="B74" s="9" t="s">
        <v>809</v>
      </c>
      <c r="C74" s="29">
        <f>+'Sch 4 - 12 Months'!O65</f>
        <v>-0.28000000000000003</v>
      </c>
      <c r="D74" s="29">
        <f>+'WP-11, pg 2 Non-Regulated'!F49</f>
        <v>0</v>
      </c>
      <c r="E74" s="29">
        <f t="shared" si="4"/>
        <v>-0.28000000000000003</v>
      </c>
      <c r="F74" s="28"/>
      <c r="G74" s="32"/>
      <c r="H74" s="28"/>
      <c r="I74" s="32">
        <f t="shared" si="5"/>
        <v>-0.28000000000000003</v>
      </c>
      <c r="J74" s="32"/>
      <c r="K74" s="28"/>
      <c r="L74" s="32">
        <f t="shared" si="8"/>
        <v>-0.28000000000000003</v>
      </c>
      <c r="N74" s="817">
        <f t="shared" si="7"/>
        <v>-0.28000000000000003</v>
      </c>
    </row>
    <row r="75" spans="1:15" ht="15.75">
      <c r="A75" s="18">
        <v>59</v>
      </c>
      <c r="B75" s="9" t="s">
        <v>30</v>
      </c>
      <c r="C75" s="29">
        <f>+'Sch 4 - 12 Months'!O66</f>
        <v>193.45</v>
      </c>
      <c r="D75" s="29">
        <f>+'WP-11, pg 2 Non-Regulated'!F50</f>
        <v>102.50097967110435</v>
      </c>
      <c r="E75" s="29">
        <f t="shared" si="4"/>
        <v>90.949020328895642</v>
      </c>
      <c r="F75" s="28"/>
      <c r="G75" s="32"/>
      <c r="H75" s="28"/>
      <c r="I75" s="32">
        <f t="shared" si="5"/>
        <v>90.949020328895642</v>
      </c>
      <c r="J75" s="32">
        <f>+'Sch 2, pg 2 - Forecast'!L76</f>
        <v>238.83787209850789</v>
      </c>
      <c r="K75" s="28" t="s">
        <v>53</v>
      </c>
      <c r="L75" s="32">
        <f t="shared" si="8"/>
        <v>329.78689242740353</v>
      </c>
      <c r="N75" s="817">
        <f t="shared" si="7"/>
        <v>329.78689242740353</v>
      </c>
    </row>
    <row r="76" spans="1:15" ht="15.75">
      <c r="A76" s="18">
        <v>60</v>
      </c>
      <c r="B76" s="9" t="s">
        <v>93</v>
      </c>
      <c r="C76" s="29">
        <f>+'Sch 4 - 12 Months'!O67</f>
        <v>180540.33</v>
      </c>
      <c r="D76" s="29">
        <f>+'WP-11, pg 2 Non-Regulated'!F51</f>
        <v>0</v>
      </c>
      <c r="E76" s="29">
        <f t="shared" si="4"/>
        <v>180540.33</v>
      </c>
      <c r="F76" s="28"/>
      <c r="G76" s="32">
        <f>+'Sch 1, pg 2 - Restated'!T70</f>
        <v>-180540.33</v>
      </c>
      <c r="H76" s="28" t="s">
        <v>46</v>
      </c>
      <c r="I76" s="32">
        <f t="shared" si="5"/>
        <v>0</v>
      </c>
      <c r="J76" s="32"/>
      <c r="K76" s="28"/>
      <c r="L76" s="32">
        <f t="shared" si="8"/>
        <v>0</v>
      </c>
      <c r="N76" s="817">
        <f t="shared" si="7"/>
        <v>0</v>
      </c>
    </row>
    <row r="77" spans="1:15" ht="15.75">
      <c r="A77" s="18">
        <v>61</v>
      </c>
      <c r="B77" s="9" t="s">
        <v>40</v>
      </c>
      <c r="C77" s="29">
        <f>+'Sch 4 - 12 Months'!O68</f>
        <v>1104909.8</v>
      </c>
      <c r="D77" s="29">
        <f>+'WP-11, pg 2 Non-Regulated'!F52</f>
        <v>692542.21518301649</v>
      </c>
      <c r="E77" s="29">
        <f t="shared" si="4"/>
        <v>412367.58481698355</v>
      </c>
      <c r="F77" s="28"/>
      <c r="G77" s="32">
        <f>+'Sch 1, pg 2 - Restated'!T71</f>
        <v>186981.84977064887</v>
      </c>
      <c r="H77" s="28" t="s">
        <v>43</v>
      </c>
      <c r="I77" s="32">
        <f t="shared" si="5"/>
        <v>599349.43458763242</v>
      </c>
      <c r="J77" s="32">
        <f>+'Sch 2, pg 2 - Forecast'!L78</f>
        <v>57974.690839099385</v>
      </c>
      <c r="K77" s="28" t="s">
        <v>53</v>
      </c>
      <c r="L77" s="32">
        <f t="shared" si="8"/>
        <v>657324.12542673177</v>
      </c>
      <c r="N77" s="817">
        <f t="shared" si="7"/>
        <v>657324.12542673177</v>
      </c>
    </row>
    <row r="78" spans="1:15" ht="15.75">
      <c r="A78" s="18">
        <v>62</v>
      </c>
      <c r="B78" s="9" t="s">
        <v>424</v>
      </c>
      <c r="C78" s="29">
        <v>0</v>
      </c>
      <c r="D78" s="29">
        <f>+'WP-11, pg 2 Non-Regulated'!F53</f>
        <v>0</v>
      </c>
      <c r="E78" s="29">
        <f t="shared" si="4"/>
        <v>0</v>
      </c>
      <c r="F78" s="28"/>
      <c r="G78" s="32"/>
      <c r="H78" s="28"/>
      <c r="I78" s="32">
        <f t="shared" si="5"/>
        <v>0</v>
      </c>
      <c r="J78" s="32">
        <f>+'Sch 2, pg 2 - Forecast'!L79</f>
        <v>7306.7833333333338</v>
      </c>
      <c r="K78" s="28" t="s">
        <v>74</v>
      </c>
      <c r="L78" s="32">
        <f t="shared" ref="L78" si="9">I78+J78</f>
        <v>7306.7833333333338</v>
      </c>
      <c r="N78" s="817">
        <f t="shared" si="7"/>
        <v>7306.7833333333338</v>
      </c>
    </row>
    <row r="79" spans="1:15" ht="15.75">
      <c r="B79" s="9"/>
      <c r="C79" s="29"/>
      <c r="D79" s="29"/>
      <c r="E79" s="29">
        <f t="shared" si="4"/>
        <v>0</v>
      </c>
      <c r="F79" s="28"/>
      <c r="G79" s="32"/>
      <c r="H79" s="28"/>
      <c r="I79" s="32">
        <f t="shared" si="5"/>
        <v>0</v>
      </c>
      <c r="J79" s="32"/>
      <c r="K79" s="28"/>
      <c r="L79" s="32"/>
      <c r="N79" s="817">
        <f t="shared" si="7"/>
        <v>0</v>
      </c>
    </row>
    <row r="80" spans="1:15" ht="15.75">
      <c r="B80" s="515" t="s">
        <v>13</v>
      </c>
      <c r="C80" s="21">
        <f>SUM(C30:C78)</f>
        <v>11265877.800000001</v>
      </c>
      <c r="D80" s="21">
        <f>SUM(D30:D78)</f>
        <v>5274343.5088783307</v>
      </c>
      <c r="E80" s="21">
        <f>SUM(E30:E78)</f>
        <v>5991534.2911216691</v>
      </c>
      <c r="F80" s="21">
        <f>SUM(F30:F78)</f>
        <v>0</v>
      </c>
      <c r="G80" s="21">
        <f>SUM(G30:G78)</f>
        <v>22631.089770648978</v>
      </c>
      <c r="H80" s="30"/>
      <c r="I80" s="30">
        <f>SUM(I30:I78)</f>
        <v>6014165.3808923159</v>
      </c>
      <c r="J80" s="30">
        <f>SUM(J30:J78)</f>
        <v>497769.21876396751</v>
      </c>
      <c r="K80" s="30"/>
      <c r="L80" s="30">
        <f>SUM(L30:L78)</f>
        <v>6511934.5996562848</v>
      </c>
      <c r="M80" s="30">
        <f>SUM(M30:M78)</f>
        <v>0</v>
      </c>
      <c r="N80" s="30">
        <f>SUM(N30:N78)</f>
        <v>6511934.5996562848</v>
      </c>
      <c r="O80" s="528"/>
    </row>
    <row r="81" spans="2:15" ht="15.75">
      <c r="B81" s="8"/>
      <c r="C81" s="19"/>
      <c r="D81" s="19"/>
      <c r="E81" s="19"/>
      <c r="F81" s="28"/>
      <c r="G81" s="32"/>
      <c r="H81" s="28"/>
      <c r="I81" s="32"/>
      <c r="J81" s="32"/>
      <c r="K81" s="28"/>
      <c r="L81" s="32"/>
    </row>
    <row r="82" spans="2:15" ht="15.75">
      <c r="B82" s="8"/>
      <c r="C82" s="19"/>
      <c r="D82" s="19"/>
      <c r="E82" s="19"/>
      <c r="F82" s="28"/>
      <c r="G82" s="32"/>
      <c r="H82" s="28"/>
      <c r="I82" s="32"/>
      <c r="J82" s="32"/>
      <c r="K82" s="28"/>
      <c r="L82" s="32"/>
    </row>
    <row r="83" spans="2:15">
      <c r="B83" s="11" t="s">
        <v>15</v>
      </c>
      <c r="C83" s="29">
        <f>C26-C80</f>
        <v>82673.639999998733</v>
      </c>
      <c r="D83" s="29"/>
      <c r="E83" s="29"/>
      <c r="F83" s="32"/>
      <c r="G83" s="32">
        <f>G26-G80</f>
        <v>-22631.089770648978</v>
      </c>
      <c r="H83" s="28"/>
      <c r="I83" s="32">
        <f>I26-I80</f>
        <v>-702.47089231479913</v>
      </c>
      <c r="J83" s="32">
        <f>+J26-J80</f>
        <v>-450109.90417403949</v>
      </c>
      <c r="K83" s="28"/>
      <c r="L83" s="32">
        <f>L26-L80</f>
        <v>-450812.3750663558</v>
      </c>
      <c r="N83" s="32">
        <f>N26-N80</f>
        <v>569734.62493364327</v>
      </c>
      <c r="O83" s="818"/>
    </row>
    <row r="84" spans="2:15">
      <c r="B84" s="11" t="s">
        <v>355</v>
      </c>
      <c r="C84" s="19"/>
      <c r="D84" s="19"/>
      <c r="E84" s="19"/>
      <c r="F84" s="28"/>
      <c r="G84" s="32">
        <f>+G83-'Sch 1, pg 2 - Restated'!T75</f>
        <v>0</v>
      </c>
      <c r="H84" s="28"/>
      <c r="I84" s="32"/>
      <c r="J84" s="32">
        <f>+J83-'Sch 2, pg 2 - Forecast'!L82</f>
        <v>0</v>
      </c>
      <c r="K84" s="28"/>
      <c r="L84" s="32"/>
    </row>
    <row r="85" spans="2:15">
      <c r="B85" s="11" t="s">
        <v>795</v>
      </c>
      <c r="C85" s="19">
        <f>+'Sch 4 - 12 Months'!O74</f>
        <v>4000</v>
      </c>
      <c r="D85" s="19"/>
      <c r="E85" s="19"/>
      <c r="F85" s="19"/>
      <c r="G85" s="32"/>
      <c r="H85" s="28"/>
      <c r="I85" s="32">
        <f>C85+G85+F85</f>
        <v>4000</v>
      </c>
      <c r="J85" s="32"/>
      <c r="K85" s="28"/>
      <c r="L85" s="32">
        <f>I85+J85</f>
        <v>4000</v>
      </c>
      <c r="N85" s="816">
        <f>+L85</f>
        <v>4000</v>
      </c>
    </row>
    <row r="86" spans="2:15">
      <c r="B86" s="11" t="s">
        <v>353</v>
      </c>
      <c r="C86" s="52">
        <f>+'Sch 4 - 12 Months'!O75</f>
        <v>0</v>
      </c>
      <c r="D86" s="722"/>
      <c r="E86" s="722"/>
      <c r="F86" s="19"/>
      <c r="G86" s="32"/>
      <c r="H86" s="28"/>
      <c r="I86" s="233">
        <f>C86+G86+F86</f>
        <v>0</v>
      </c>
      <c r="J86" s="32"/>
      <c r="K86" s="28"/>
      <c r="L86" s="233">
        <f>I86+J86</f>
        <v>0</v>
      </c>
      <c r="N86" s="233">
        <f>K86+L86</f>
        <v>0</v>
      </c>
    </row>
    <row r="87" spans="2:15">
      <c r="B87" s="11" t="s">
        <v>232</v>
      </c>
      <c r="C87" s="19">
        <f>SUM(C83:C86)</f>
        <v>86673.639999998733</v>
      </c>
      <c r="D87" s="19"/>
      <c r="E87" s="19"/>
      <c r="F87" s="19"/>
      <c r="G87" s="32"/>
      <c r="H87" s="28"/>
      <c r="I87" s="19">
        <f>SUM(I83:I86)</f>
        <v>3297.5291076852009</v>
      </c>
      <c r="J87" s="32"/>
      <c r="K87" s="28"/>
      <c r="L87" s="19">
        <f>SUM(L83:L86)</f>
        <v>-446812.3750663558</v>
      </c>
      <c r="N87" s="19">
        <f>SUM(N83:N86)</f>
        <v>573734.62493364327</v>
      </c>
    </row>
    <row r="88" spans="2:15">
      <c r="B88" s="11" t="s">
        <v>31</v>
      </c>
      <c r="C88" s="22">
        <f>C80/C26</f>
        <v>0.99271504910233732</v>
      </c>
      <c r="D88" s="22"/>
      <c r="E88" s="22"/>
      <c r="F88" s="35"/>
      <c r="G88" s="33"/>
      <c r="H88" s="35"/>
      <c r="I88" s="33">
        <f>I80/I26</f>
        <v>1.0001168163673457</v>
      </c>
      <c r="J88" s="33"/>
      <c r="K88" s="35"/>
      <c r="L88" s="33">
        <f>L80/L26</f>
        <v>1.0743777073554817</v>
      </c>
      <c r="N88" s="33">
        <f>N80/N26</f>
        <v>0.91954797564459323</v>
      </c>
    </row>
    <row r="89" spans="2:15">
      <c r="B89" s="11"/>
      <c r="C89" s="19"/>
      <c r="D89" s="19"/>
      <c r="E89" s="19"/>
      <c r="F89" s="26"/>
      <c r="G89" s="29"/>
      <c r="H89" s="26"/>
      <c r="I89" s="19"/>
      <c r="J89" s="19"/>
      <c r="K89" s="26"/>
      <c r="L89" s="19"/>
    </row>
    <row r="90" spans="2:15">
      <c r="B90" s="11" t="s">
        <v>425</v>
      </c>
      <c r="C90" s="19"/>
      <c r="D90" s="19"/>
      <c r="E90" s="19"/>
      <c r="F90" s="26"/>
      <c r="G90" s="29"/>
      <c r="H90" s="26"/>
      <c r="I90" s="19"/>
      <c r="J90" s="19"/>
      <c r="K90" s="26"/>
      <c r="L90" s="19"/>
    </row>
    <row r="91" spans="2:15">
      <c r="B91" s="11"/>
      <c r="C91" s="19"/>
      <c r="D91" s="19"/>
      <c r="E91" s="19"/>
      <c r="F91" s="26"/>
      <c r="G91" s="29"/>
      <c r="H91" s="26"/>
      <c r="I91" s="19"/>
      <c r="J91" s="19"/>
      <c r="K91" s="26"/>
      <c r="L91" s="19"/>
    </row>
    <row r="92" spans="2:15" ht="15.75">
      <c r="B92" s="8" t="s">
        <v>215</v>
      </c>
      <c r="C92" s="19"/>
      <c r="D92" s="19"/>
      <c r="E92" s="19"/>
      <c r="F92" s="26"/>
      <c r="G92" s="29"/>
      <c r="H92" s="26"/>
      <c r="I92" s="19"/>
      <c r="J92" s="19"/>
      <c r="K92" s="26"/>
      <c r="L92" s="19"/>
    </row>
    <row r="93" spans="2:15" ht="15.75">
      <c r="B93" s="8" t="s">
        <v>216</v>
      </c>
      <c r="C93" s="19"/>
      <c r="D93" s="19"/>
      <c r="E93" s="19"/>
      <c r="F93" s="26"/>
      <c r="G93" s="29"/>
      <c r="H93" s="26"/>
      <c r="I93" s="19"/>
      <c r="J93" s="19"/>
      <c r="K93" s="26"/>
      <c r="L93" s="19"/>
    </row>
    <row r="94" spans="2:15" ht="15.75">
      <c r="B94" s="8" t="s">
        <v>233</v>
      </c>
    </row>
  </sheetData>
  <mergeCells count="4">
    <mergeCell ref="B1:L1"/>
    <mergeCell ref="B3:L3"/>
    <mergeCell ref="B5:L5"/>
    <mergeCell ref="B6:L6"/>
  </mergeCells>
  <phoneticPr fontId="170" type="noConversion"/>
  <printOptions horizontalCentered="1"/>
  <pageMargins left="0.7" right="0.7" top="0.75" bottom="0.75" header="0.3" footer="0.3"/>
  <pageSetup scale="34" orientation="landscape" horizontalDpi="300" verticalDpi="300" r:id="rId1"/>
  <rowBreaks count="1" manualBreakCount="1">
    <brk id="51"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N20"/>
  <sheetViews>
    <sheetView view="pageBreakPreview" zoomScale="60" zoomScaleNormal="100" workbookViewId="0">
      <selection activeCell="A21" sqref="A21"/>
    </sheetView>
  </sheetViews>
  <sheetFormatPr defaultColWidth="8.88671875" defaultRowHeight="15.75"/>
  <cols>
    <col min="1" max="1" width="5.88671875" style="1" customWidth="1"/>
    <col min="2" max="8" width="7.88671875" style="1" customWidth="1"/>
    <col min="9" max="9" width="16.109375" style="1" customWidth="1"/>
    <col min="10" max="11" width="8.88671875" style="1"/>
    <col min="12" max="12" width="9.88671875" style="1" customWidth="1"/>
    <col min="13" max="16384" width="8.88671875" style="1"/>
  </cols>
  <sheetData>
    <row r="1" spans="1:14" ht="16.5">
      <c r="A1" s="819" t="str">
        <f>+Operations!B1</f>
        <v>Consolidated Disposal Services, Inc.</v>
      </c>
      <c r="B1" s="819"/>
      <c r="C1" s="819"/>
      <c r="D1" s="819"/>
      <c r="E1" s="819"/>
      <c r="F1" s="819"/>
      <c r="G1" s="819"/>
      <c r="H1" s="819"/>
      <c r="I1" s="819"/>
    </row>
    <row r="3" spans="1:14" ht="16.5">
      <c r="A3" s="819" t="s">
        <v>119</v>
      </c>
      <c r="B3" s="819"/>
      <c r="C3" s="819"/>
      <c r="D3" s="819"/>
      <c r="E3" s="819"/>
      <c r="F3" s="819"/>
      <c r="G3" s="819"/>
      <c r="H3" s="819"/>
      <c r="I3" s="819"/>
    </row>
    <row r="5" spans="1:14" ht="16.5">
      <c r="A5" s="819" t="s">
        <v>1154</v>
      </c>
      <c r="B5" s="819"/>
      <c r="C5" s="819"/>
      <c r="D5" s="819"/>
      <c r="E5" s="819"/>
      <c r="F5" s="819"/>
      <c r="G5" s="819"/>
      <c r="H5" s="819"/>
      <c r="I5" s="819"/>
    </row>
    <row r="6" spans="1:14">
      <c r="D6" s="234"/>
    </row>
    <row r="7" spans="1:14" ht="15.6" customHeight="1">
      <c r="A7" s="831" t="s">
        <v>1155</v>
      </c>
      <c r="B7" s="831"/>
      <c r="C7" s="831"/>
      <c r="D7" s="831"/>
      <c r="E7" s="831"/>
      <c r="F7" s="831"/>
      <c r="G7" s="831"/>
      <c r="H7" s="831"/>
      <c r="I7" s="831"/>
      <c r="K7" s="14"/>
      <c r="L7" s="15"/>
      <c r="M7" s="14"/>
    </row>
    <row r="8" spans="1:14">
      <c r="A8" s="831"/>
      <c r="B8" s="831"/>
      <c r="C8" s="831"/>
      <c r="D8" s="831"/>
      <c r="E8" s="831"/>
      <c r="F8" s="831"/>
      <c r="G8" s="831"/>
      <c r="H8" s="831"/>
      <c r="I8" s="831"/>
    </row>
    <row r="9" spans="1:14">
      <c r="A9" s="831"/>
      <c r="B9" s="831"/>
      <c r="C9" s="831"/>
      <c r="D9" s="831"/>
      <c r="E9" s="831"/>
      <c r="F9" s="831"/>
      <c r="G9" s="831"/>
      <c r="H9" s="831"/>
      <c r="I9" s="831"/>
      <c r="K9" s="14"/>
      <c r="L9" s="16"/>
      <c r="M9" s="14"/>
      <c r="N9" s="16"/>
    </row>
    <row r="10" spans="1:14" ht="18" customHeight="1">
      <c r="A10" s="831"/>
      <c r="B10" s="831"/>
      <c r="C10" s="831"/>
      <c r="D10" s="831"/>
      <c r="E10" s="831"/>
      <c r="F10" s="831"/>
      <c r="G10" s="831"/>
      <c r="H10" s="831"/>
      <c r="I10" s="831"/>
    </row>
    <row r="11" spans="1:14">
      <c r="A11" s="831"/>
      <c r="B11" s="831"/>
      <c r="C11" s="831"/>
      <c r="D11" s="831"/>
      <c r="E11" s="831"/>
      <c r="F11" s="831"/>
      <c r="G11" s="831"/>
      <c r="H11" s="831"/>
      <c r="I11" s="831"/>
    </row>
    <row r="12" spans="1:14">
      <c r="A12" s="831"/>
      <c r="B12" s="831"/>
      <c r="C12" s="831"/>
      <c r="D12" s="831"/>
      <c r="E12" s="831"/>
      <c r="F12" s="831"/>
      <c r="G12" s="831"/>
      <c r="H12" s="831"/>
      <c r="I12" s="831"/>
    </row>
    <row r="13" spans="1:14">
      <c r="A13" s="831"/>
      <c r="B13" s="831"/>
      <c r="C13" s="831"/>
      <c r="D13" s="831"/>
      <c r="E13" s="831"/>
      <c r="F13" s="831"/>
      <c r="G13" s="831"/>
      <c r="H13" s="831"/>
      <c r="I13" s="831"/>
    </row>
    <row r="14" spans="1:14" ht="15.6" customHeight="1"/>
    <row r="15" spans="1:14">
      <c r="A15" s="830" t="s">
        <v>1156</v>
      </c>
      <c r="B15" s="830"/>
      <c r="C15" s="830"/>
      <c r="D15" s="830"/>
      <c r="E15" s="830"/>
      <c r="F15" s="830"/>
      <c r="G15" s="830"/>
      <c r="H15" s="830"/>
      <c r="I15" s="830"/>
    </row>
    <row r="16" spans="1:14">
      <c r="A16" s="830"/>
      <c r="B16" s="830"/>
      <c r="C16" s="830"/>
      <c r="D16" s="830"/>
      <c r="E16" s="830"/>
      <c r="F16" s="830"/>
      <c r="G16" s="830"/>
      <c r="H16" s="830"/>
      <c r="I16" s="830"/>
    </row>
    <row r="17" spans="1:9">
      <c r="A17" s="830"/>
      <c r="B17" s="830"/>
      <c r="C17" s="830"/>
      <c r="D17" s="830"/>
      <c r="E17" s="830"/>
      <c r="F17" s="830"/>
      <c r="G17" s="830"/>
      <c r="H17" s="830"/>
      <c r="I17" s="830"/>
    </row>
    <row r="18" spans="1:9">
      <c r="A18" s="830"/>
      <c r="B18" s="830"/>
      <c r="C18" s="830"/>
      <c r="D18" s="830"/>
      <c r="E18" s="830"/>
      <c r="F18" s="830"/>
      <c r="G18" s="830"/>
      <c r="H18" s="830"/>
      <c r="I18" s="830"/>
    </row>
    <row r="19" spans="1:9">
      <c r="A19" s="830"/>
      <c r="B19" s="830"/>
      <c r="C19" s="830"/>
      <c r="D19" s="830"/>
      <c r="E19" s="830"/>
      <c r="F19" s="830"/>
      <c r="G19" s="830"/>
      <c r="H19" s="830"/>
      <c r="I19" s="830"/>
    </row>
    <row r="20" spans="1:9" ht="15.6" customHeight="1"/>
  </sheetData>
  <mergeCells count="5">
    <mergeCell ref="A15:I19"/>
    <mergeCell ref="A1:I1"/>
    <mergeCell ref="A3:I3"/>
    <mergeCell ref="A5:I5"/>
    <mergeCell ref="A7:I13"/>
  </mergeCells>
  <printOptions horizontalCentered="1"/>
  <pageMargins left="0.9" right="0.7" top="0.75" bottom="0.5" header="0" footer="0.25"/>
  <pageSetup scale="94" orientation="portrait" horizontalDpi="300" verticalDpi="300"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J47"/>
  <sheetViews>
    <sheetView topLeftCell="A2" zoomScaleNormal="100" workbookViewId="0">
      <selection activeCell="D17" sqref="D17"/>
    </sheetView>
  </sheetViews>
  <sheetFormatPr defaultColWidth="8" defaultRowHeight="15.75"/>
  <cols>
    <col min="1" max="1" width="5.88671875" style="428" customWidth="1"/>
    <col min="2" max="2" width="26.109375" style="422" bestFit="1" customWidth="1"/>
    <col min="3" max="3" width="18.44140625" style="422" customWidth="1"/>
    <col min="4" max="4" width="10.6640625" style="422" bestFit="1" customWidth="1"/>
    <col min="5" max="5" width="7.44140625" style="422" customWidth="1"/>
    <col min="6" max="6" width="3.6640625" style="422" customWidth="1"/>
    <col min="7" max="7" width="2.109375" style="422" customWidth="1"/>
    <col min="8" max="8" width="9.6640625" style="421" customWidth="1"/>
    <col min="9" max="9" width="8" style="422"/>
    <col min="10" max="10" width="9" style="422" bestFit="1" customWidth="1"/>
    <col min="11" max="16384" width="8" style="422"/>
  </cols>
  <sheetData>
    <row r="1" spans="1:7" ht="16.5" customHeight="1">
      <c r="A1" s="836" t="str">
        <f>+Assumptions!A1</f>
        <v>Consolidated Disposal Services, Inc.</v>
      </c>
      <c r="B1" s="837"/>
      <c r="C1" s="837"/>
      <c r="D1" s="837"/>
      <c r="E1" s="837"/>
      <c r="F1" s="837"/>
      <c r="G1" s="837"/>
    </row>
    <row r="2" spans="1:7" ht="13.5" customHeight="1">
      <c r="A2" s="837"/>
      <c r="B2" s="837"/>
      <c r="C2" s="837"/>
      <c r="D2" s="837"/>
      <c r="E2" s="837"/>
      <c r="F2" s="837"/>
      <c r="G2" s="837"/>
    </row>
    <row r="3" spans="1:7" ht="16.5">
      <c r="A3" s="837" t="s">
        <v>97</v>
      </c>
      <c r="B3" s="837"/>
      <c r="C3" s="837"/>
      <c r="D3" s="837"/>
      <c r="E3" s="837"/>
      <c r="F3" s="837"/>
      <c r="G3" s="837"/>
    </row>
    <row r="4" spans="1:7" ht="15.75" customHeight="1">
      <c r="A4" s="420"/>
      <c r="B4" s="420"/>
      <c r="C4" s="420"/>
      <c r="D4" s="420"/>
      <c r="E4" s="420"/>
      <c r="F4" s="420"/>
      <c r="G4" s="420"/>
    </row>
    <row r="5" spans="1:7" ht="15.75" customHeight="1">
      <c r="A5" s="838" t="str">
        <f>'Fly Sheet'!$A$20</f>
        <v>For the Twelve Months Ended December 31, 2021 Historical and March 31, 2024 Forecasted</v>
      </c>
      <c r="B5" s="839"/>
      <c r="C5" s="839"/>
      <c r="D5" s="839"/>
      <c r="E5" s="839"/>
      <c r="F5" s="839"/>
      <c r="G5" s="839"/>
    </row>
    <row r="6" spans="1:7" ht="15.75" customHeight="1">
      <c r="A6" s="838"/>
      <c r="B6" s="839"/>
      <c r="C6" s="839"/>
      <c r="D6" s="839"/>
      <c r="E6" s="839"/>
      <c r="F6" s="839"/>
      <c r="G6" s="839"/>
    </row>
    <row r="7" spans="1:7" ht="15.75" customHeight="1">
      <c r="A7" s="423" t="s">
        <v>25</v>
      </c>
      <c r="B7" s="424"/>
      <c r="C7" s="424"/>
      <c r="D7" s="424"/>
      <c r="E7" s="424"/>
      <c r="F7" s="424"/>
      <c r="G7" s="424"/>
    </row>
    <row r="8" spans="1:7" ht="36" customHeight="1">
      <c r="A8" s="425" t="s">
        <v>43</v>
      </c>
      <c r="B8" s="834" t="s">
        <v>1056</v>
      </c>
      <c r="C8" s="835"/>
      <c r="D8" s="835"/>
      <c r="E8" s="835"/>
      <c r="F8" s="835"/>
      <c r="G8" s="835"/>
    </row>
    <row r="9" spans="1:7" ht="34.35" customHeight="1">
      <c r="A9" s="425" t="s">
        <v>44</v>
      </c>
      <c r="B9" s="834" t="s">
        <v>1181</v>
      </c>
      <c r="C9" s="835"/>
      <c r="D9" s="835"/>
      <c r="E9" s="835"/>
      <c r="F9" s="835"/>
      <c r="G9" s="835"/>
    </row>
    <row r="10" spans="1:7">
      <c r="A10" s="425" t="s">
        <v>45</v>
      </c>
      <c r="B10" s="834" t="s">
        <v>855</v>
      </c>
      <c r="C10" s="835"/>
      <c r="D10" s="835"/>
      <c r="E10" s="835"/>
      <c r="F10" s="835"/>
      <c r="G10" s="835"/>
    </row>
    <row r="11" spans="1:7" ht="19.350000000000001" customHeight="1">
      <c r="A11" s="425" t="s">
        <v>46</v>
      </c>
      <c r="B11" s="840" t="s">
        <v>856</v>
      </c>
      <c r="C11" s="840"/>
      <c r="D11" s="573"/>
      <c r="E11" s="573"/>
      <c r="F11" s="573"/>
      <c r="G11" s="573"/>
    </row>
    <row r="12" spans="1:7" ht="19.350000000000001" customHeight="1">
      <c r="A12" s="425" t="s">
        <v>47</v>
      </c>
      <c r="B12" s="832" t="s">
        <v>1152</v>
      </c>
      <c r="C12" s="833"/>
      <c r="D12" s="833"/>
      <c r="E12" s="833"/>
      <c r="F12" s="833"/>
      <c r="G12" s="833"/>
    </row>
    <row r="13" spans="1:7" ht="19.350000000000001" customHeight="1">
      <c r="A13" s="425"/>
      <c r="B13" s="426"/>
      <c r="C13"/>
      <c r="D13"/>
      <c r="E13"/>
      <c r="F13"/>
      <c r="G13"/>
    </row>
    <row r="14" spans="1:7">
      <c r="A14" s="425"/>
      <c r="B14" s="426"/>
      <c r="C14"/>
      <c r="D14"/>
      <c r="E14"/>
      <c r="F14"/>
      <c r="G14"/>
    </row>
    <row r="15" spans="1:7">
      <c r="A15" s="423"/>
    </row>
    <row r="16" spans="1:7">
      <c r="A16" s="425"/>
      <c r="B16" s="423"/>
      <c r="E16" s="427"/>
      <c r="F16" s="427"/>
    </row>
    <row r="17" spans="1:10">
      <c r="B17" s="429"/>
      <c r="C17" s="430"/>
      <c r="D17" s="429"/>
      <c r="J17" s="429"/>
    </row>
    <row r="18" spans="1:10">
      <c r="B18" s="429"/>
      <c r="C18" s="430"/>
      <c r="D18" s="429"/>
      <c r="J18" s="429"/>
    </row>
    <row r="19" spans="1:10">
      <c r="B19" s="429"/>
      <c r="C19" s="430"/>
      <c r="D19" s="429"/>
      <c r="E19" s="429"/>
      <c r="J19" s="429"/>
    </row>
    <row r="20" spans="1:10">
      <c r="B20" s="429"/>
      <c r="C20" s="431"/>
      <c r="D20" s="429"/>
      <c r="J20" s="429"/>
    </row>
    <row r="21" spans="1:10">
      <c r="B21" s="423"/>
      <c r="C21" s="432"/>
      <c r="J21" s="423"/>
    </row>
    <row r="22" spans="1:10">
      <c r="B22" s="423"/>
      <c r="C22" s="432"/>
      <c r="J22" s="423"/>
    </row>
    <row r="23" spans="1:10">
      <c r="A23" s="433"/>
      <c r="B23" s="429"/>
      <c r="C23" s="434"/>
      <c r="J23" s="423"/>
    </row>
    <row r="24" spans="1:10">
      <c r="B24" s="429"/>
      <c r="C24" s="434"/>
      <c r="D24" s="429"/>
      <c r="J24" s="423"/>
    </row>
    <row r="25" spans="1:10">
      <c r="B25" s="429"/>
      <c r="C25" s="434"/>
      <c r="J25" s="423"/>
    </row>
    <row r="26" spans="1:10">
      <c r="B26" s="429"/>
      <c r="C26" s="434"/>
      <c r="E26" s="435"/>
      <c r="F26" s="436"/>
    </row>
    <row r="27" spans="1:10">
      <c r="B27" s="429"/>
      <c r="C27" s="434"/>
      <c r="E27" s="435"/>
      <c r="F27" s="436"/>
    </row>
    <row r="28" spans="1:10">
      <c r="A28" s="433"/>
      <c r="B28" s="429"/>
      <c r="C28" s="434"/>
    </row>
    <row r="29" spans="1:10">
      <c r="B29" s="429"/>
      <c r="C29" s="437"/>
      <c r="D29" s="437"/>
      <c r="E29" s="438"/>
    </row>
    <row r="30" spans="1:10">
      <c r="B30" s="429"/>
      <c r="C30" s="439"/>
      <c r="D30" s="438"/>
      <c r="E30" s="438"/>
    </row>
    <row r="31" spans="1:10">
      <c r="B31" s="429"/>
      <c r="C31" s="439"/>
      <c r="D31" s="440"/>
      <c r="E31" s="438"/>
    </row>
    <row r="32" spans="1:10">
      <c r="B32" s="429"/>
      <c r="C32" s="434"/>
    </row>
    <row r="33" spans="1:6">
      <c r="A33" s="433"/>
      <c r="B33" s="423"/>
    </row>
    <row r="34" spans="1:6" ht="15.75" customHeight="1">
      <c r="B34" s="441"/>
      <c r="C34" s="442"/>
      <c r="D34" s="442"/>
    </row>
    <row r="35" spans="1:6">
      <c r="B35" s="429"/>
      <c r="C35" s="434"/>
    </row>
    <row r="36" spans="1:6">
      <c r="A36" s="433"/>
      <c r="B36" s="429"/>
      <c r="C36" s="434"/>
    </row>
    <row r="37" spans="1:6">
      <c r="B37" s="429"/>
      <c r="C37" s="434"/>
      <c r="D37" s="437"/>
    </row>
    <row r="38" spans="1:6">
      <c r="B38" s="429"/>
      <c r="C38" s="434"/>
      <c r="D38" s="438"/>
    </row>
    <row r="39" spans="1:6">
      <c r="B39" s="429"/>
      <c r="C39" s="434"/>
      <c r="D39" s="440"/>
      <c r="E39" s="443"/>
    </row>
    <row r="40" spans="1:6">
      <c r="B40" s="429"/>
      <c r="C40" s="434"/>
    </row>
    <row r="41" spans="1:6">
      <c r="A41" s="440"/>
      <c r="B41" s="429"/>
      <c r="C41" s="434"/>
    </row>
    <row r="42" spans="1:6">
      <c r="C42" s="434"/>
    </row>
    <row r="43" spans="1:6">
      <c r="B43" s="429"/>
    </row>
    <row r="44" spans="1:6">
      <c r="B44" s="429"/>
      <c r="C44" s="430"/>
      <c r="F44" s="444"/>
    </row>
    <row r="45" spans="1:6">
      <c r="B45" s="429"/>
      <c r="C45" s="430"/>
    </row>
    <row r="47" spans="1:6">
      <c r="B47" s="429"/>
      <c r="C47" s="430"/>
    </row>
  </sheetData>
  <mergeCells count="10">
    <mergeCell ref="B12:G12"/>
    <mergeCell ref="B9:G9"/>
    <mergeCell ref="B10:G10"/>
    <mergeCell ref="B8:G8"/>
    <mergeCell ref="A1:G1"/>
    <mergeCell ref="A2:G2"/>
    <mergeCell ref="A3:G3"/>
    <mergeCell ref="A5:G5"/>
    <mergeCell ref="A6:G6"/>
    <mergeCell ref="B11:C11"/>
  </mergeCells>
  <phoneticPr fontId="10" type="noConversion"/>
  <printOptions horizontalCentered="1"/>
  <pageMargins left="0.9" right="0.7" top="0.75" bottom="0.5" header="0" footer="0.25"/>
  <pageSetup scale="87" orientation="portrait" horizontalDpi="300" verticalDpi="300" r:id="rId1"/>
  <headerFooter scaleWithDoc="0" alignWithMargins="0">
    <oddFooter xml:space="preserve">&amp;C&amp;"Times New Roman,Regular"&amp;10See accompanying summary of significant forecast assumptions. </oddFooter>
  </headerFooter>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W85"/>
  <sheetViews>
    <sheetView view="pageBreakPreview" zoomScale="60" zoomScaleNormal="85" workbookViewId="0">
      <selection activeCell="W10" sqref="W10"/>
    </sheetView>
  </sheetViews>
  <sheetFormatPr defaultColWidth="8" defaultRowHeight="15.75"/>
  <cols>
    <col min="1" max="1" width="30.6640625" style="448" customWidth="1"/>
    <col min="2" max="2" width="10.88671875" style="448" customWidth="1"/>
    <col min="3" max="3" width="1.5546875" style="448" customWidth="1"/>
    <col min="4" max="4" width="10.88671875" style="448" customWidth="1"/>
    <col min="5" max="5" width="1.5546875" style="448" customWidth="1"/>
    <col min="6" max="6" width="10.88671875" style="448" customWidth="1"/>
    <col min="7" max="7" width="1.5546875" style="448" customWidth="1"/>
    <col min="8" max="8" width="10.88671875" style="448" customWidth="1"/>
    <col min="9" max="9" width="1.5546875" style="448" customWidth="1"/>
    <col min="10" max="10" width="15.6640625" style="448" customWidth="1"/>
    <col min="11" max="11" width="1.5546875" style="448" customWidth="1"/>
    <col min="12" max="12" width="10.88671875" style="448" customWidth="1"/>
    <col min="13" max="13" width="1.5546875" style="448" customWidth="1"/>
    <col min="14" max="14" width="10.88671875" style="448" customWidth="1"/>
    <col min="15" max="15" width="1.5546875" style="448" customWidth="1"/>
    <col min="16" max="16" width="10.88671875" style="448" customWidth="1"/>
    <col min="17" max="17" width="1.5546875" style="448" customWidth="1"/>
    <col min="18" max="18" width="15.6640625" style="448" bestFit="1" customWidth="1"/>
    <col min="19" max="19" width="1.5546875" style="448" customWidth="1"/>
    <col min="20" max="20" width="10.88671875" style="448" customWidth="1"/>
    <col min="21" max="21" width="1.44140625" style="446" customWidth="1"/>
    <col min="22" max="22" width="4.88671875" style="446" customWidth="1"/>
    <col min="23" max="16384" width="8" style="446"/>
  </cols>
  <sheetData>
    <row r="1" spans="1:23">
      <c r="A1" s="841" t="str">
        <f>+Operations!B1</f>
        <v>Consolidated Disposal Services, Inc.</v>
      </c>
      <c r="B1" s="841"/>
      <c r="C1" s="841"/>
      <c r="D1" s="841"/>
      <c r="E1" s="841"/>
      <c r="F1" s="841"/>
      <c r="G1" s="841"/>
      <c r="H1" s="841"/>
      <c r="I1" s="841"/>
      <c r="J1" s="841"/>
      <c r="K1" s="841"/>
      <c r="L1" s="841"/>
      <c r="M1" s="841"/>
      <c r="N1" s="841"/>
      <c r="O1" s="841"/>
      <c r="P1" s="841"/>
      <c r="Q1" s="841"/>
      <c r="R1" s="841"/>
      <c r="S1" s="841"/>
      <c r="T1" s="841"/>
    </row>
    <row r="2" spans="1:23" ht="13.5" customHeight="1">
      <c r="A2" s="447"/>
      <c r="V2" s="449" t="s">
        <v>190</v>
      </c>
      <c r="W2" s="450" t="s">
        <v>221</v>
      </c>
    </row>
    <row r="3" spans="1:23">
      <c r="A3" s="841" t="s">
        <v>108</v>
      </c>
      <c r="B3" s="841"/>
      <c r="C3" s="841"/>
      <c r="D3" s="841"/>
      <c r="E3" s="841"/>
      <c r="F3" s="841"/>
      <c r="G3" s="841"/>
      <c r="H3" s="841"/>
      <c r="I3" s="841"/>
      <c r="J3" s="841"/>
      <c r="K3" s="841"/>
      <c r="L3" s="841"/>
      <c r="M3" s="841"/>
      <c r="N3" s="841"/>
      <c r="O3" s="841"/>
      <c r="P3" s="841"/>
      <c r="Q3" s="841"/>
      <c r="R3" s="841"/>
      <c r="S3" s="841"/>
      <c r="T3" s="841"/>
      <c r="V3" s="449" t="s">
        <v>191</v>
      </c>
      <c r="W3" s="450" t="s">
        <v>195</v>
      </c>
    </row>
    <row r="4" spans="1:23">
      <c r="A4" s="445"/>
      <c r="B4" s="445"/>
      <c r="C4" s="445"/>
      <c r="D4" s="445"/>
      <c r="E4" s="445"/>
      <c r="F4" s="445"/>
      <c r="G4" s="445"/>
      <c r="H4" s="445"/>
      <c r="I4" s="445"/>
      <c r="J4" s="445"/>
      <c r="K4" s="445"/>
      <c r="L4" s="445"/>
      <c r="M4" s="445"/>
      <c r="N4" s="445"/>
      <c r="O4" s="445"/>
      <c r="P4" s="445"/>
      <c r="Q4" s="445"/>
      <c r="R4" s="445"/>
      <c r="S4" s="445"/>
      <c r="T4" s="445"/>
      <c r="V4" s="449" t="s">
        <v>192</v>
      </c>
      <c r="W4" s="450" t="s">
        <v>222</v>
      </c>
    </row>
    <row r="5" spans="1:23">
      <c r="A5" s="841" t="str">
        <f>'Fly Sheet'!$A$20</f>
        <v>For the Twelve Months Ended December 31, 2021 Historical and March 31, 2024 Forecasted</v>
      </c>
      <c r="B5" s="841"/>
      <c r="C5" s="841"/>
      <c r="D5" s="841"/>
      <c r="E5" s="841"/>
      <c r="F5" s="841"/>
      <c r="G5" s="841"/>
      <c r="H5" s="841"/>
      <c r="I5" s="841"/>
      <c r="J5" s="841"/>
      <c r="K5" s="841"/>
      <c r="L5" s="841"/>
      <c r="M5" s="841"/>
      <c r="N5" s="841"/>
      <c r="O5" s="841"/>
      <c r="P5" s="841"/>
      <c r="Q5" s="841"/>
      <c r="R5" s="841"/>
      <c r="S5" s="841"/>
      <c r="T5" s="841"/>
      <c r="V5" s="449" t="s">
        <v>193</v>
      </c>
      <c r="W5" s="450" t="s">
        <v>194</v>
      </c>
    </row>
    <row r="6" spans="1:23">
      <c r="A6" s="841"/>
      <c r="B6" s="841"/>
      <c r="C6" s="841"/>
      <c r="D6" s="841"/>
      <c r="E6" s="841"/>
      <c r="F6" s="841"/>
      <c r="G6" s="841"/>
      <c r="H6" s="841"/>
      <c r="I6" s="841"/>
      <c r="J6" s="841"/>
      <c r="K6" s="841"/>
      <c r="L6" s="841"/>
      <c r="M6" s="841"/>
      <c r="N6" s="841"/>
      <c r="O6" s="841"/>
      <c r="P6" s="841"/>
      <c r="Q6" s="841"/>
      <c r="R6" s="841"/>
      <c r="S6" s="841"/>
      <c r="T6" s="841"/>
    </row>
    <row r="7" spans="1:23">
      <c r="A7" s="445"/>
      <c r="B7" s="445"/>
      <c r="C7" s="445"/>
      <c r="D7" s="445"/>
      <c r="E7" s="445"/>
      <c r="F7" s="445"/>
      <c r="G7" s="445"/>
      <c r="H7" s="445"/>
      <c r="I7" s="445"/>
      <c r="J7" s="445"/>
      <c r="K7" s="445"/>
      <c r="L7" s="445"/>
      <c r="M7" s="445"/>
      <c r="N7" s="445"/>
      <c r="O7" s="445"/>
      <c r="P7" s="445"/>
      <c r="Q7" s="445"/>
      <c r="R7" s="445"/>
      <c r="S7" s="445"/>
      <c r="T7" s="445"/>
    </row>
    <row r="8" spans="1:23" ht="12.95" customHeight="1">
      <c r="A8" s="451"/>
      <c r="B8" s="452" t="s">
        <v>43</v>
      </c>
      <c r="C8" s="452"/>
      <c r="D8" s="452" t="s">
        <v>44</v>
      </c>
      <c r="E8" s="452"/>
      <c r="F8" s="452" t="s">
        <v>45</v>
      </c>
      <c r="G8" s="452"/>
      <c r="H8" s="452" t="s">
        <v>46</v>
      </c>
      <c r="I8" s="452"/>
      <c r="J8" s="452" t="s">
        <v>47</v>
      </c>
      <c r="K8" s="452"/>
      <c r="L8" s="452" t="s">
        <v>48</v>
      </c>
      <c r="M8" s="452"/>
      <c r="N8" s="452" t="s">
        <v>49</v>
      </c>
      <c r="O8" s="452"/>
      <c r="P8" s="452" t="s">
        <v>219</v>
      </c>
      <c r="Q8" s="452"/>
      <c r="R8" s="452" t="s">
        <v>220</v>
      </c>
      <c r="S8" s="452"/>
      <c r="T8" s="453"/>
    </row>
    <row r="9" spans="1:23" ht="12.95" customHeight="1">
      <c r="A9" s="451"/>
      <c r="B9" s="452" t="s">
        <v>17</v>
      </c>
      <c r="C9" s="452"/>
      <c r="D9" s="452" t="s">
        <v>845</v>
      </c>
      <c r="E9" s="453"/>
      <c r="F9" s="452" t="s">
        <v>864</v>
      </c>
      <c r="G9" s="452"/>
      <c r="H9" s="452" t="s">
        <v>845</v>
      </c>
      <c r="I9" s="452"/>
      <c r="J9" s="452" t="s">
        <v>1</v>
      </c>
      <c r="K9" s="453"/>
      <c r="L9" s="452"/>
      <c r="M9" s="452"/>
      <c r="N9" s="452"/>
      <c r="O9" s="452"/>
      <c r="P9" s="452"/>
      <c r="Q9" s="452"/>
      <c r="R9" s="452"/>
      <c r="S9" s="452"/>
      <c r="T9" s="452" t="s">
        <v>0</v>
      </c>
    </row>
    <row r="10" spans="1:23" ht="12.95" customHeight="1">
      <c r="A10" s="451"/>
      <c r="B10" s="452" t="s">
        <v>20</v>
      </c>
      <c r="C10" s="452"/>
      <c r="D10" s="452" t="s">
        <v>392</v>
      </c>
      <c r="E10" s="452"/>
      <c r="F10" s="452" t="s">
        <v>865</v>
      </c>
      <c r="G10" s="452"/>
      <c r="H10" s="452" t="s">
        <v>846</v>
      </c>
      <c r="I10" s="452"/>
      <c r="J10" s="452" t="s">
        <v>1173</v>
      </c>
      <c r="K10" s="452"/>
      <c r="L10" s="452"/>
      <c r="M10" s="452"/>
      <c r="N10" s="452"/>
      <c r="O10" s="452"/>
      <c r="P10" s="452"/>
      <c r="Q10" s="452"/>
      <c r="R10" s="452"/>
      <c r="S10" s="452"/>
      <c r="T10" s="452" t="s">
        <v>21</v>
      </c>
    </row>
    <row r="11" spans="1:23" ht="12.95" customHeight="1">
      <c r="A11" s="451"/>
      <c r="B11" s="454" t="s">
        <v>24</v>
      </c>
      <c r="C11" s="452"/>
      <c r="D11" s="454" t="s">
        <v>28</v>
      </c>
      <c r="E11" s="452"/>
      <c r="F11" s="454" t="s">
        <v>24</v>
      </c>
      <c r="G11" s="452"/>
      <c r="H11" s="454" t="s">
        <v>9</v>
      </c>
      <c r="I11" s="452"/>
      <c r="J11" s="454" t="s">
        <v>1172</v>
      </c>
      <c r="K11" s="452"/>
      <c r="L11" s="454"/>
      <c r="M11" s="452"/>
      <c r="N11" s="454"/>
      <c r="O11" s="454"/>
      <c r="P11" s="454"/>
      <c r="Q11" s="454"/>
      <c r="R11" s="454"/>
      <c r="S11" s="454"/>
      <c r="T11" s="454" t="s">
        <v>25</v>
      </c>
    </row>
    <row r="12" spans="1:23" ht="15" customHeight="1">
      <c r="A12" s="521" t="str">
        <f>+Operations!B11</f>
        <v>REVENUES</v>
      </c>
      <c r="B12" s="451"/>
      <c r="C12" s="451"/>
      <c r="D12" s="451"/>
      <c r="E12" s="451"/>
      <c r="F12" s="451"/>
      <c r="G12" s="451"/>
      <c r="H12" s="451"/>
      <c r="I12" s="451"/>
      <c r="J12" s="451"/>
      <c r="K12" s="451"/>
      <c r="L12" s="451"/>
      <c r="M12" s="451"/>
      <c r="N12" s="451"/>
      <c r="O12" s="451"/>
      <c r="P12" s="451"/>
      <c r="Q12" s="451"/>
      <c r="R12" s="451"/>
      <c r="S12" s="451"/>
      <c r="T12" s="451"/>
    </row>
    <row r="13" spans="1:23" ht="15" customHeight="1">
      <c r="A13" s="9" t="s">
        <v>813</v>
      </c>
      <c r="B13" s="455">
        <v>0</v>
      </c>
      <c r="C13" s="456"/>
      <c r="D13" s="455">
        <v>0</v>
      </c>
      <c r="E13" s="456"/>
      <c r="F13" s="455">
        <v>0</v>
      </c>
      <c r="G13" s="456"/>
      <c r="H13" s="455">
        <v>0</v>
      </c>
      <c r="I13" s="456"/>
      <c r="J13" s="455">
        <v>0</v>
      </c>
      <c r="K13" s="456"/>
      <c r="L13" s="455">
        <v>0</v>
      </c>
      <c r="M13" s="456"/>
      <c r="N13" s="455">
        <v>0</v>
      </c>
      <c r="O13" s="456"/>
      <c r="P13" s="455">
        <v>0</v>
      </c>
      <c r="Q13" s="456"/>
      <c r="R13" s="455">
        <v>0</v>
      </c>
      <c r="S13" s="456"/>
      <c r="T13" s="455">
        <f>SUM(B13:R13)</f>
        <v>0</v>
      </c>
    </row>
    <row r="14" spans="1:23" ht="15" customHeight="1">
      <c r="A14" s="9" t="s">
        <v>814</v>
      </c>
      <c r="B14" s="456">
        <v>0</v>
      </c>
      <c r="C14" s="456"/>
      <c r="D14" s="456">
        <v>0</v>
      </c>
      <c r="E14" s="456"/>
      <c r="F14" s="456">
        <v>0</v>
      </c>
      <c r="G14" s="456"/>
      <c r="H14" s="456">
        <v>0</v>
      </c>
      <c r="I14" s="456"/>
      <c r="J14" s="456">
        <v>0</v>
      </c>
      <c r="K14" s="456"/>
      <c r="L14" s="456">
        <v>0</v>
      </c>
      <c r="M14" s="456"/>
      <c r="N14" s="456">
        <v>0</v>
      </c>
      <c r="O14" s="456"/>
      <c r="P14" s="456">
        <v>0</v>
      </c>
      <c r="Q14" s="456"/>
      <c r="R14" s="456">
        <v>0</v>
      </c>
      <c r="S14" s="456"/>
      <c r="T14" s="456">
        <f>SUM(B14:R14)</f>
        <v>0</v>
      </c>
    </row>
    <row r="15" spans="1:23" ht="15" customHeight="1">
      <c r="A15" s="9" t="s">
        <v>815</v>
      </c>
      <c r="B15" s="456">
        <v>0</v>
      </c>
      <c r="C15" s="456"/>
      <c r="D15" s="456">
        <v>0</v>
      </c>
      <c r="E15" s="456"/>
      <c r="F15" s="456">
        <v>0</v>
      </c>
      <c r="G15" s="456"/>
      <c r="H15" s="456">
        <v>0</v>
      </c>
      <c r="I15" s="456"/>
      <c r="J15" s="456">
        <v>0</v>
      </c>
      <c r="K15" s="456"/>
      <c r="L15" s="456">
        <v>0</v>
      </c>
      <c r="M15" s="456"/>
      <c r="N15" s="456">
        <v>0</v>
      </c>
      <c r="O15" s="456"/>
      <c r="P15" s="456">
        <v>0</v>
      </c>
      <c r="Q15" s="456"/>
      <c r="R15" s="456">
        <v>0</v>
      </c>
      <c r="S15" s="456"/>
      <c r="T15" s="456">
        <f t="shared" ref="T15:T27" si="0">SUM(B15:R15)</f>
        <v>0</v>
      </c>
    </row>
    <row r="16" spans="1:23" ht="15" customHeight="1">
      <c r="A16" s="9" t="s">
        <v>816</v>
      </c>
      <c r="B16" s="456">
        <v>0</v>
      </c>
      <c r="C16" s="456"/>
      <c r="D16" s="456">
        <v>0</v>
      </c>
      <c r="E16" s="456"/>
      <c r="F16" s="456">
        <v>0</v>
      </c>
      <c r="G16" s="456"/>
      <c r="H16" s="456">
        <v>0</v>
      </c>
      <c r="I16" s="456"/>
      <c r="J16" s="456">
        <v>0</v>
      </c>
      <c r="K16" s="456"/>
      <c r="L16" s="456">
        <v>0</v>
      </c>
      <c r="M16" s="456"/>
      <c r="N16" s="456">
        <v>0</v>
      </c>
      <c r="O16" s="456"/>
      <c r="P16" s="456">
        <v>0</v>
      </c>
      <c r="Q16" s="456"/>
      <c r="R16" s="456">
        <v>0</v>
      </c>
      <c r="S16" s="456"/>
      <c r="T16" s="456">
        <f t="shared" si="0"/>
        <v>0</v>
      </c>
    </row>
    <row r="17" spans="1:20" ht="15" customHeight="1">
      <c r="A17" s="9" t="s">
        <v>817</v>
      </c>
      <c r="B17" s="456">
        <v>0</v>
      </c>
      <c r="C17" s="456"/>
      <c r="D17" s="456">
        <v>0</v>
      </c>
      <c r="E17" s="456"/>
      <c r="F17" s="456">
        <v>0</v>
      </c>
      <c r="G17" s="456"/>
      <c r="H17" s="456">
        <v>0</v>
      </c>
      <c r="I17" s="456"/>
      <c r="J17" s="456">
        <v>0</v>
      </c>
      <c r="K17" s="456"/>
      <c r="L17" s="456">
        <v>0</v>
      </c>
      <c r="M17" s="456"/>
      <c r="N17" s="456">
        <v>0</v>
      </c>
      <c r="O17" s="456"/>
      <c r="P17" s="456">
        <v>0</v>
      </c>
      <c r="Q17" s="456"/>
      <c r="R17" s="456">
        <v>0</v>
      </c>
      <c r="S17" s="456"/>
      <c r="T17" s="456">
        <f>SUM(B17:R17)</f>
        <v>0</v>
      </c>
    </row>
    <row r="18" spans="1:20" ht="15" customHeight="1">
      <c r="A18" s="9" t="s">
        <v>818</v>
      </c>
      <c r="B18" s="456">
        <v>0</v>
      </c>
      <c r="C18" s="456"/>
      <c r="D18" s="456">
        <v>0</v>
      </c>
      <c r="E18" s="456"/>
      <c r="F18" s="456">
        <v>0</v>
      </c>
      <c r="G18" s="456"/>
      <c r="H18" s="456">
        <v>0</v>
      </c>
      <c r="I18" s="456"/>
      <c r="J18" s="456">
        <v>0</v>
      </c>
      <c r="K18" s="456"/>
      <c r="L18" s="456">
        <v>0</v>
      </c>
      <c r="M18" s="456"/>
      <c r="N18" s="456">
        <v>0</v>
      </c>
      <c r="O18" s="456"/>
      <c r="P18" s="456">
        <v>0</v>
      </c>
      <c r="Q18" s="456"/>
      <c r="R18" s="456">
        <v>0</v>
      </c>
      <c r="S18" s="456"/>
      <c r="T18" s="456">
        <f>SUM(B18:R18)</f>
        <v>0</v>
      </c>
    </row>
    <row r="19" spans="1:20" ht="15" customHeight="1">
      <c r="A19" s="9" t="s">
        <v>819</v>
      </c>
      <c r="B19" s="456">
        <v>0</v>
      </c>
      <c r="C19" s="456"/>
      <c r="D19" s="456">
        <v>0</v>
      </c>
      <c r="E19" s="456"/>
      <c r="F19" s="456">
        <v>0</v>
      </c>
      <c r="G19" s="456"/>
      <c r="H19" s="456">
        <v>0</v>
      </c>
      <c r="I19" s="456"/>
      <c r="J19" s="456">
        <v>0</v>
      </c>
      <c r="K19" s="456"/>
      <c r="L19" s="456">
        <v>0</v>
      </c>
      <c r="M19" s="456"/>
      <c r="N19" s="456">
        <v>0</v>
      </c>
      <c r="O19" s="456"/>
      <c r="P19" s="456">
        <v>0</v>
      </c>
      <c r="Q19" s="456"/>
      <c r="R19" s="456">
        <v>0</v>
      </c>
      <c r="S19" s="456"/>
      <c r="T19" s="456">
        <f t="shared" ref="T19:T26" si="1">SUM(B19:R19)</f>
        <v>0</v>
      </c>
    </row>
    <row r="20" spans="1:20" ht="15" customHeight="1">
      <c r="A20" s="9" t="s">
        <v>820</v>
      </c>
      <c r="B20" s="456">
        <v>0</v>
      </c>
      <c r="C20" s="456"/>
      <c r="D20" s="456">
        <v>0</v>
      </c>
      <c r="E20" s="456"/>
      <c r="F20" s="456">
        <v>0</v>
      </c>
      <c r="G20" s="456"/>
      <c r="H20" s="456">
        <v>0</v>
      </c>
      <c r="I20" s="456"/>
      <c r="J20" s="456">
        <v>0</v>
      </c>
      <c r="K20" s="456"/>
      <c r="L20" s="456">
        <v>0</v>
      </c>
      <c r="M20" s="456"/>
      <c r="N20" s="456">
        <v>0</v>
      </c>
      <c r="O20" s="456"/>
      <c r="P20" s="456">
        <v>0</v>
      </c>
      <c r="Q20" s="456"/>
      <c r="R20" s="456">
        <v>0</v>
      </c>
      <c r="S20" s="456"/>
      <c r="T20" s="456">
        <f t="shared" si="1"/>
        <v>0</v>
      </c>
    </row>
    <row r="21" spans="1:20" ht="15" customHeight="1">
      <c r="A21" s="9" t="s">
        <v>821</v>
      </c>
      <c r="B21" s="456">
        <v>0</v>
      </c>
      <c r="C21" s="456"/>
      <c r="D21" s="456">
        <v>0</v>
      </c>
      <c r="E21" s="456"/>
      <c r="F21" s="456">
        <v>0</v>
      </c>
      <c r="G21" s="456"/>
      <c r="H21" s="456">
        <v>0</v>
      </c>
      <c r="I21" s="456"/>
      <c r="J21" s="456">
        <v>0</v>
      </c>
      <c r="K21" s="456"/>
      <c r="L21" s="456">
        <v>0</v>
      </c>
      <c r="M21" s="456"/>
      <c r="N21" s="456">
        <v>0</v>
      </c>
      <c r="O21" s="456"/>
      <c r="P21" s="456">
        <v>0</v>
      </c>
      <c r="Q21" s="456"/>
      <c r="R21" s="456">
        <v>0</v>
      </c>
      <c r="S21" s="456"/>
      <c r="T21" s="456">
        <f>SUM(B21:R21)</f>
        <v>0</v>
      </c>
    </row>
    <row r="22" spans="1:20" ht="15" customHeight="1">
      <c r="A22" s="9" t="s">
        <v>822</v>
      </c>
      <c r="B22" s="456">
        <v>0</v>
      </c>
      <c r="C22" s="456"/>
      <c r="D22" s="456">
        <v>0</v>
      </c>
      <c r="E22" s="456"/>
      <c r="F22" s="456">
        <v>0</v>
      </c>
      <c r="G22" s="456"/>
      <c r="H22" s="456">
        <v>0</v>
      </c>
      <c r="I22" s="456"/>
      <c r="J22" s="456">
        <v>0</v>
      </c>
      <c r="K22" s="456"/>
      <c r="L22" s="456">
        <v>0</v>
      </c>
      <c r="M22" s="456"/>
      <c r="N22" s="456">
        <v>0</v>
      </c>
      <c r="O22" s="456"/>
      <c r="P22" s="456">
        <v>0</v>
      </c>
      <c r="Q22" s="456"/>
      <c r="R22" s="456">
        <v>0</v>
      </c>
      <c r="S22" s="456"/>
      <c r="T22" s="456">
        <f t="shared" si="1"/>
        <v>0</v>
      </c>
    </row>
    <row r="23" spans="1:20" ht="15" customHeight="1">
      <c r="A23" s="9" t="s">
        <v>823</v>
      </c>
      <c r="B23" s="456">
        <v>0</v>
      </c>
      <c r="C23" s="456"/>
      <c r="D23" s="456">
        <v>0</v>
      </c>
      <c r="E23" s="456"/>
      <c r="F23" s="456">
        <v>0</v>
      </c>
      <c r="G23" s="456"/>
      <c r="H23" s="456">
        <v>0</v>
      </c>
      <c r="I23" s="456"/>
      <c r="J23" s="456">
        <v>0</v>
      </c>
      <c r="K23" s="456"/>
      <c r="L23" s="456">
        <v>0</v>
      </c>
      <c r="M23" s="456"/>
      <c r="N23" s="456">
        <v>0</v>
      </c>
      <c r="O23" s="456"/>
      <c r="P23" s="456">
        <v>0</v>
      </c>
      <c r="Q23" s="456"/>
      <c r="R23" s="456">
        <v>0</v>
      </c>
      <c r="S23" s="456"/>
      <c r="T23" s="456">
        <f t="shared" si="1"/>
        <v>0</v>
      </c>
    </row>
    <row r="24" spans="1:20" ht="15" customHeight="1">
      <c r="A24" s="9" t="s">
        <v>824</v>
      </c>
      <c r="B24" s="456">
        <v>0</v>
      </c>
      <c r="C24" s="456"/>
      <c r="D24" s="456">
        <v>0</v>
      </c>
      <c r="E24" s="456"/>
      <c r="F24" s="456">
        <v>0</v>
      </c>
      <c r="G24" s="456"/>
      <c r="H24" s="456">
        <v>0</v>
      </c>
      <c r="I24" s="456"/>
      <c r="J24" s="456">
        <v>0</v>
      </c>
      <c r="K24" s="456"/>
      <c r="L24" s="456">
        <v>0</v>
      </c>
      <c r="M24" s="456"/>
      <c r="N24" s="456">
        <v>0</v>
      </c>
      <c r="O24" s="456"/>
      <c r="P24" s="456">
        <v>0</v>
      </c>
      <c r="Q24" s="456"/>
      <c r="R24" s="456">
        <v>0</v>
      </c>
      <c r="S24" s="456"/>
      <c r="T24" s="456">
        <f t="shared" si="1"/>
        <v>0</v>
      </c>
    </row>
    <row r="25" spans="1:20" ht="15" customHeight="1">
      <c r="A25" s="9" t="s">
        <v>827</v>
      </c>
      <c r="B25" s="456">
        <v>0</v>
      </c>
      <c r="C25" s="456"/>
      <c r="D25" s="456">
        <v>0</v>
      </c>
      <c r="E25" s="456"/>
      <c r="F25" s="456">
        <v>0</v>
      </c>
      <c r="G25" s="456"/>
      <c r="H25" s="456">
        <v>0</v>
      </c>
      <c r="I25" s="456"/>
      <c r="J25" s="456">
        <v>0</v>
      </c>
      <c r="K25" s="456"/>
      <c r="L25" s="456">
        <v>0</v>
      </c>
      <c r="M25" s="456"/>
      <c r="N25" s="456">
        <v>0</v>
      </c>
      <c r="O25" s="456"/>
      <c r="P25" s="456">
        <v>0</v>
      </c>
      <c r="Q25" s="456"/>
      <c r="R25" s="456">
        <v>0</v>
      </c>
      <c r="S25" s="456"/>
      <c r="T25" s="456">
        <f t="shared" si="1"/>
        <v>0</v>
      </c>
    </row>
    <row r="26" spans="1:20" ht="15" customHeight="1">
      <c r="A26" s="9" t="s">
        <v>825</v>
      </c>
      <c r="B26" s="456">
        <v>0</v>
      </c>
      <c r="C26" s="456"/>
      <c r="D26" s="456">
        <v>0</v>
      </c>
      <c r="E26" s="456"/>
      <c r="F26" s="456">
        <v>0</v>
      </c>
      <c r="G26" s="456"/>
      <c r="H26" s="456">
        <v>0</v>
      </c>
      <c r="I26" s="456"/>
      <c r="J26" s="456">
        <v>0</v>
      </c>
      <c r="K26" s="456"/>
      <c r="L26" s="456">
        <v>0</v>
      </c>
      <c r="M26" s="456"/>
      <c r="N26" s="456">
        <v>0</v>
      </c>
      <c r="O26" s="456"/>
      <c r="P26" s="456">
        <v>0</v>
      </c>
      <c r="Q26" s="456"/>
      <c r="R26" s="456">
        <v>0</v>
      </c>
      <c r="S26" s="456"/>
      <c r="T26" s="456">
        <f t="shared" si="1"/>
        <v>0</v>
      </c>
    </row>
    <row r="27" spans="1:20" ht="15" customHeight="1">
      <c r="A27" s="9" t="s">
        <v>826</v>
      </c>
      <c r="B27" s="457">
        <v>0</v>
      </c>
      <c r="C27" s="456"/>
      <c r="D27" s="456">
        <f>-Operations!C25</f>
        <v>0</v>
      </c>
      <c r="E27" s="456"/>
      <c r="F27" s="457">
        <v>0</v>
      </c>
      <c r="G27" s="456"/>
      <c r="H27" s="457">
        <v>0</v>
      </c>
      <c r="I27" s="456"/>
      <c r="J27" s="457">
        <v>0</v>
      </c>
      <c r="K27" s="456"/>
      <c r="L27" s="457">
        <v>0</v>
      </c>
      <c r="M27" s="456"/>
      <c r="N27" s="457">
        <v>0</v>
      </c>
      <c r="O27" s="456"/>
      <c r="P27" s="458">
        <v>0</v>
      </c>
      <c r="Q27" s="456"/>
      <c r="R27" s="458">
        <v>0</v>
      </c>
      <c r="S27" s="456"/>
      <c r="T27" s="456">
        <f t="shared" si="0"/>
        <v>0</v>
      </c>
    </row>
    <row r="28" spans="1:20" ht="15" customHeight="1">
      <c r="A28" s="451"/>
      <c r="B28" s="457">
        <f>SUM(B13:B27)</f>
        <v>0</v>
      </c>
      <c r="C28" s="456"/>
      <c r="D28" s="459">
        <f>SUM(D13:D27)</f>
        <v>0</v>
      </c>
      <c r="E28" s="456"/>
      <c r="F28" s="457">
        <f>SUM(F13:F27)</f>
        <v>0</v>
      </c>
      <c r="G28" s="456"/>
      <c r="H28" s="457">
        <f>SUM(H13:H27)</f>
        <v>0</v>
      </c>
      <c r="I28" s="456"/>
      <c r="J28" s="457">
        <f>SUM(J13:J27)</f>
        <v>0</v>
      </c>
      <c r="K28" s="456"/>
      <c r="L28" s="457">
        <f>SUM(L13:L27)</f>
        <v>0</v>
      </c>
      <c r="M28" s="456"/>
      <c r="N28" s="457">
        <f>SUM(N13:N27)</f>
        <v>0</v>
      </c>
      <c r="O28" s="456"/>
      <c r="P28" s="457">
        <f>SUM(P13:P27)</f>
        <v>0</v>
      </c>
      <c r="Q28" s="456"/>
      <c r="R28" s="457">
        <f>SUM(R13:R27)</f>
        <v>0</v>
      </c>
      <c r="S28" s="456"/>
      <c r="T28" s="459">
        <f>SUM(T13:T27)</f>
        <v>0</v>
      </c>
    </row>
    <row r="29" spans="1:20" ht="15" customHeight="1">
      <c r="A29" s="451"/>
      <c r="B29" s="456"/>
      <c r="C29" s="456"/>
      <c r="D29" s="456"/>
      <c r="E29" s="456"/>
      <c r="F29" s="456"/>
      <c r="G29" s="456"/>
      <c r="H29" s="456"/>
      <c r="I29" s="456"/>
      <c r="J29" s="456"/>
      <c r="K29" s="456"/>
      <c r="L29" s="456"/>
      <c r="M29" s="456"/>
      <c r="N29" s="456"/>
      <c r="O29" s="456"/>
      <c r="P29" s="456"/>
      <c r="Q29" s="456"/>
      <c r="R29" s="456"/>
      <c r="S29" s="456"/>
      <c r="T29" s="456"/>
    </row>
    <row r="30" spans="1:20" ht="15" customHeight="1">
      <c r="A30" s="521" t="str">
        <f>+Operations!B29</f>
        <v>OPERATING EXPENSES</v>
      </c>
      <c r="B30" s="456"/>
      <c r="C30" s="456"/>
      <c r="D30" s="456"/>
      <c r="E30" s="456"/>
      <c r="F30" s="456"/>
      <c r="G30" s="456"/>
      <c r="H30" s="456"/>
      <c r="I30" s="456"/>
      <c r="J30" s="456"/>
      <c r="K30" s="456"/>
      <c r="L30" s="456"/>
      <c r="M30" s="456"/>
      <c r="N30" s="456"/>
      <c r="O30" s="456"/>
      <c r="P30" s="456"/>
      <c r="Q30" s="456"/>
      <c r="R30" s="456"/>
      <c r="S30" s="456"/>
      <c r="T30" s="456"/>
    </row>
    <row r="31" spans="1:20" ht="15" customHeight="1">
      <c r="A31" s="9" t="s">
        <v>789</v>
      </c>
      <c r="B31" s="456">
        <v>0</v>
      </c>
      <c r="C31" s="456"/>
      <c r="D31" s="456">
        <v>0</v>
      </c>
      <c r="E31" s="456"/>
      <c r="F31" s="456">
        <v>0</v>
      </c>
      <c r="G31" s="456"/>
      <c r="H31" s="456">
        <v>0</v>
      </c>
      <c r="I31" s="456"/>
      <c r="J31" s="456">
        <v>0</v>
      </c>
      <c r="K31" s="456"/>
      <c r="L31" s="456">
        <v>0</v>
      </c>
      <c r="M31" s="456"/>
      <c r="N31" s="456">
        <v>0</v>
      </c>
      <c r="O31" s="456"/>
      <c r="P31" s="456">
        <v>0</v>
      </c>
      <c r="Q31" s="456"/>
      <c r="R31" s="456">
        <v>0</v>
      </c>
      <c r="S31" s="456"/>
      <c r="T31" s="456">
        <f>SUM(B31:R31)</f>
        <v>0</v>
      </c>
    </row>
    <row r="32" spans="1:20" ht="15" customHeight="1">
      <c r="A32" s="9" t="s">
        <v>807</v>
      </c>
      <c r="B32" s="456">
        <v>0</v>
      </c>
      <c r="C32" s="456"/>
      <c r="D32" s="456">
        <v>0</v>
      </c>
      <c r="E32" s="456"/>
      <c r="F32" s="456">
        <v>0</v>
      </c>
      <c r="G32" s="456"/>
      <c r="H32" s="456">
        <v>0</v>
      </c>
      <c r="I32" s="456"/>
      <c r="J32" s="456">
        <f>+'WP-2, pg 3 - Benefits Analysis'!P84</f>
        <v>-50106.929999999935</v>
      </c>
      <c r="K32" s="456" t="s">
        <v>348</v>
      </c>
      <c r="L32" s="456">
        <v>0</v>
      </c>
      <c r="M32" s="456"/>
      <c r="N32" s="456">
        <v>0</v>
      </c>
      <c r="O32" s="456"/>
      <c r="P32" s="456">
        <v>0</v>
      </c>
      <c r="Q32" s="456"/>
      <c r="R32" s="456">
        <v>0</v>
      </c>
      <c r="S32" s="456"/>
      <c r="T32" s="456">
        <f t="shared" ref="T32:T72" si="2">SUM(B32:R32)</f>
        <v>-50106.929999999935</v>
      </c>
    </row>
    <row r="33" spans="1:20" ht="15" customHeight="1">
      <c r="A33" s="9" t="s">
        <v>349</v>
      </c>
      <c r="B33" s="456">
        <v>0</v>
      </c>
      <c r="C33" s="456"/>
      <c r="D33" s="456">
        <v>0</v>
      </c>
      <c r="E33" s="456"/>
      <c r="F33" s="456">
        <v>0</v>
      </c>
      <c r="G33" s="456"/>
      <c r="H33" s="456">
        <v>0</v>
      </c>
      <c r="I33" s="456"/>
      <c r="J33" s="456">
        <v>0</v>
      </c>
      <c r="K33" s="456"/>
      <c r="L33" s="456">
        <v>0</v>
      </c>
      <c r="M33" s="456"/>
      <c r="N33" s="456">
        <v>0</v>
      </c>
      <c r="O33" s="456"/>
      <c r="P33" s="456">
        <v>0</v>
      </c>
      <c r="Q33" s="456"/>
      <c r="R33" s="456">
        <v>0</v>
      </c>
      <c r="S33" s="456"/>
      <c r="T33" s="456">
        <f t="shared" si="2"/>
        <v>0</v>
      </c>
    </row>
    <row r="34" spans="1:20" ht="15" customHeight="1">
      <c r="A34" s="9" t="s">
        <v>71</v>
      </c>
      <c r="B34" s="456">
        <v>0</v>
      </c>
      <c r="C34" s="456"/>
      <c r="D34" s="456">
        <v>0</v>
      </c>
      <c r="E34" s="456"/>
      <c r="F34" s="456">
        <f>+'WP-8 - Bad Debts'!B25:B25</f>
        <v>81040.320000000022</v>
      </c>
      <c r="G34" s="456" t="s">
        <v>348</v>
      </c>
      <c r="H34" s="456">
        <v>0</v>
      </c>
      <c r="I34" s="456"/>
      <c r="J34" s="456">
        <v>0</v>
      </c>
      <c r="K34" s="456"/>
      <c r="L34" s="456">
        <v>0</v>
      </c>
      <c r="M34" s="456"/>
      <c r="N34" s="456">
        <v>0</v>
      </c>
      <c r="O34" s="456"/>
      <c r="P34" s="456">
        <v>0</v>
      </c>
      <c r="Q34" s="456"/>
      <c r="R34" s="456">
        <v>0</v>
      </c>
      <c r="S34" s="456"/>
      <c r="T34" s="456">
        <f t="shared" si="2"/>
        <v>81040.320000000022</v>
      </c>
    </row>
    <row r="35" spans="1:20" ht="15" customHeight="1">
      <c r="A35" s="9" t="s">
        <v>808</v>
      </c>
      <c r="B35" s="456">
        <v>0</v>
      </c>
      <c r="C35" s="456"/>
      <c r="D35" s="456">
        <v>0</v>
      </c>
      <c r="E35" s="456"/>
      <c r="F35" s="456">
        <v>0</v>
      </c>
      <c r="G35" s="456"/>
      <c r="H35" s="456">
        <v>0</v>
      </c>
      <c r="I35" s="456"/>
      <c r="J35" s="456">
        <v>0</v>
      </c>
      <c r="K35" s="456"/>
      <c r="L35" s="456">
        <v>0</v>
      </c>
      <c r="M35" s="456"/>
      <c r="N35" s="456">
        <v>0</v>
      </c>
      <c r="O35" s="456"/>
      <c r="P35" s="456">
        <v>0</v>
      </c>
      <c r="Q35" s="456"/>
      <c r="R35" s="456">
        <v>0</v>
      </c>
      <c r="S35" s="456"/>
      <c r="T35" s="456">
        <f t="shared" si="2"/>
        <v>0</v>
      </c>
    </row>
    <row r="36" spans="1:20" ht="15" customHeight="1">
      <c r="A36" s="9" t="s">
        <v>350</v>
      </c>
      <c r="B36" s="456">
        <v>0</v>
      </c>
      <c r="C36" s="456"/>
      <c r="D36" s="456">
        <v>0</v>
      </c>
      <c r="E36" s="456"/>
      <c r="F36" s="456">
        <v>0</v>
      </c>
      <c r="G36" s="456"/>
      <c r="H36" s="456">
        <v>0</v>
      </c>
      <c r="I36" s="456"/>
      <c r="J36" s="456">
        <f>+'Sch 1 - Restated Exp'!C21</f>
        <v>0</v>
      </c>
      <c r="K36" s="456"/>
      <c r="L36" s="456">
        <v>0</v>
      </c>
      <c r="M36" s="456"/>
      <c r="N36" s="456">
        <f>+'Sch 1 - Restated Exp'!C47</f>
        <v>0</v>
      </c>
      <c r="O36" s="456"/>
      <c r="P36" s="456">
        <v>0</v>
      </c>
      <c r="Q36" s="456"/>
      <c r="R36" s="456">
        <v>0</v>
      </c>
      <c r="S36" s="456"/>
      <c r="T36" s="456">
        <f t="shared" si="2"/>
        <v>0</v>
      </c>
    </row>
    <row r="37" spans="1:20" ht="15" customHeight="1">
      <c r="A37" s="9" t="s">
        <v>803</v>
      </c>
      <c r="B37" s="456">
        <v>0</v>
      </c>
      <c r="C37" s="456"/>
      <c r="D37" s="456">
        <v>0</v>
      </c>
      <c r="E37" s="456"/>
      <c r="F37" s="456">
        <v>0</v>
      </c>
      <c r="G37" s="456"/>
      <c r="H37" s="456">
        <v>0</v>
      </c>
      <c r="I37" s="456"/>
      <c r="J37" s="456">
        <v>0</v>
      </c>
      <c r="K37" s="456"/>
      <c r="L37" s="456">
        <v>0</v>
      </c>
      <c r="M37" s="456"/>
      <c r="N37" s="456">
        <v>0</v>
      </c>
      <c r="O37" s="456"/>
      <c r="P37" s="456">
        <v>0</v>
      </c>
      <c r="Q37" s="456"/>
      <c r="R37" s="456">
        <v>0</v>
      </c>
      <c r="S37" s="456"/>
      <c r="T37" s="456">
        <f t="shared" si="2"/>
        <v>0</v>
      </c>
    </row>
    <row r="38" spans="1:20" ht="15" customHeight="1">
      <c r="A38" s="9" t="s">
        <v>351</v>
      </c>
      <c r="B38" s="456">
        <v>0</v>
      </c>
      <c r="C38" s="456"/>
      <c r="D38" s="456">
        <f>-'Sch 4 - 12 Months'!O35</f>
        <v>-675</v>
      </c>
      <c r="E38" s="456"/>
      <c r="F38" s="456">
        <v>0</v>
      </c>
      <c r="G38" s="456"/>
      <c r="H38" s="456">
        <v>0</v>
      </c>
      <c r="I38" s="456"/>
      <c r="J38" s="456">
        <v>0</v>
      </c>
      <c r="K38" s="456"/>
      <c r="L38" s="456">
        <v>0</v>
      </c>
      <c r="M38" s="456"/>
      <c r="N38" s="456">
        <v>0</v>
      </c>
      <c r="O38" s="456"/>
      <c r="P38" s="456">
        <v>0</v>
      </c>
      <c r="Q38" s="456"/>
      <c r="R38" s="456">
        <v>0</v>
      </c>
      <c r="S38" s="456"/>
      <c r="T38" s="456">
        <f t="shared" si="2"/>
        <v>-675</v>
      </c>
    </row>
    <row r="39" spans="1:20" ht="15" customHeight="1">
      <c r="A39" s="9" t="s">
        <v>792</v>
      </c>
      <c r="B39" s="456">
        <v>0</v>
      </c>
      <c r="C39" s="456"/>
      <c r="D39" s="456">
        <f>-'WP-4 - Dues &amp; Sub'!K27</f>
        <v>-3360</v>
      </c>
      <c r="E39" s="456"/>
      <c r="F39" s="456">
        <v>0</v>
      </c>
      <c r="G39" s="456"/>
      <c r="H39" s="456">
        <v>0</v>
      </c>
      <c r="I39" s="456"/>
      <c r="J39" s="456">
        <v>0</v>
      </c>
      <c r="K39" s="456"/>
      <c r="L39" s="456">
        <v>0</v>
      </c>
      <c r="M39" s="456"/>
      <c r="N39" s="456">
        <v>0</v>
      </c>
      <c r="O39" s="456"/>
      <c r="P39" s="456">
        <v>0</v>
      </c>
      <c r="Q39" s="456"/>
      <c r="R39" s="456">
        <v>0</v>
      </c>
      <c r="S39" s="456"/>
      <c r="T39" s="456">
        <f t="shared" si="2"/>
        <v>-3360</v>
      </c>
    </row>
    <row r="40" spans="1:20" ht="15" customHeight="1">
      <c r="A40" s="9" t="s">
        <v>786</v>
      </c>
      <c r="B40" s="456">
        <v>0</v>
      </c>
      <c r="C40" s="456"/>
      <c r="D40" s="456">
        <v>0</v>
      </c>
      <c r="E40" s="456"/>
      <c r="F40" s="456">
        <v>0</v>
      </c>
      <c r="G40" s="456"/>
      <c r="H40" s="456">
        <v>0</v>
      </c>
      <c r="I40" s="456"/>
      <c r="J40" s="456">
        <v>0</v>
      </c>
      <c r="K40" s="456"/>
      <c r="L40" s="456">
        <v>0</v>
      </c>
      <c r="M40" s="460"/>
      <c r="N40" s="456">
        <v>0</v>
      </c>
      <c r="O40" s="456"/>
      <c r="P40" s="456">
        <v>0</v>
      </c>
      <c r="Q40" s="456"/>
      <c r="R40" s="456">
        <v>0</v>
      </c>
      <c r="S40" s="456"/>
      <c r="T40" s="456">
        <f t="shared" si="2"/>
        <v>0</v>
      </c>
    </row>
    <row r="41" spans="1:20" ht="15" customHeight="1">
      <c r="A41" s="9" t="s">
        <v>58</v>
      </c>
      <c r="B41" s="456">
        <v>0</v>
      </c>
      <c r="C41" s="456"/>
      <c r="D41" s="456">
        <v>0</v>
      </c>
      <c r="E41" s="456"/>
      <c r="F41" s="456">
        <v>0</v>
      </c>
      <c r="G41" s="456"/>
      <c r="H41" s="456">
        <v>0</v>
      </c>
      <c r="I41" s="456"/>
      <c r="J41" s="456">
        <v>0</v>
      </c>
      <c r="K41" s="456"/>
      <c r="L41" s="456">
        <v>0</v>
      </c>
      <c r="M41" s="456"/>
      <c r="N41" s="456">
        <v>0</v>
      </c>
      <c r="O41" s="456"/>
      <c r="P41" s="456">
        <v>0</v>
      </c>
      <c r="Q41" s="456"/>
      <c r="R41" s="456">
        <v>0</v>
      </c>
      <c r="S41" s="456"/>
      <c r="T41" s="456">
        <f t="shared" si="2"/>
        <v>0</v>
      </c>
    </row>
    <row r="42" spans="1:20" ht="15" customHeight="1">
      <c r="A42" s="9" t="s">
        <v>102</v>
      </c>
      <c r="B42" s="456">
        <v>0</v>
      </c>
      <c r="C42" s="456"/>
      <c r="D42" s="456">
        <v>0</v>
      </c>
      <c r="E42" s="456"/>
      <c r="F42" s="456">
        <v>0</v>
      </c>
      <c r="G42" s="456"/>
      <c r="H42" s="456">
        <v>0</v>
      </c>
      <c r="I42" s="456"/>
      <c r="J42" s="456">
        <v>0</v>
      </c>
      <c r="K42" s="456"/>
      <c r="L42" s="456">
        <v>0</v>
      </c>
      <c r="M42" s="460"/>
      <c r="N42" s="456"/>
      <c r="O42" s="456"/>
      <c r="P42" s="456">
        <v>0</v>
      </c>
      <c r="Q42" s="456"/>
      <c r="R42" s="456">
        <v>0</v>
      </c>
      <c r="S42" s="456"/>
      <c r="T42" s="456">
        <f t="shared" si="2"/>
        <v>0</v>
      </c>
    </row>
    <row r="43" spans="1:20" ht="15" customHeight="1">
      <c r="A43" s="9" t="s">
        <v>12</v>
      </c>
      <c r="B43" s="456">
        <v>0</v>
      </c>
      <c r="C43" s="456"/>
      <c r="D43" s="456">
        <v>0</v>
      </c>
      <c r="E43" s="456"/>
      <c r="F43" s="456">
        <v>0</v>
      </c>
      <c r="G43" s="456"/>
      <c r="H43" s="456">
        <v>0</v>
      </c>
      <c r="I43" s="456"/>
      <c r="J43" s="456">
        <v>0</v>
      </c>
      <c r="K43" s="456"/>
      <c r="L43" s="456">
        <v>0</v>
      </c>
      <c r="M43" s="456"/>
      <c r="N43" s="456">
        <v>0</v>
      </c>
      <c r="O43" s="456"/>
      <c r="P43" s="456">
        <v>0</v>
      </c>
      <c r="Q43" s="456"/>
      <c r="R43" s="456">
        <v>0</v>
      </c>
      <c r="S43" s="456"/>
      <c r="T43" s="456">
        <f t="shared" si="2"/>
        <v>0</v>
      </c>
    </row>
    <row r="44" spans="1:20" ht="15" customHeight="1">
      <c r="A44" s="9" t="s">
        <v>801</v>
      </c>
      <c r="B44" s="456">
        <v>0</v>
      </c>
      <c r="C44" s="456"/>
      <c r="D44" s="456">
        <v>0</v>
      </c>
      <c r="E44" s="456"/>
      <c r="F44" s="456">
        <v>0</v>
      </c>
      <c r="G44" s="456"/>
      <c r="H44" s="456">
        <v>0</v>
      </c>
      <c r="I44" s="456"/>
      <c r="J44" s="456">
        <v>0</v>
      </c>
      <c r="K44" s="456"/>
      <c r="L44" s="456">
        <v>0</v>
      </c>
      <c r="M44" s="456"/>
      <c r="N44" s="456">
        <v>0</v>
      </c>
      <c r="O44" s="456"/>
      <c r="P44" s="456">
        <v>0</v>
      </c>
      <c r="Q44" s="456"/>
      <c r="R44" s="456">
        <v>0</v>
      </c>
      <c r="S44" s="456"/>
      <c r="T44" s="456">
        <f t="shared" si="2"/>
        <v>0</v>
      </c>
    </row>
    <row r="45" spans="1:20" ht="15" customHeight="1">
      <c r="A45" s="9" t="s">
        <v>29</v>
      </c>
      <c r="B45" s="456">
        <v>0</v>
      </c>
      <c r="C45" s="456"/>
      <c r="D45" s="456">
        <v>0</v>
      </c>
      <c r="E45" s="456"/>
      <c r="F45" s="456">
        <v>0</v>
      </c>
      <c r="G45" s="456"/>
      <c r="H45" s="456">
        <v>0</v>
      </c>
      <c r="I45" s="456"/>
      <c r="J45" s="456">
        <v>0</v>
      </c>
      <c r="K45" s="456"/>
      <c r="L45" s="456">
        <v>0</v>
      </c>
      <c r="M45" s="456"/>
      <c r="N45" s="456">
        <v>0</v>
      </c>
      <c r="O45" s="456"/>
      <c r="P45" s="456">
        <v>0</v>
      </c>
      <c r="Q45" s="456"/>
      <c r="R45" s="456">
        <v>0</v>
      </c>
      <c r="S45" s="456"/>
      <c r="T45" s="456">
        <f t="shared" si="2"/>
        <v>0</v>
      </c>
    </row>
    <row r="46" spans="1:20" ht="15" customHeight="1">
      <c r="A46" s="9" t="s">
        <v>804</v>
      </c>
      <c r="B46" s="456">
        <v>0</v>
      </c>
      <c r="C46" s="456"/>
      <c r="D46" s="456">
        <v>0</v>
      </c>
      <c r="E46" s="456"/>
      <c r="F46" s="456">
        <v>0</v>
      </c>
      <c r="G46" s="456"/>
      <c r="H46" s="456">
        <v>0</v>
      </c>
      <c r="I46" s="456"/>
      <c r="J46" s="456">
        <v>0</v>
      </c>
      <c r="K46" s="456"/>
      <c r="L46" s="456">
        <v>0</v>
      </c>
      <c r="M46" s="456"/>
      <c r="N46" s="456">
        <v>0</v>
      </c>
      <c r="O46" s="456"/>
      <c r="P46" s="456">
        <v>0</v>
      </c>
      <c r="Q46" s="456"/>
      <c r="R46" s="456">
        <v>0</v>
      </c>
      <c r="S46" s="456"/>
      <c r="T46" s="456">
        <f t="shared" si="2"/>
        <v>0</v>
      </c>
    </row>
    <row r="47" spans="1:20" ht="15" customHeight="1">
      <c r="A47" s="9" t="s">
        <v>790</v>
      </c>
      <c r="B47" s="456">
        <v>0</v>
      </c>
      <c r="C47" s="456"/>
      <c r="D47" s="456">
        <v>0</v>
      </c>
      <c r="E47" s="456"/>
      <c r="F47" s="456">
        <v>0</v>
      </c>
      <c r="G47" s="456"/>
      <c r="H47" s="456">
        <v>0</v>
      </c>
      <c r="I47" s="456"/>
      <c r="J47" s="456">
        <v>0</v>
      </c>
      <c r="K47" s="456"/>
      <c r="L47" s="456">
        <v>0</v>
      </c>
      <c r="M47" s="456"/>
      <c r="N47" s="456">
        <v>0</v>
      </c>
      <c r="O47" s="456"/>
      <c r="P47" s="456">
        <v>0</v>
      </c>
      <c r="Q47" s="456"/>
      <c r="R47" s="456">
        <v>0</v>
      </c>
      <c r="S47" s="456"/>
      <c r="T47" s="456">
        <f t="shared" si="2"/>
        <v>0</v>
      </c>
    </row>
    <row r="48" spans="1:20" ht="15" customHeight="1">
      <c r="A48" s="9" t="s">
        <v>787</v>
      </c>
      <c r="B48" s="456">
        <v>0</v>
      </c>
      <c r="C48" s="456"/>
      <c r="D48" s="456">
        <v>0</v>
      </c>
      <c r="E48" s="456"/>
      <c r="F48" s="456">
        <v>0</v>
      </c>
      <c r="G48" s="456"/>
      <c r="H48" s="456">
        <v>0</v>
      </c>
      <c r="I48" s="456"/>
      <c r="J48" s="456">
        <v>0</v>
      </c>
      <c r="K48" s="456"/>
      <c r="L48" s="456">
        <v>0</v>
      </c>
      <c r="M48" s="456"/>
      <c r="N48" s="456">
        <v>0</v>
      </c>
      <c r="O48" s="456"/>
      <c r="P48" s="456">
        <v>0</v>
      </c>
      <c r="Q48" s="456"/>
      <c r="R48" s="456">
        <v>0</v>
      </c>
      <c r="S48" s="456"/>
      <c r="T48" s="456">
        <f t="shared" si="2"/>
        <v>0</v>
      </c>
    </row>
    <row r="49" spans="1:20" ht="15" customHeight="1">
      <c r="A49" s="9" t="s">
        <v>800</v>
      </c>
      <c r="B49" s="456">
        <v>0</v>
      </c>
      <c r="C49" s="456"/>
      <c r="D49" s="456">
        <v>0</v>
      </c>
      <c r="E49" s="456"/>
      <c r="F49" s="456">
        <v>0</v>
      </c>
      <c r="G49" s="456"/>
      <c r="H49" s="456">
        <v>0</v>
      </c>
      <c r="I49" s="456"/>
      <c r="J49" s="456">
        <v>0</v>
      </c>
      <c r="K49" s="456"/>
      <c r="L49" s="456">
        <v>0</v>
      </c>
      <c r="M49" s="456"/>
      <c r="N49" s="456">
        <v>0</v>
      </c>
      <c r="O49" s="456"/>
      <c r="P49" s="456">
        <v>0</v>
      </c>
      <c r="Q49" s="456"/>
      <c r="R49" s="456">
        <v>0</v>
      </c>
      <c r="S49" s="456"/>
      <c r="T49" s="456">
        <f t="shared" si="2"/>
        <v>0</v>
      </c>
    </row>
    <row r="50" spans="1:20" ht="15" customHeight="1">
      <c r="A50" s="9" t="s">
        <v>799</v>
      </c>
      <c r="B50" s="456">
        <v>0</v>
      </c>
      <c r="C50" s="456"/>
      <c r="D50" s="456">
        <v>0</v>
      </c>
      <c r="E50" s="456"/>
      <c r="F50" s="456">
        <v>0</v>
      </c>
      <c r="G50" s="456"/>
      <c r="H50" s="456">
        <v>0</v>
      </c>
      <c r="I50" s="456"/>
      <c r="J50" s="456">
        <v>0</v>
      </c>
      <c r="K50" s="456"/>
      <c r="L50" s="456">
        <v>0</v>
      </c>
      <c r="M50" s="456"/>
      <c r="N50" s="456">
        <v>0</v>
      </c>
      <c r="O50" s="456"/>
      <c r="P50" s="456">
        <v>0</v>
      </c>
      <c r="Q50" s="456"/>
      <c r="R50" s="456">
        <v>0</v>
      </c>
      <c r="S50" s="456"/>
      <c r="T50" s="456">
        <f t="shared" si="2"/>
        <v>0</v>
      </c>
    </row>
    <row r="51" spans="1:20" ht="15" customHeight="1">
      <c r="A51" s="9" t="s">
        <v>797</v>
      </c>
      <c r="B51" s="456">
        <v>0</v>
      </c>
      <c r="C51" s="456"/>
      <c r="D51" s="456">
        <v>0</v>
      </c>
      <c r="E51" s="456"/>
      <c r="F51" s="456">
        <v>0</v>
      </c>
      <c r="G51" s="456"/>
      <c r="H51" s="456">
        <v>0</v>
      </c>
      <c r="I51" s="456"/>
      <c r="J51" s="456">
        <v>0</v>
      </c>
      <c r="K51" s="456"/>
      <c r="L51" s="456">
        <v>0</v>
      </c>
      <c r="M51" s="456"/>
      <c r="N51" s="456">
        <v>0</v>
      </c>
      <c r="O51" s="456"/>
      <c r="P51" s="456">
        <v>0</v>
      </c>
      <c r="Q51" s="456"/>
      <c r="R51" s="456">
        <v>0</v>
      </c>
      <c r="S51" s="456"/>
      <c r="T51" s="456">
        <f t="shared" si="2"/>
        <v>0</v>
      </c>
    </row>
    <row r="52" spans="1:20" ht="15" customHeight="1">
      <c r="A52" s="9" t="s">
        <v>810</v>
      </c>
      <c r="B52" s="456">
        <v>0</v>
      </c>
      <c r="C52" s="456"/>
      <c r="D52" s="456">
        <v>0</v>
      </c>
      <c r="E52" s="456"/>
      <c r="F52" s="456">
        <v>0</v>
      </c>
      <c r="G52" s="456"/>
      <c r="H52" s="456">
        <v>0</v>
      </c>
      <c r="I52" s="456"/>
      <c r="J52" s="456">
        <v>0</v>
      </c>
      <c r="K52" s="456"/>
      <c r="L52" s="456">
        <v>0</v>
      </c>
      <c r="M52" s="456"/>
      <c r="N52" s="456">
        <v>0</v>
      </c>
      <c r="O52" s="456"/>
      <c r="P52" s="456">
        <v>0</v>
      </c>
      <c r="Q52" s="456"/>
      <c r="R52" s="456">
        <v>0</v>
      </c>
      <c r="S52" s="456"/>
      <c r="T52" s="456">
        <f t="shared" si="2"/>
        <v>0</v>
      </c>
    </row>
    <row r="53" spans="1:20" ht="15" customHeight="1">
      <c r="A53" s="9" t="s">
        <v>802</v>
      </c>
      <c r="B53" s="456">
        <v>0</v>
      </c>
      <c r="C53" s="456"/>
      <c r="D53" s="456">
        <v>0</v>
      </c>
      <c r="E53" s="456"/>
      <c r="F53" s="456">
        <v>0</v>
      </c>
      <c r="G53" s="456"/>
      <c r="H53" s="456">
        <v>0</v>
      </c>
      <c r="I53" s="456"/>
      <c r="J53" s="456">
        <v>0</v>
      </c>
      <c r="K53" s="456"/>
      <c r="L53" s="456">
        <v>0</v>
      </c>
      <c r="M53" s="456"/>
      <c r="N53" s="456">
        <v>0</v>
      </c>
      <c r="O53" s="456"/>
      <c r="P53" s="456">
        <v>0</v>
      </c>
      <c r="Q53" s="456"/>
      <c r="R53" s="456">
        <v>0</v>
      </c>
      <c r="S53" s="456"/>
      <c r="T53" s="456">
        <f t="shared" si="2"/>
        <v>0</v>
      </c>
    </row>
    <row r="54" spans="1:20" ht="15" customHeight="1">
      <c r="A54" s="9" t="s">
        <v>791</v>
      </c>
      <c r="B54" s="456">
        <v>0</v>
      </c>
      <c r="C54" s="456"/>
      <c r="D54" s="456">
        <v>0</v>
      </c>
      <c r="E54" s="456"/>
      <c r="F54" s="456">
        <v>0</v>
      </c>
      <c r="G54" s="456"/>
      <c r="H54" s="456">
        <v>0</v>
      </c>
      <c r="I54" s="456"/>
      <c r="J54" s="456">
        <v>0</v>
      </c>
      <c r="K54" s="456"/>
      <c r="L54" s="456">
        <v>0</v>
      </c>
      <c r="M54" s="460"/>
      <c r="N54" s="456">
        <v>0</v>
      </c>
      <c r="O54" s="456"/>
      <c r="P54" s="456">
        <v>0</v>
      </c>
      <c r="Q54" s="456"/>
      <c r="R54" s="456">
        <v>0</v>
      </c>
      <c r="S54" s="456"/>
      <c r="T54" s="456">
        <f t="shared" si="2"/>
        <v>0</v>
      </c>
    </row>
    <row r="55" spans="1:20" ht="15" customHeight="1">
      <c r="A55" s="9" t="s">
        <v>805</v>
      </c>
      <c r="B55" s="456">
        <v>0</v>
      </c>
      <c r="C55" s="456"/>
      <c r="D55" s="456">
        <v>0</v>
      </c>
      <c r="E55" s="456"/>
      <c r="F55" s="456">
        <v>0</v>
      </c>
      <c r="G55" s="456"/>
      <c r="H55" s="456">
        <v>0</v>
      </c>
      <c r="I55" s="456"/>
      <c r="J55" s="456">
        <v>0</v>
      </c>
      <c r="K55" s="456"/>
      <c r="L55" s="456">
        <v>0</v>
      </c>
      <c r="M55" s="460"/>
      <c r="N55" s="456">
        <v>0</v>
      </c>
      <c r="O55" s="456"/>
      <c r="P55" s="456">
        <v>0</v>
      </c>
      <c r="Q55" s="456"/>
      <c r="R55" s="456">
        <v>0</v>
      </c>
      <c r="S55" s="456"/>
      <c r="T55" s="456">
        <f t="shared" si="2"/>
        <v>0</v>
      </c>
    </row>
    <row r="56" spans="1:20" ht="15" customHeight="1">
      <c r="A56" s="9" t="s">
        <v>796</v>
      </c>
      <c r="B56" s="456">
        <v>0</v>
      </c>
      <c r="C56" s="456"/>
      <c r="D56" s="456">
        <v>0</v>
      </c>
      <c r="E56" s="456"/>
      <c r="F56" s="456">
        <v>0</v>
      </c>
      <c r="G56" s="456"/>
      <c r="H56" s="456">
        <v>0</v>
      </c>
      <c r="I56" s="456"/>
      <c r="J56" s="456">
        <v>0</v>
      </c>
      <c r="K56" s="456"/>
      <c r="L56" s="456">
        <v>0</v>
      </c>
      <c r="M56" s="456"/>
      <c r="N56" s="456">
        <v>0</v>
      </c>
      <c r="O56" s="456"/>
      <c r="P56" s="456">
        <v>0</v>
      </c>
      <c r="Q56" s="456"/>
      <c r="R56" s="456">
        <v>0</v>
      </c>
      <c r="S56" s="456"/>
      <c r="T56" s="456">
        <f t="shared" si="2"/>
        <v>0</v>
      </c>
    </row>
    <row r="57" spans="1:20" ht="15" customHeight="1">
      <c r="A57" s="9" t="s">
        <v>352</v>
      </c>
      <c r="B57" s="456">
        <v>0</v>
      </c>
      <c r="C57" s="456"/>
      <c r="D57" s="456">
        <v>0</v>
      </c>
      <c r="E57" s="456"/>
      <c r="F57" s="456">
        <v>0</v>
      </c>
      <c r="G57" s="456"/>
      <c r="H57" s="456">
        <v>0</v>
      </c>
      <c r="I57" s="456"/>
      <c r="J57" s="456">
        <v>0</v>
      </c>
      <c r="K57" s="456"/>
      <c r="L57" s="456">
        <v>0</v>
      </c>
      <c r="M57" s="456"/>
      <c r="N57" s="456">
        <v>0</v>
      </c>
      <c r="O57" s="456"/>
      <c r="P57" s="456">
        <v>0</v>
      </c>
      <c r="Q57" s="456"/>
      <c r="R57" s="456">
        <v>0</v>
      </c>
      <c r="S57" s="456"/>
      <c r="T57" s="456">
        <f t="shared" si="2"/>
        <v>0</v>
      </c>
    </row>
    <row r="58" spans="1:20" ht="15" customHeight="1">
      <c r="A58" s="9" t="s">
        <v>811</v>
      </c>
      <c r="B58" s="456">
        <v>0</v>
      </c>
      <c r="C58" s="456"/>
      <c r="D58" s="456">
        <v>0</v>
      </c>
      <c r="E58" s="456"/>
      <c r="F58" s="456">
        <v>0</v>
      </c>
      <c r="G58" s="456"/>
      <c r="H58" s="456">
        <v>0</v>
      </c>
      <c r="I58" s="456"/>
      <c r="J58" s="456">
        <v>0</v>
      </c>
      <c r="K58" s="456"/>
      <c r="L58" s="456">
        <v>0</v>
      </c>
      <c r="M58" s="456"/>
      <c r="N58" s="456">
        <v>0</v>
      </c>
      <c r="O58" s="456"/>
      <c r="P58" s="456">
        <v>0</v>
      </c>
      <c r="Q58" s="456"/>
      <c r="R58" s="456">
        <v>0</v>
      </c>
      <c r="S58" s="456"/>
      <c r="T58" s="456">
        <f t="shared" si="2"/>
        <v>0</v>
      </c>
    </row>
    <row r="59" spans="1:20" ht="15" customHeight="1">
      <c r="A59" s="9" t="s">
        <v>785</v>
      </c>
      <c r="B59" s="456">
        <v>0</v>
      </c>
      <c r="C59" s="456"/>
      <c r="D59" s="456">
        <v>0</v>
      </c>
      <c r="E59" s="456"/>
      <c r="F59" s="456">
        <v>0</v>
      </c>
      <c r="G59" s="456"/>
      <c r="H59" s="456">
        <v>0</v>
      </c>
      <c r="I59" s="456"/>
      <c r="J59" s="456">
        <v>0</v>
      </c>
      <c r="K59" s="456"/>
      <c r="L59" s="456">
        <v>0</v>
      </c>
      <c r="M59" s="456"/>
      <c r="N59" s="456">
        <v>0</v>
      </c>
      <c r="O59" s="456"/>
      <c r="P59" s="456">
        <v>0</v>
      </c>
      <c r="Q59" s="456"/>
      <c r="R59" s="456">
        <v>0</v>
      </c>
      <c r="S59" s="456"/>
      <c r="T59" s="456">
        <f t="shared" si="2"/>
        <v>0</v>
      </c>
    </row>
    <row r="60" spans="1:20" ht="15" customHeight="1">
      <c r="A60" s="9" t="s">
        <v>784</v>
      </c>
      <c r="B60" s="456">
        <v>0</v>
      </c>
      <c r="C60" s="456"/>
      <c r="D60" s="456">
        <v>0</v>
      </c>
      <c r="E60" s="456"/>
      <c r="F60" s="456">
        <v>0</v>
      </c>
      <c r="G60" s="456"/>
      <c r="H60" s="456">
        <v>0</v>
      </c>
      <c r="I60" s="456"/>
      <c r="J60" s="456">
        <v>0</v>
      </c>
      <c r="K60" s="456"/>
      <c r="L60" s="456">
        <v>0</v>
      </c>
      <c r="M60" s="456"/>
      <c r="N60" s="456">
        <v>0</v>
      </c>
      <c r="O60" s="456"/>
      <c r="P60" s="456">
        <v>0</v>
      </c>
      <c r="Q60" s="456"/>
      <c r="R60" s="456">
        <v>0</v>
      </c>
      <c r="S60" s="456"/>
      <c r="T60" s="456">
        <f t="shared" si="2"/>
        <v>0</v>
      </c>
    </row>
    <row r="61" spans="1:20" ht="15" customHeight="1">
      <c r="A61" s="9" t="s">
        <v>354</v>
      </c>
      <c r="B61" s="456">
        <v>0</v>
      </c>
      <c r="C61" s="456"/>
      <c r="D61" s="456">
        <v>0</v>
      </c>
      <c r="E61" s="456"/>
      <c r="F61" s="456">
        <v>0</v>
      </c>
      <c r="G61" s="456"/>
      <c r="H61" s="456">
        <v>0</v>
      </c>
      <c r="I61" s="456"/>
      <c r="J61" s="456">
        <v>0</v>
      </c>
      <c r="K61" s="456"/>
      <c r="L61" s="456"/>
      <c r="M61" s="460"/>
      <c r="N61" s="456">
        <v>0</v>
      </c>
      <c r="O61" s="456"/>
      <c r="P61" s="456">
        <v>0</v>
      </c>
      <c r="Q61" s="456"/>
      <c r="R61" s="456">
        <f>+R13+R14+R15+R17+R18+R21</f>
        <v>0</v>
      </c>
      <c r="S61" s="456"/>
      <c r="T61" s="456">
        <f t="shared" si="2"/>
        <v>0</v>
      </c>
    </row>
    <row r="62" spans="1:20" ht="15" customHeight="1">
      <c r="A62" s="9" t="s">
        <v>794</v>
      </c>
      <c r="B62" s="456">
        <v>0</v>
      </c>
      <c r="C62" s="456"/>
      <c r="D62" s="456">
        <v>0</v>
      </c>
      <c r="E62" s="456"/>
      <c r="F62" s="456">
        <v>0</v>
      </c>
      <c r="G62" s="456"/>
      <c r="H62" s="456">
        <v>0</v>
      </c>
      <c r="I62" s="456"/>
      <c r="J62" s="456">
        <v>0</v>
      </c>
      <c r="K62" s="456"/>
      <c r="L62" s="456">
        <v>0</v>
      </c>
      <c r="M62" s="456"/>
      <c r="N62" s="456">
        <v>0</v>
      </c>
      <c r="O62" s="456"/>
      <c r="P62" s="456">
        <v>0</v>
      </c>
      <c r="Q62" s="456"/>
      <c r="R62" s="456">
        <v>0</v>
      </c>
      <c r="S62" s="456"/>
      <c r="T62" s="456">
        <f t="shared" si="2"/>
        <v>0</v>
      </c>
    </row>
    <row r="63" spans="1:20" ht="15" customHeight="1">
      <c r="A63" s="9" t="s">
        <v>788</v>
      </c>
      <c r="B63" s="456">
        <v>0</v>
      </c>
      <c r="C63" s="456"/>
      <c r="D63" s="456">
        <v>0</v>
      </c>
      <c r="E63" s="456"/>
      <c r="F63" s="456">
        <v>0</v>
      </c>
      <c r="G63" s="456"/>
      <c r="H63" s="456">
        <v>0</v>
      </c>
      <c r="I63" s="456"/>
      <c r="J63" s="456">
        <v>0</v>
      </c>
      <c r="K63" s="456"/>
      <c r="L63" s="456">
        <v>0</v>
      </c>
      <c r="M63" s="460"/>
      <c r="N63" s="456">
        <v>0</v>
      </c>
      <c r="O63" s="456"/>
      <c r="P63" s="456">
        <v>0</v>
      </c>
      <c r="Q63" s="456"/>
      <c r="R63" s="456">
        <v>0</v>
      </c>
      <c r="S63" s="456"/>
      <c r="T63" s="456">
        <f t="shared" si="2"/>
        <v>0</v>
      </c>
    </row>
    <row r="64" spans="1:20" ht="15" customHeight="1">
      <c r="A64" s="9" t="s">
        <v>806</v>
      </c>
      <c r="B64" s="456">
        <v>0</v>
      </c>
      <c r="C64" s="456"/>
      <c r="D64" s="456">
        <v>0</v>
      </c>
      <c r="E64" s="456"/>
      <c r="F64" s="456">
        <v>0</v>
      </c>
      <c r="G64" s="456"/>
      <c r="H64" s="456">
        <v>0</v>
      </c>
      <c r="I64" s="456"/>
      <c r="J64" s="456">
        <v>0</v>
      </c>
      <c r="K64" s="456"/>
      <c r="L64" s="456">
        <v>0</v>
      </c>
      <c r="M64" s="456"/>
      <c r="N64" s="456">
        <v>0</v>
      </c>
      <c r="O64" s="456"/>
      <c r="P64" s="456">
        <v>0</v>
      </c>
      <c r="Q64" s="456"/>
      <c r="R64" s="456">
        <v>0</v>
      </c>
      <c r="S64" s="456"/>
      <c r="T64" s="456">
        <f t="shared" si="2"/>
        <v>0</v>
      </c>
    </row>
    <row r="65" spans="1:20" ht="15" customHeight="1">
      <c r="A65" s="9" t="s">
        <v>798</v>
      </c>
      <c r="B65" s="456">
        <v>0</v>
      </c>
      <c r="C65" s="456"/>
      <c r="D65" s="456">
        <v>0</v>
      </c>
      <c r="E65" s="456"/>
      <c r="F65" s="456">
        <v>0</v>
      </c>
      <c r="G65" s="456"/>
      <c r="H65" s="456">
        <v>0</v>
      </c>
      <c r="I65" s="456"/>
      <c r="J65" s="456">
        <v>0</v>
      </c>
      <c r="K65" s="456"/>
      <c r="L65" s="456">
        <v>0</v>
      </c>
      <c r="M65" s="460"/>
      <c r="N65" s="456">
        <v>0</v>
      </c>
      <c r="O65" s="456"/>
      <c r="P65" s="456">
        <v>0</v>
      </c>
      <c r="Q65" s="456"/>
      <c r="R65" s="456">
        <v>0</v>
      </c>
      <c r="S65" s="456"/>
      <c r="T65" s="456">
        <f t="shared" si="2"/>
        <v>0</v>
      </c>
    </row>
    <row r="66" spans="1:20" ht="15" customHeight="1">
      <c r="A66" s="9" t="s">
        <v>812</v>
      </c>
      <c r="B66" s="456">
        <v>0</v>
      </c>
      <c r="C66" s="456"/>
      <c r="D66" s="456">
        <v>0</v>
      </c>
      <c r="E66" s="456"/>
      <c r="F66" s="456">
        <v>0</v>
      </c>
      <c r="G66" s="456"/>
      <c r="H66" s="456">
        <v>0</v>
      </c>
      <c r="I66" s="456"/>
      <c r="J66" s="456">
        <v>0</v>
      </c>
      <c r="K66" s="456"/>
      <c r="L66" s="456">
        <v>0</v>
      </c>
      <c r="M66" s="456"/>
      <c r="N66" s="456">
        <v>0</v>
      </c>
      <c r="O66" s="456"/>
      <c r="P66" s="456">
        <v>0</v>
      </c>
      <c r="Q66" s="456"/>
      <c r="R66" s="456">
        <v>0</v>
      </c>
      <c r="S66" s="456"/>
      <c r="T66" s="456">
        <f t="shared" si="2"/>
        <v>0</v>
      </c>
    </row>
    <row r="67" spans="1:20" ht="15" customHeight="1">
      <c r="A67" s="9" t="s">
        <v>793</v>
      </c>
      <c r="B67" s="456">
        <v>0</v>
      </c>
      <c r="C67" s="456"/>
      <c r="D67" s="456">
        <f>-'Sch 4 - 12 Months'!O64</f>
        <v>-10708.82</v>
      </c>
      <c r="E67" s="456" t="s">
        <v>348</v>
      </c>
      <c r="F67" s="456">
        <v>0</v>
      </c>
      <c r="G67" s="456"/>
      <c r="H67" s="456">
        <v>0</v>
      </c>
      <c r="I67" s="456"/>
      <c r="J67" s="456">
        <v>0</v>
      </c>
      <c r="K67" s="456"/>
      <c r="L67" s="456">
        <v>0</v>
      </c>
      <c r="M67" s="456"/>
      <c r="N67" s="456">
        <v>0</v>
      </c>
      <c r="O67" s="456"/>
      <c r="P67" s="456">
        <v>0</v>
      </c>
      <c r="Q67" s="456"/>
      <c r="R67" s="456">
        <v>0</v>
      </c>
      <c r="S67" s="456"/>
      <c r="T67" s="456">
        <f t="shared" si="2"/>
        <v>-10708.82</v>
      </c>
    </row>
    <row r="68" spans="1:20" ht="15" customHeight="1">
      <c r="A68" s="9" t="s">
        <v>809</v>
      </c>
      <c r="B68" s="456">
        <v>0</v>
      </c>
      <c r="C68" s="456"/>
      <c r="D68" s="456">
        <v>0</v>
      </c>
      <c r="E68" s="456"/>
      <c r="F68" s="456">
        <v>0</v>
      </c>
      <c r="G68" s="456"/>
      <c r="H68" s="456">
        <v>0</v>
      </c>
      <c r="I68" s="456"/>
      <c r="J68" s="456">
        <v>0</v>
      </c>
      <c r="K68" s="456"/>
      <c r="L68" s="456">
        <v>0</v>
      </c>
      <c r="M68" s="460"/>
      <c r="N68" s="456">
        <v>0</v>
      </c>
      <c r="O68" s="456"/>
      <c r="P68" s="456">
        <v>0</v>
      </c>
      <c r="Q68" s="456"/>
      <c r="R68" s="456">
        <v>0</v>
      </c>
      <c r="S68" s="456"/>
      <c r="T68" s="456">
        <f t="shared" si="2"/>
        <v>0</v>
      </c>
    </row>
    <row r="69" spans="1:20" ht="15" customHeight="1">
      <c r="A69" s="9" t="s">
        <v>30</v>
      </c>
      <c r="B69" s="456">
        <v>0</v>
      </c>
      <c r="C69" s="456"/>
      <c r="D69" s="456">
        <v>0</v>
      </c>
      <c r="E69" s="456"/>
      <c r="F69" s="456">
        <v>0</v>
      </c>
      <c r="G69" s="456"/>
      <c r="H69" s="456">
        <v>0</v>
      </c>
      <c r="I69" s="456"/>
      <c r="J69" s="456">
        <v>0</v>
      </c>
      <c r="K69" s="456"/>
      <c r="L69" s="456">
        <v>0</v>
      </c>
      <c r="M69" s="460"/>
      <c r="N69" s="456">
        <v>0</v>
      </c>
      <c r="O69" s="456"/>
      <c r="P69" s="456">
        <v>0</v>
      </c>
      <c r="Q69" s="456"/>
      <c r="R69" s="456">
        <v>0</v>
      </c>
      <c r="S69" s="456"/>
      <c r="T69" s="456">
        <f t="shared" si="2"/>
        <v>0</v>
      </c>
    </row>
    <row r="70" spans="1:20" ht="15" customHeight="1">
      <c r="A70" s="9" t="s">
        <v>93</v>
      </c>
      <c r="B70" s="456">
        <v>0</v>
      </c>
      <c r="C70" s="456"/>
      <c r="D70" s="456">
        <v>0</v>
      </c>
      <c r="E70" s="456"/>
      <c r="F70" s="456">
        <v>0</v>
      </c>
      <c r="G70" s="456"/>
      <c r="H70" s="456">
        <f>-'Sch 4 - 12 Months'!O67</f>
        <v>-180540.33</v>
      </c>
      <c r="I70" s="456" t="s">
        <v>348</v>
      </c>
      <c r="J70" s="456">
        <v>0</v>
      </c>
      <c r="K70" s="456"/>
      <c r="L70" s="456">
        <v>0</v>
      </c>
      <c r="M70" s="460"/>
      <c r="N70" s="456">
        <v>0</v>
      </c>
      <c r="O70" s="456"/>
      <c r="P70" s="456">
        <v>0</v>
      </c>
      <c r="Q70" s="456"/>
      <c r="R70" s="456">
        <v>0</v>
      </c>
      <c r="S70" s="456"/>
      <c r="T70" s="456">
        <f t="shared" si="2"/>
        <v>-180540.33</v>
      </c>
    </row>
    <row r="71" spans="1:20" ht="15" customHeight="1">
      <c r="A71" s="9" t="s">
        <v>40</v>
      </c>
      <c r="B71" s="456">
        <f>+'WP-1 - Summary Depr'!H24</f>
        <v>186981.84977064887</v>
      </c>
      <c r="C71" s="456" t="s">
        <v>348</v>
      </c>
      <c r="D71" s="456">
        <v>0</v>
      </c>
      <c r="E71" s="456"/>
      <c r="F71" s="456">
        <v>0</v>
      </c>
      <c r="G71" s="456"/>
      <c r="H71" s="456">
        <v>0</v>
      </c>
      <c r="I71" s="456"/>
      <c r="J71" s="456">
        <v>0</v>
      </c>
      <c r="K71" s="456"/>
      <c r="L71" s="456">
        <v>0</v>
      </c>
      <c r="M71" s="460"/>
      <c r="N71" s="456">
        <v>0</v>
      </c>
      <c r="O71" s="456"/>
      <c r="P71" s="456">
        <v>0</v>
      </c>
      <c r="Q71" s="456"/>
      <c r="R71" s="456">
        <v>0</v>
      </c>
      <c r="S71" s="456"/>
      <c r="T71" s="456">
        <f t="shared" si="2"/>
        <v>186981.84977064887</v>
      </c>
    </row>
    <row r="72" spans="1:20" ht="15" customHeight="1">
      <c r="A72" s="9" t="s">
        <v>424</v>
      </c>
      <c r="B72" s="456">
        <v>0</v>
      </c>
      <c r="C72" s="456"/>
      <c r="D72" s="456">
        <v>0</v>
      </c>
      <c r="E72" s="456"/>
      <c r="F72" s="456">
        <v>0</v>
      </c>
      <c r="G72" s="456"/>
      <c r="H72" s="456">
        <v>0</v>
      </c>
      <c r="I72" s="456"/>
      <c r="J72" s="456">
        <v>0</v>
      </c>
      <c r="K72" s="456"/>
      <c r="L72" s="456">
        <v>0</v>
      </c>
      <c r="M72" s="460"/>
      <c r="N72" s="456">
        <v>0</v>
      </c>
      <c r="O72" s="456"/>
      <c r="P72" s="456">
        <v>0</v>
      </c>
      <c r="Q72" s="456"/>
      <c r="R72" s="456">
        <v>0</v>
      </c>
      <c r="S72" s="456"/>
      <c r="T72" s="456">
        <f t="shared" si="2"/>
        <v>0</v>
      </c>
    </row>
    <row r="73" spans="1:20" ht="15" customHeight="1">
      <c r="A73" s="451"/>
      <c r="B73" s="462">
        <f>SUM(B31:B72)</f>
        <v>186981.84977064887</v>
      </c>
      <c r="C73" s="456"/>
      <c r="D73" s="462">
        <f>SUM(D31:D72)</f>
        <v>-14743.82</v>
      </c>
      <c r="E73" s="456"/>
      <c r="F73" s="462">
        <f>SUM(F31:F72)</f>
        <v>81040.320000000022</v>
      </c>
      <c r="G73" s="456"/>
      <c r="H73" s="462">
        <f>SUM(H31:H72)</f>
        <v>-180540.33</v>
      </c>
      <c r="I73" s="456"/>
      <c r="J73" s="462">
        <f>SUM(J31:J72)</f>
        <v>-50106.929999999935</v>
      </c>
      <c r="K73" s="456"/>
      <c r="L73" s="462">
        <f>SUM(L31:L72)</f>
        <v>0</v>
      </c>
      <c r="M73" s="456"/>
      <c r="N73" s="462">
        <f>SUM(N31:N72)</f>
        <v>0</v>
      </c>
      <c r="O73" s="456"/>
      <c r="P73" s="462">
        <f>SUM(P31:P72)</f>
        <v>0</v>
      </c>
      <c r="Q73" s="456"/>
      <c r="R73" s="462">
        <f>SUM(R31:R72)</f>
        <v>0</v>
      </c>
      <c r="S73" s="456"/>
      <c r="T73" s="462">
        <f>SUM(T31:T72)</f>
        <v>22631.089770648978</v>
      </c>
    </row>
    <row r="74" spans="1:20" ht="15" customHeight="1">
      <c r="A74" s="451"/>
      <c r="B74" s="456"/>
      <c r="C74" s="456"/>
      <c r="D74" s="456"/>
      <c r="E74" s="456"/>
      <c r="F74" s="456"/>
      <c r="G74" s="456"/>
      <c r="H74" s="456"/>
      <c r="I74" s="456"/>
      <c r="J74" s="456"/>
      <c r="K74" s="456"/>
      <c r="L74" s="456"/>
      <c r="M74" s="456"/>
      <c r="N74" s="456"/>
      <c r="O74" s="456"/>
      <c r="P74" s="456"/>
      <c r="Q74" s="456"/>
      <c r="R74" s="456"/>
      <c r="S74" s="456"/>
      <c r="T74" s="456"/>
    </row>
    <row r="75" spans="1:20" ht="15" customHeight="1" thickBot="1">
      <c r="A75" s="451" t="s">
        <v>38</v>
      </c>
      <c r="B75" s="463">
        <f>+B28-B73</f>
        <v>-186981.84977064887</v>
      </c>
      <c r="C75" s="456"/>
      <c r="D75" s="463">
        <f>+D28-D73</f>
        <v>14743.82</v>
      </c>
      <c r="E75" s="456"/>
      <c r="F75" s="463">
        <f>+F28-F73</f>
        <v>-81040.320000000022</v>
      </c>
      <c r="G75" s="456"/>
      <c r="H75" s="463">
        <f>+H28-H73</f>
        <v>180540.33</v>
      </c>
      <c r="I75" s="456"/>
      <c r="J75" s="463">
        <f>+J28-J73</f>
        <v>50106.929999999935</v>
      </c>
      <c r="K75" s="456"/>
      <c r="L75" s="463">
        <f>+L28-L73</f>
        <v>0</v>
      </c>
      <c r="M75" s="456"/>
      <c r="N75" s="463">
        <f>+N28-N73</f>
        <v>0</v>
      </c>
      <c r="O75" s="456"/>
      <c r="P75" s="463">
        <f>+P28-P73</f>
        <v>0</v>
      </c>
      <c r="Q75" s="456"/>
      <c r="R75" s="463">
        <f>+R28-R73</f>
        <v>0</v>
      </c>
      <c r="S75" s="456"/>
      <c r="T75" s="463">
        <f>+T28-T73</f>
        <v>-22631.089770648978</v>
      </c>
    </row>
    <row r="76" spans="1:20" ht="15" customHeight="1" thickTop="1">
      <c r="A76" s="451"/>
      <c r="B76" s="456"/>
      <c r="C76" s="456"/>
      <c r="D76" s="456"/>
      <c r="E76" s="456"/>
      <c r="F76" s="456"/>
      <c r="G76" s="456"/>
      <c r="H76" s="456"/>
      <c r="I76" s="456"/>
      <c r="J76" s="456"/>
      <c r="K76" s="456"/>
      <c r="L76" s="456"/>
      <c r="M76" s="456"/>
      <c r="N76" s="456"/>
      <c r="O76" s="456"/>
      <c r="P76" s="456"/>
      <c r="Q76" s="456"/>
      <c r="R76" s="456"/>
      <c r="S76" s="456"/>
      <c r="T76" s="456"/>
    </row>
    <row r="77" spans="1:20" ht="15" customHeight="1">
      <c r="J77" s="39"/>
      <c r="N77" s="39"/>
    </row>
    <row r="78" spans="1:20" ht="15" customHeight="1">
      <c r="T78" s="456"/>
    </row>
    <row r="79" spans="1:20" ht="15" customHeight="1"/>
    <row r="80" spans="1:20" ht="15" customHeight="1"/>
    <row r="81" ht="15" customHeight="1"/>
    <row r="82" ht="15" customHeight="1"/>
    <row r="83" ht="15" customHeight="1"/>
    <row r="84" ht="15" customHeight="1"/>
    <row r="85" ht="15" customHeight="1"/>
  </sheetData>
  <mergeCells count="4">
    <mergeCell ref="A1:T1"/>
    <mergeCell ref="A5:T5"/>
    <mergeCell ref="A3:T3"/>
    <mergeCell ref="A6:T6"/>
  </mergeCells>
  <phoneticPr fontId="10" type="noConversion"/>
  <printOptions horizontalCentered="1"/>
  <pageMargins left="0.25" right="0.25" top="0.75" bottom="0.5" header="0" footer="0.25"/>
  <pageSetup scale="58" fitToWidth="0" fitToHeight="0" orientation="landscape" horizontalDpi="300" verticalDpi="300" r:id="rId1"/>
  <headerFooter scaleWithDoc="0" alignWithMargins="0">
    <oddFooter xml:space="preserve">&amp;C&amp;"Times New Roman,Regular"&amp;10See accompanying summary of significant forecast assumptions. &amp;"Arial,Regular"&amp;9
</oddFooter>
  </headerFooter>
  <rowBreaks count="1" manualBreakCount="1">
    <brk id="29"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pageSetUpPr fitToPage="1"/>
  </sheetPr>
  <dimension ref="A1:J35"/>
  <sheetViews>
    <sheetView zoomScaleNormal="100" workbookViewId="0">
      <selection activeCell="B16" sqref="B16"/>
    </sheetView>
  </sheetViews>
  <sheetFormatPr defaultColWidth="8" defaultRowHeight="15.75"/>
  <cols>
    <col min="1" max="1" width="5.88671875" style="446" customWidth="1"/>
    <col min="2" max="2" width="18.44140625" style="446" customWidth="1"/>
    <col min="3" max="4" width="10.21875" style="446" customWidth="1"/>
    <col min="5" max="6" width="7.88671875" style="446" customWidth="1"/>
    <col min="7" max="7" width="4.109375" style="446" customWidth="1"/>
    <col min="8" max="8" width="3.5546875" style="446" customWidth="1"/>
    <col min="9" max="9" width="7.77734375" style="446" customWidth="1"/>
    <col min="10" max="16384" width="8" style="446"/>
  </cols>
  <sheetData>
    <row r="1" spans="1:10" ht="16.5" customHeight="1">
      <c r="A1" s="845" t="str">
        <f>+Operations!B1</f>
        <v>Consolidated Disposal Services, Inc.</v>
      </c>
      <c r="B1" s="846"/>
      <c r="C1" s="846"/>
      <c r="D1" s="846"/>
      <c r="E1" s="846"/>
      <c r="F1" s="846"/>
      <c r="G1" s="846"/>
      <c r="H1" s="846"/>
      <c r="I1" s="846"/>
    </row>
    <row r="2" spans="1:10" ht="13.5" customHeight="1">
      <c r="A2" s="846"/>
      <c r="B2" s="846"/>
      <c r="C2" s="846"/>
      <c r="D2" s="846"/>
      <c r="E2" s="846"/>
      <c r="F2" s="846"/>
      <c r="G2" s="846"/>
      <c r="H2" s="846"/>
      <c r="I2" s="846"/>
    </row>
    <row r="3" spans="1:10" ht="16.5">
      <c r="A3" s="846" t="s">
        <v>99</v>
      </c>
      <c r="B3" s="846"/>
      <c r="C3" s="846"/>
      <c r="D3" s="846"/>
      <c r="E3" s="846"/>
      <c r="F3" s="846"/>
      <c r="G3" s="846"/>
      <c r="H3" s="846"/>
      <c r="I3" s="846"/>
    </row>
    <row r="4" spans="1:10" ht="15.75" customHeight="1">
      <c r="A4" s="464"/>
      <c r="B4" s="464"/>
      <c r="C4" s="464"/>
      <c r="D4" s="464"/>
      <c r="E4" s="464"/>
      <c r="F4" s="464"/>
      <c r="G4" s="464"/>
      <c r="H4" s="464"/>
      <c r="I4" s="464"/>
    </row>
    <row r="5" spans="1:10" ht="15.75" customHeight="1">
      <c r="A5" s="847" t="str">
        <f>'Fly Sheet'!$A$20</f>
        <v>For the Twelve Months Ended December 31, 2021 Historical and March 31, 2024 Forecasted</v>
      </c>
      <c r="B5" s="848"/>
      <c r="C5" s="848"/>
      <c r="D5" s="848"/>
      <c r="E5" s="848"/>
      <c r="F5" s="848"/>
      <c r="G5" s="848"/>
      <c r="H5" s="848"/>
      <c r="I5" s="848"/>
    </row>
    <row r="6" spans="1:10" ht="15.75" customHeight="1">
      <c r="A6" s="847"/>
      <c r="B6" s="848"/>
      <c r="C6" s="848"/>
      <c r="D6" s="848"/>
      <c r="E6" s="848"/>
      <c r="F6" s="848"/>
      <c r="G6" s="848"/>
      <c r="H6" s="848"/>
      <c r="I6" s="848"/>
    </row>
    <row r="7" spans="1:10" ht="15.75" customHeight="1">
      <c r="A7" s="450" t="s">
        <v>25</v>
      </c>
      <c r="B7" s="465"/>
      <c r="C7" s="465"/>
      <c r="D7" s="465"/>
      <c r="E7" s="465"/>
      <c r="F7" s="465"/>
      <c r="G7" s="465"/>
      <c r="H7" s="465"/>
      <c r="I7" s="465"/>
    </row>
    <row r="8" spans="1:10" ht="21" customHeight="1">
      <c r="A8" s="466" t="s">
        <v>202</v>
      </c>
      <c r="B8" s="844" t="s">
        <v>867</v>
      </c>
      <c r="C8" s="849"/>
      <c r="D8" s="849"/>
      <c r="E8" s="849"/>
      <c r="F8" s="849"/>
      <c r="G8" s="849"/>
      <c r="H8" s="849"/>
      <c r="I8" s="849"/>
    </row>
    <row r="9" spans="1:10" ht="35.1" customHeight="1">
      <c r="A9" s="466" t="s">
        <v>50</v>
      </c>
      <c r="B9" s="842" t="s">
        <v>976</v>
      </c>
      <c r="C9" s="842"/>
      <c r="D9" s="842"/>
      <c r="E9" s="842"/>
      <c r="F9" s="842"/>
      <c r="G9" s="842"/>
      <c r="H9" s="842"/>
      <c r="I9" s="842"/>
    </row>
    <row r="10" spans="1:10" ht="36.6" customHeight="1">
      <c r="A10" s="466" t="s">
        <v>51</v>
      </c>
      <c r="B10" s="844" t="s">
        <v>1101</v>
      </c>
      <c r="C10" s="844"/>
      <c r="D10" s="844"/>
      <c r="E10" s="844"/>
      <c r="F10" s="844"/>
      <c r="G10" s="844"/>
      <c r="H10" s="844"/>
      <c r="I10" s="844"/>
    </row>
    <row r="11" spans="1:10" ht="24" customHeight="1">
      <c r="A11" s="466" t="s">
        <v>52</v>
      </c>
      <c r="B11" s="843" t="s">
        <v>1069</v>
      </c>
      <c r="C11" s="843"/>
      <c r="D11" s="843"/>
      <c r="E11" s="843"/>
      <c r="F11" s="843"/>
      <c r="G11" s="843"/>
      <c r="H11" s="843"/>
      <c r="I11" s="843"/>
    </row>
    <row r="12" spans="1:10" ht="33.6" customHeight="1">
      <c r="A12" s="466" t="s">
        <v>53</v>
      </c>
      <c r="B12" s="842" t="s">
        <v>1175</v>
      </c>
      <c r="C12" s="842"/>
      <c r="D12" s="842"/>
      <c r="E12" s="842"/>
      <c r="F12" s="842"/>
      <c r="G12" s="842"/>
      <c r="H12" s="842"/>
      <c r="I12" s="842"/>
    </row>
    <row r="13" spans="1:10">
      <c r="A13" s="467"/>
      <c r="B13" s="468"/>
      <c r="C13" s="468"/>
      <c r="D13" s="468"/>
      <c r="E13" s="468"/>
      <c r="F13" s="468"/>
      <c r="G13" s="468"/>
      <c r="H13" s="468"/>
      <c r="I13" s="468"/>
    </row>
    <row r="14" spans="1:10" ht="18" customHeight="1">
      <c r="A14" s="450"/>
      <c r="B14" s="469"/>
      <c r="C14" s="467"/>
      <c r="D14" s="467"/>
      <c r="E14" s="467"/>
      <c r="F14" s="467"/>
      <c r="G14" s="467"/>
      <c r="H14" s="467"/>
      <c r="I14" s="467"/>
    </row>
    <row r="15" spans="1:10">
      <c r="B15" s="450"/>
      <c r="C15" s="470"/>
      <c r="J15" s="461"/>
    </row>
    <row r="16" spans="1:10">
      <c r="C16" s="471"/>
      <c r="D16" s="470"/>
      <c r="E16" s="429"/>
    </row>
    <row r="17" spans="1:5">
      <c r="A17" s="472"/>
    </row>
    <row r="18" spans="1:5">
      <c r="A18" s="472"/>
      <c r="B18" s="450"/>
    </row>
    <row r="19" spans="1:5">
      <c r="A19" s="472"/>
      <c r="C19" s="473"/>
      <c r="D19" s="473"/>
      <c r="E19" s="473"/>
    </row>
    <row r="20" spans="1:5">
      <c r="A20" s="472"/>
      <c r="C20" s="474"/>
      <c r="D20" s="474"/>
      <c r="E20" s="470"/>
    </row>
    <row r="21" spans="1:5">
      <c r="A21" s="472"/>
      <c r="C21" s="470"/>
      <c r="D21" s="470"/>
      <c r="E21" s="470"/>
    </row>
    <row r="22" spans="1:5">
      <c r="A22" s="472"/>
      <c r="B22" s="450"/>
      <c r="C22" s="475"/>
      <c r="D22" s="476"/>
      <c r="E22" s="429"/>
    </row>
    <row r="23" spans="1:5">
      <c r="A23" s="472"/>
    </row>
    <row r="24" spans="1:5">
      <c r="A24" s="472"/>
      <c r="B24" s="450"/>
    </row>
    <row r="25" spans="1:5">
      <c r="A25" s="472"/>
      <c r="C25" s="474"/>
    </row>
    <row r="26" spans="1:5">
      <c r="A26" s="472"/>
      <c r="C26" s="474"/>
    </row>
    <row r="27" spans="1:5">
      <c r="A27" s="472"/>
      <c r="C27" s="474"/>
    </row>
    <row r="28" spans="1:5">
      <c r="A28" s="472"/>
      <c r="C28" s="474"/>
    </row>
    <row r="29" spans="1:5">
      <c r="A29" s="472"/>
      <c r="B29" s="450"/>
      <c r="C29" s="477"/>
      <c r="D29" s="461"/>
    </row>
    <row r="30" spans="1:5">
      <c r="A30" s="472"/>
    </row>
    <row r="31" spans="1:5">
      <c r="A31" s="472"/>
    </row>
    <row r="35" spans="3:3">
      <c r="C35" s="470"/>
    </row>
  </sheetData>
  <mergeCells count="10">
    <mergeCell ref="B12:I12"/>
    <mergeCell ref="B11:I11"/>
    <mergeCell ref="B10:I10"/>
    <mergeCell ref="A1:I1"/>
    <mergeCell ref="A3:I3"/>
    <mergeCell ref="A5:I5"/>
    <mergeCell ref="A6:I6"/>
    <mergeCell ref="A2:I2"/>
    <mergeCell ref="B8:I8"/>
    <mergeCell ref="B9:I9"/>
  </mergeCells>
  <phoneticPr fontId="10" type="noConversion"/>
  <printOptions horizontalCentered="1"/>
  <pageMargins left="0.9" right="0.7" top="0.75" bottom="0.5" header="0" footer="0.25"/>
  <pageSetup scale="97" fitToHeight="0" orientation="portrait" horizontalDpi="300" verticalDpi="300" r:id="rId1"/>
  <headerFooter scaleWithDoc="0" alignWithMargins="0">
    <oddFooter xml:space="preserve">&amp;C&amp;"Times New Roman,Regular"&amp;10See accompanying summary of significant forecast assumptions.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dimension ref="A1:Q157"/>
  <sheetViews>
    <sheetView view="pageBreakPreview" zoomScale="60" zoomScaleNormal="85" workbookViewId="0">
      <selection activeCell="P8" sqref="P8"/>
    </sheetView>
  </sheetViews>
  <sheetFormatPr defaultColWidth="8" defaultRowHeight="15.75"/>
  <cols>
    <col min="1" max="1" width="27.88671875" style="448" customWidth="1"/>
    <col min="2" max="2" width="10.88671875" style="448" customWidth="1"/>
    <col min="3" max="3" width="2.44140625" style="448" customWidth="1"/>
    <col min="4" max="4" width="10.88671875" style="448" customWidth="1"/>
    <col min="5" max="5" width="2.44140625" style="448" customWidth="1"/>
    <col min="6" max="6" width="10.88671875" style="448" customWidth="1"/>
    <col min="7" max="7" width="2.44140625" style="448" customWidth="1"/>
    <col min="8" max="8" width="10.88671875" style="448" customWidth="1"/>
    <col min="9" max="9" width="2.44140625" style="448" customWidth="1"/>
    <col min="10" max="10" width="10.88671875" style="448" customWidth="1"/>
    <col min="11" max="11" width="2.44140625" style="448" customWidth="1"/>
    <col min="12" max="12" width="10.88671875" style="448" customWidth="1"/>
    <col min="13" max="13" width="4.21875" style="446" customWidth="1"/>
    <col min="14" max="14" width="8" style="446" customWidth="1"/>
    <col min="15" max="15" width="2.88671875" style="446" customWidth="1"/>
    <col min="16" max="16" width="12.44140625" style="446" customWidth="1"/>
    <col min="17" max="16384" width="8" style="446"/>
  </cols>
  <sheetData>
    <row r="1" spans="1:14" ht="16.5" customHeight="1">
      <c r="A1" s="841" t="str">
        <f>+'Fly Sheet'!A15:H15</f>
        <v>Consolidated Disposal Services, Inc.</v>
      </c>
      <c r="B1" s="841"/>
      <c r="C1" s="841"/>
      <c r="D1" s="841"/>
      <c r="E1" s="841"/>
      <c r="F1" s="841"/>
      <c r="G1" s="841"/>
      <c r="H1" s="841"/>
      <c r="I1" s="841"/>
      <c r="J1" s="841"/>
      <c r="K1" s="841"/>
      <c r="L1" s="841"/>
      <c r="M1" s="449" t="s">
        <v>190</v>
      </c>
      <c r="N1" s="450" t="s">
        <v>221</v>
      </c>
    </row>
    <row r="2" spans="1:14" ht="13.5" customHeight="1">
      <c r="A2" s="447"/>
      <c r="M2" s="449" t="s">
        <v>191</v>
      </c>
      <c r="N2" s="450" t="s">
        <v>195</v>
      </c>
    </row>
    <row r="3" spans="1:14" ht="16.5" customHeight="1">
      <c r="A3" s="841" t="s">
        <v>109</v>
      </c>
      <c r="B3" s="841"/>
      <c r="C3" s="841"/>
      <c r="D3" s="841"/>
      <c r="E3" s="841"/>
      <c r="F3" s="841"/>
      <c r="G3" s="841"/>
      <c r="H3" s="841"/>
      <c r="I3" s="841"/>
      <c r="J3" s="841"/>
      <c r="K3" s="841"/>
      <c r="L3" s="841"/>
      <c r="M3" s="449" t="s">
        <v>192</v>
      </c>
      <c r="N3" s="450" t="s">
        <v>222</v>
      </c>
    </row>
    <row r="4" spans="1:14">
      <c r="A4" s="445"/>
      <c r="B4" s="445"/>
      <c r="C4" s="445"/>
      <c r="D4" s="445"/>
      <c r="E4" s="445"/>
      <c r="F4" s="445"/>
      <c r="G4" s="445"/>
      <c r="H4" s="445"/>
      <c r="I4" s="445"/>
      <c r="J4" s="445"/>
      <c r="K4" s="445"/>
      <c r="L4" s="445"/>
      <c r="M4" s="449" t="s">
        <v>193</v>
      </c>
      <c r="N4" s="450" t="s">
        <v>194</v>
      </c>
    </row>
    <row r="5" spans="1:14">
      <c r="A5" s="841" t="str">
        <f>'Fly Sheet'!$A$20</f>
        <v>For the Twelve Months Ended December 31, 2021 Historical and March 31, 2024 Forecasted</v>
      </c>
      <c r="B5" s="841"/>
      <c r="C5" s="841"/>
      <c r="D5" s="841"/>
      <c r="E5" s="841"/>
      <c r="F5" s="841"/>
      <c r="G5" s="841"/>
      <c r="H5" s="841"/>
      <c r="I5" s="841"/>
      <c r="J5" s="841"/>
      <c r="K5" s="841"/>
      <c r="L5" s="841"/>
    </row>
    <row r="6" spans="1:14">
      <c r="A6" s="841"/>
      <c r="B6" s="841"/>
      <c r="C6" s="841"/>
      <c r="D6" s="841"/>
      <c r="E6" s="841"/>
      <c r="F6" s="841"/>
      <c r="G6" s="841"/>
      <c r="H6" s="841"/>
      <c r="I6" s="841"/>
      <c r="J6" s="841"/>
      <c r="K6" s="841"/>
      <c r="L6" s="841"/>
    </row>
    <row r="7" spans="1:14">
      <c r="A7" s="447"/>
    </row>
    <row r="8" spans="1:14" ht="12.95" customHeight="1">
      <c r="A8" s="451"/>
      <c r="B8" s="452" t="s">
        <v>74</v>
      </c>
      <c r="C8" s="452"/>
      <c r="D8" s="452" t="s">
        <v>50</v>
      </c>
      <c r="E8" s="452"/>
      <c r="F8" s="452" t="s">
        <v>51</v>
      </c>
      <c r="G8" s="452"/>
      <c r="H8" s="452" t="s">
        <v>52</v>
      </c>
      <c r="I8" s="452"/>
      <c r="J8" s="452" t="s">
        <v>53</v>
      </c>
      <c r="K8" s="452"/>
      <c r="L8" s="453" t="s">
        <v>5</v>
      </c>
    </row>
    <row r="9" spans="1:14" ht="12.95" customHeight="1">
      <c r="A9" s="451"/>
      <c r="B9" s="479" t="s">
        <v>866</v>
      </c>
      <c r="C9" s="478"/>
      <c r="D9" s="452"/>
      <c r="E9" s="452"/>
      <c r="F9" s="743" t="s">
        <v>7</v>
      </c>
      <c r="G9" s="478"/>
      <c r="H9" s="452" t="s">
        <v>4</v>
      </c>
      <c r="I9" s="478"/>
      <c r="J9" s="452" t="s">
        <v>40</v>
      </c>
      <c r="K9" s="452"/>
      <c r="L9" s="452" t="s">
        <v>0</v>
      </c>
    </row>
    <row r="10" spans="1:14" ht="12.95" customHeight="1">
      <c r="A10" s="451"/>
      <c r="B10" s="452" t="s">
        <v>114</v>
      </c>
      <c r="C10" s="453"/>
      <c r="D10" s="452" t="s">
        <v>16</v>
      </c>
      <c r="E10" s="452"/>
      <c r="F10" s="452" t="s">
        <v>1174</v>
      </c>
      <c r="G10" s="452"/>
      <c r="H10" s="452" t="s">
        <v>58</v>
      </c>
      <c r="I10" s="452"/>
      <c r="J10" s="479" t="s">
        <v>1176</v>
      </c>
      <c r="K10" s="479"/>
      <c r="L10" s="452" t="s">
        <v>22</v>
      </c>
    </row>
    <row r="11" spans="1:14" ht="12.95" customHeight="1">
      <c r="A11" s="451"/>
      <c r="B11" s="454" t="s">
        <v>847</v>
      </c>
      <c r="C11" s="452"/>
      <c r="D11" s="454" t="s">
        <v>857</v>
      </c>
      <c r="E11" s="452"/>
      <c r="F11" s="454" t="s">
        <v>1173</v>
      </c>
      <c r="G11" s="452"/>
      <c r="H11" s="790" t="s">
        <v>858</v>
      </c>
      <c r="I11" s="452"/>
      <c r="J11" s="454" t="s">
        <v>30</v>
      </c>
      <c r="K11" s="452"/>
      <c r="L11" s="454" t="s">
        <v>25</v>
      </c>
    </row>
    <row r="12" spans="1:14" ht="15" customHeight="1">
      <c r="A12" s="521" t="str">
        <f>+'Sch 1, pg 2 - Restated'!A12</f>
        <v>REVENUES</v>
      </c>
      <c r="B12" s="451"/>
      <c r="C12" s="451"/>
      <c r="D12" s="451"/>
      <c r="E12" s="451"/>
      <c r="F12" s="451"/>
      <c r="G12" s="451"/>
      <c r="H12" s="451"/>
      <c r="I12" s="451"/>
      <c r="J12" s="451"/>
      <c r="K12" s="451"/>
      <c r="L12" s="451"/>
    </row>
    <row r="13" spans="1:14" ht="15" customHeight="1">
      <c r="A13" s="9" t="s">
        <v>813</v>
      </c>
      <c r="B13" s="455">
        <v>0</v>
      </c>
      <c r="C13" s="455"/>
      <c r="D13" s="455">
        <v>0</v>
      </c>
      <c r="E13" s="455"/>
      <c r="F13" s="455">
        <v>0</v>
      </c>
      <c r="G13" s="455"/>
      <c r="H13" s="455">
        <v>0</v>
      </c>
      <c r="I13" s="455"/>
      <c r="J13" s="455">
        <v>0</v>
      </c>
      <c r="K13" s="455"/>
      <c r="L13" s="455">
        <f t="shared" ref="L13:L27" si="0">SUM(B13:K13)</f>
        <v>0</v>
      </c>
    </row>
    <row r="14" spans="1:14" ht="15" customHeight="1">
      <c r="A14" s="9" t="s">
        <v>814</v>
      </c>
      <c r="B14" s="456">
        <v>0</v>
      </c>
      <c r="C14" s="456"/>
      <c r="D14" s="456">
        <v>0</v>
      </c>
      <c r="E14" s="456"/>
      <c r="F14" s="456">
        <v>0</v>
      </c>
      <c r="G14" s="456"/>
      <c r="H14" s="456">
        <v>0</v>
      </c>
      <c r="I14" s="456"/>
      <c r="J14" s="456">
        <v>0</v>
      </c>
      <c r="K14" s="456"/>
      <c r="L14" s="456">
        <f t="shared" si="0"/>
        <v>0</v>
      </c>
    </row>
    <row r="15" spans="1:14" ht="15" customHeight="1">
      <c r="A15" s="9" t="s">
        <v>815</v>
      </c>
      <c r="B15" s="456">
        <v>0</v>
      </c>
      <c r="C15" s="456"/>
      <c r="D15" s="456">
        <v>0</v>
      </c>
      <c r="E15" s="456"/>
      <c r="F15" s="456">
        <v>0</v>
      </c>
      <c r="G15" s="456"/>
      <c r="H15" s="456">
        <v>0</v>
      </c>
      <c r="I15" s="456"/>
      <c r="J15" s="456">
        <v>0</v>
      </c>
      <c r="K15" s="456"/>
      <c r="L15" s="456">
        <f t="shared" si="0"/>
        <v>0</v>
      </c>
    </row>
    <row r="16" spans="1:14" ht="15" customHeight="1">
      <c r="A16" s="9" t="s">
        <v>816</v>
      </c>
      <c r="B16" s="456">
        <v>0</v>
      </c>
      <c r="C16" s="456"/>
      <c r="D16" s="456">
        <v>0</v>
      </c>
      <c r="E16" s="456"/>
      <c r="F16" s="456">
        <v>0</v>
      </c>
      <c r="G16" s="456"/>
      <c r="H16" s="456">
        <v>0</v>
      </c>
      <c r="I16" s="456"/>
      <c r="J16" s="456">
        <v>0</v>
      </c>
      <c r="K16" s="456"/>
      <c r="L16" s="456">
        <f t="shared" si="0"/>
        <v>0</v>
      </c>
    </row>
    <row r="17" spans="1:17" ht="15" customHeight="1">
      <c r="A17" s="9" t="s">
        <v>817</v>
      </c>
      <c r="B17" s="456">
        <v>0</v>
      </c>
      <c r="C17" s="456"/>
      <c r="D17" s="456">
        <v>0</v>
      </c>
      <c r="E17" s="456"/>
      <c r="F17" s="456">
        <v>0</v>
      </c>
      <c r="G17" s="456"/>
      <c r="H17" s="456">
        <v>0</v>
      </c>
      <c r="I17" s="456"/>
      <c r="J17" s="456">
        <v>0</v>
      </c>
      <c r="K17" s="456"/>
      <c r="L17" s="456">
        <f t="shared" si="0"/>
        <v>0</v>
      </c>
    </row>
    <row r="18" spans="1:17" ht="15" customHeight="1">
      <c r="A18" s="9" t="s">
        <v>818</v>
      </c>
      <c r="B18" s="456">
        <v>0</v>
      </c>
      <c r="C18" s="456"/>
      <c r="D18" s="456">
        <v>0</v>
      </c>
      <c r="E18" s="456"/>
      <c r="F18" s="456">
        <v>0</v>
      </c>
      <c r="G18" s="456"/>
      <c r="H18" s="456">
        <v>0</v>
      </c>
      <c r="I18" s="456"/>
      <c r="J18" s="456">
        <v>0</v>
      </c>
      <c r="K18" s="460"/>
      <c r="L18" s="456">
        <f t="shared" si="0"/>
        <v>0</v>
      </c>
    </row>
    <row r="19" spans="1:17" ht="15" customHeight="1">
      <c r="A19" s="9" t="s">
        <v>819</v>
      </c>
      <c r="B19" s="456">
        <v>0</v>
      </c>
      <c r="C19" s="456"/>
      <c r="D19" s="456">
        <v>0</v>
      </c>
      <c r="E19" s="456"/>
      <c r="F19" s="456">
        <v>0</v>
      </c>
      <c r="G19" s="456"/>
      <c r="H19" s="456">
        <f>+'WP-9 - Disposal'!C66</f>
        <v>47659.31458992805</v>
      </c>
      <c r="I19" s="456"/>
      <c r="J19" s="456">
        <v>0</v>
      </c>
      <c r="K19" s="456"/>
      <c r="L19" s="456">
        <f t="shared" si="0"/>
        <v>47659.31458992805</v>
      </c>
    </row>
    <row r="20" spans="1:17" ht="15" customHeight="1">
      <c r="A20" s="9" t="s">
        <v>820</v>
      </c>
      <c r="B20" s="456">
        <v>0</v>
      </c>
      <c r="C20" s="456"/>
      <c r="D20" s="456">
        <v>0</v>
      </c>
      <c r="E20" s="456"/>
      <c r="F20" s="456">
        <v>0</v>
      </c>
      <c r="G20" s="456"/>
      <c r="H20" s="456">
        <v>0</v>
      </c>
      <c r="I20" s="456"/>
      <c r="J20" s="456">
        <v>0</v>
      </c>
      <c r="K20" s="456"/>
      <c r="L20" s="456">
        <f t="shared" ref="L20:L22" si="1">SUM(B20:K20)</f>
        <v>0</v>
      </c>
    </row>
    <row r="21" spans="1:17" ht="15" customHeight="1">
      <c r="A21" s="9" t="s">
        <v>821</v>
      </c>
      <c r="B21" s="456">
        <v>0</v>
      </c>
      <c r="C21" s="456"/>
      <c r="D21" s="456">
        <v>0</v>
      </c>
      <c r="E21" s="456"/>
      <c r="F21" s="456">
        <v>0</v>
      </c>
      <c r="G21" s="456"/>
      <c r="H21" s="456">
        <v>0</v>
      </c>
      <c r="I21" s="456"/>
      <c r="J21" s="456">
        <v>0</v>
      </c>
      <c r="K21" s="456"/>
      <c r="L21" s="456">
        <f t="shared" si="1"/>
        <v>0</v>
      </c>
    </row>
    <row r="22" spans="1:17" ht="15" customHeight="1">
      <c r="A22" s="9" t="s">
        <v>822</v>
      </c>
      <c r="B22" s="456">
        <v>0</v>
      </c>
      <c r="C22" s="456"/>
      <c r="D22" s="456">
        <v>0</v>
      </c>
      <c r="E22" s="456"/>
      <c r="F22" s="456">
        <v>0</v>
      </c>
      <c r="G22" s="456"/>
      <c r="H22" s="456">
        <v>0</v>
      </c>
      <c r="I22" s="456"/>
      <c r="J22" s="456">
        <v>0</v>
      </c>
      <c r="K22" s="456"/>
      <c r="L22" s="456">
        <f t="shared" si="1"/>
        <v>0</v>
      </c>
    </row>
    <row r="23" spans="1:17" ht="15" customHeight="1">
      <c r="A23" s="9" t="s">
        <v>823</v>
      </c>
      <c r="B23" s="456">
        <v>0</v>
      </c>
      <c r="C23" s="456"/>
      <c r="D23" s="456">
        <v>0</v>
      </c>
      <c r="E23" s="456"/>
      <c r="F23" s="456">
        <v>0</v>
      </c>
      <c r="G23" s="456"/>
      <c r="H23" s="456">
        <v>0</v>
      </c>
      <c r="I23" s="456"/>
      <c r="J23" s="456">
        <v>0</v>
      </c>
      <c r="K23" s="456"/>
      <c r="L23" s="456">
        <v>0</v>
      </c>
    </row>
    <row r="24" spans="1:17" ht="15" customHeight="1">
      <c r="A24" s="9" t="s">
        <v>824</v>
      </c>
      <c r="B24" s="456">
        <v>0</v>
      </c>
      <c r="C24" s="456"/>
      <c r="D24" s="456">
        <v>0</v>
      </c>
      <c r="E24" s="456"/>
      <c r="F24" s="456">
        <v>0</v>
      </c>
      <c r="G24" s="456"/>
      <c r="H24" s="456">
        <v>0</v>
      </c>
      <c r="I24" s="456"/>
      <c r="J24" s="456">
        <v>0</v>
      </c>
      <c r="K24" s="456"/>
      <c r="L24" s="456">
        <v>0</v>
      </c>
    </row>
    <row r="25" spans="1:17" ht="15" customHeight="1">
      <c r="A25" s="9" t="s">
        <v>827</v>
      </c>
      <c r="B25" s="456">
        <v>0</v>
      </c>
      <c r="C25" s="456"/>
      <c r="D25" s="456">
        <v>0</v>
      </c>
      <c r="E25" s="456"/>
      <c r="F25" s="456">
        <v>0</v>
      </c>
      <c r="G25" s="456"/>
      <c r="H25" s="456">
        <v>0</v>
      </c>
      <c r="I25" s="456"/>
      <c r="J25" s="456">
        <v>0</v>
      </c>
      <c r="K25" s="456"/>
      <c r="L25" s="456">
        <v>0</v>
      </c>
    </row>
    <row r="26" spans="1:17" ht="15" customHeight="1">
      <c r="A26" s="9" t="s">
        <v>825</v>
      </c>
      <c r="B26" s="456">
        <v>0</v>
      </c>
      <c r="C26" s="456"/>
      <c r="D26" s="456">
        <v>0</v>
      </c>
      <c r="E26" s="456"/>
      <c r="F26" s="456">
        <v>0</v>
      </c>
      <c r="G26" s="456"/>
      <c r="H26" s="456">
        <v>0</v>
      </c>
      <c r="I26" s="456"/>
      <c r="J26" s="456">
        <v>0</v>
      </c>
      <c r="K26" s="456"/>
      <c r="L26" s="456">
        <v>0</v>
      </c>
    </row>
    <row r="27" spans="1:17" ht="15" customHeight="1">
      <c r="A27" s="9" t="s">
        <v>826</v>
      </c>
      <c r="B27" s="457">
        <v>0</v>
      </c>
      <c r="C27" s="456"/>
      <c r="D27" s="457">
        <v>0</v>
      </c>
      <c r="E27" s="456"/>
      <c r="F27" s="457">
        <v>0</v>
      </c>
      <c r="G27" s="456"/>
      <c r="H27" s="457">
        <v>0</v>
      </c>
      <c r="I27" s="456"/>
      <c r="J27" s="457">
        <v>0</v>
      </c>
      <c r="K27" s="456"/>
      <c r="L27" s="456">
        <f t="shared" si="0"/>
        <v>0</v>
      </c>
    </row>
    <row r="28" spans="1:17" ht="15" customHeight="1">
      <c r="A28" s="451"/>
      <c r="B28" s="457">
        <f>SUM(B13:B27)</f>
        <v>0</v>
      </c>
      <c r="C28" s="456"/>
      <c r="D28" s="457">
        <f>SUM(D13:D27)</f>
        <v>0</v>
      </c>
      <c r="E28" s="456"/>
      <c r="F28" s="457">
        <f>SUM(F13:F27)</f>
        <v>0</v>
      </c>
      <c r="G28" s="456"/>
      <c r="H28" s="457">
        <f>SUM(H13:H27)</f>
        <v>47659.31458992805</v>
      </c>
      <c r="I28" s="456"/>
      <c r="J28" s="457">
        <f>SUM(J13:J27)</f>
        <v>0</v>
      </c>
      <c r="K28" s="456"/>
      <c r="L28" s="480">
        <f>SUM(L13:L27)</f>
        <v>47659.31458992805</v>
      </c>
    </row>
    <row r="29" spans="1:17" ht="15" customHeight="1">
      <c r="A29" s="451"/>
      <c r="B29" s="456"/>
      <c r="C29" s="456"/>
      <c r="D29" s="456"/>
      <c r="E29" s="456"/>
      <c r="F29" s="456"/>
      <c r="G29" s="456"/>
      <c r="H29" s="456"/>
      <c r="I29" s="456"/>
      <c r="J29" s="456"/>
      <c r="K29" s="456"/>
      <c r="L29" s="456"/>
    </row>
    <row r="30" spans="1:17" ht="15" customHeight="1">
      <c r="A30" s="521" t="str">
        <f>+'Sch 1, pg 2 - Restated'!A30</f>
        <v>OPERATING EXPENSES</v>
      </c>
      <c r="B30" s="456"/>
      <c r="C30" s="456"/>
      <c r="D30" s="456"/>
      <c r="E30" s="456"/>
      <c r="F30" s="456"/>
      <c r="G30" s="456"/>
      <c r="H30" s="456"/>
      <c r="I30" s="456"/>
      <c r="J30" s="456"/>
      <c r="K30" s="456"/>
      <c r="L30" s="456"/>
    </row>
    <row r="31" spans="1:17" ht="15" customHeight="1">
      <c r="A31" s="9" t="s">
        <v>789</v>
      </c>
      <c r="B31" s="456">
        <v>0</v>
      </c>
      <c r="C31" s="456"/>
      <c r="D31" s="456">
        <v>0</v>
      </c>
      <c r="E31" s="456"/>
      <c r="F31" s="456">
        <v>0</v>
      </c>
      <c r="G31" s="456"/>
      <c r="H31" s="456">
        <v>0</v>
      </c>
      <c r="I31" s="456"/>
      <c r="J31" s="456">
        <v>0</v>
      </c>
      <c r="K31" s="456"/>
      <c r="L31" s="456">
        <f t="shared" ref="L31:L69" si="2">SUM(B31:K31)</f>
        <v>0</v>
      </c>
      <c r="P31" s="481"/>
      <c r="Q31" s="456"/>
    </row>
    <row r="32" spans="1:17" ht="15" customHeight="1">
      <c r="A32" s="9" t="s">
        <v>869</v>
      </c>
      <c r="B32" s="456">
        <v>0</v>
      </c>
      <c r="C32" s="456"/>
      <c r="D32" s="456">
        <v>0</v>
      </c>
      <c r="E32" s="456"/>
      <c r="F32" s="456">
        <f>+'WP-2, pg 2 - Labor Increase'!Y92</f>
        <v>80703.004197731876</v>
      </c>
      <c r="G32" s="456"/>
      <c r="H32" s="456">
        <v>0</v>
      </c>
      <c r="I32" s="456"/>
      <c r="J32" s="456">
        <v>0</v>
      </c>
      <c r="K32" s="456"/>
      <c r="L32" s="456">
        <f>SUM(B32:K32)</f>
        <v>80703.004197731876</v>
      </c>
      <c r="P32" s="481"/>
      <c r="Q32" s="456"/>
    </row>
    <row r="33" spans="1:17" ht="15" customHeight="1">
      <c r="A33" s="9" t="s">
        <v>870</v>
      </c>
      <c r="B33" s="456">
        <v>0</v>
      </c>
      <c r="C33" s="456"/>
      <c r="D33" s="456">
        <v>0</v>
      </c>
      <c r="E33" s="456"/>
      <c r="F33" s="456">
        <f>+'WP-2, pg 2 - Labor Increase'!Y93</f>
        <v>6023.5483165132337</v>
      </c>
      <c r="G33" s="456"/>
      <c r="H33" s="456">
        <v>0</v>
      </c>
      <c r="I33" s="456"/>
      <c r="J33" s="456">
        <v>0</v>
      </c>
      <c r="K33" s="456"/>
      <c r="L33" s="456">
        <f t="shared" si="2"/>
        <v>6023.5483165132337</v>
      </c>
      <c r="P33" s="481"/>
      <c r="Q33" s="456"/>
    </row>
    <row r="34" spans="1:17" ht="15" customHeight="1">
      <c r="A34" s="9" t="s">
        <v>873</v>
      </c>
      <c r="B34" s="456">
        <v>0</v>
      </c>
      <c r="C34" s="456"/>
      <c r="D34" s="456">
        <v>0</v>
      </c>
      <c r="E34" s="456"/>
      <c r="F34" s="456">
        <f>+'WP-2, pg 2 - Labor Increase'!Y96</f>
        <v>2792.885678745376</v>
      </c>
      <c r="G34" s="456"/>
      <c r="H34" s="456">
        <v>0</v>
      </c>
      <c r="I34" s="456"/>
      <c r="J34" s="456">
        <v>0</v>
      </c>
      <c r="K34" s="456"/>
      <c r="L34" s="456">
        <f t="shared" si="2"/>
        <v>2792.885678745376</v>
      </c>
      <c r="P34" s="481"/>
      <c r="Q34" s="456"/>
    </row>
    <row r="35" spans="1:17" ht="15" customHeight="1">
      <c r="A35" s="9" t="s">
        <v>871</v>
      </c>
      <c r="B35" s="456">
        <v>0</v>
      </c>
      <c r="C35" s="456"/>
      <c r="D35" s="456">
        <v>0</v>
      </c>
      <c r="E35" s="456"/>
      <c r="F35" s="456">
        <f>+'WP-2, pg 2 - Labor Increase'!Y94</f>
        <v>29634.005706400028</v>
      </c>
      <c r="G35" s="456"/>
      <c r="H35" s="456">
        <v>0</v>
      </c>
      <c r="I35" s="456"/>
      <c r="J35" s="456">
        <v>0</v>
      </c>
      <c r="K35" s="456"/>
      <c r="L35" s="456">
        <f t="shared" si="2"/>
        <v>29634.005706400028</v>
      </c>
      <c r="P35" s="481"/>
      <c r="Q35" s="456"/>
    </row>
    <row r="36" spans="1:17" ht="15" customHeight="1">
      <c r="A36" s="9" t="s">
        <v>872</v>
      </c>
      <c r="B36" s="456">
        <v>0</v>
      </c>
      <c r="C36" s="456"/>
      <c r="D36" s="456">
        <v>0</v>
      </c>
      <c r="E36" s="456"/>
      <c r="F36" s="456">
        <f>+'WP-2, pg 2 - Labor Increase'!Y95</f>
        <v>4.8895364811348922E-2</v>
      </c>
      <c r="G36" s="456"/>
      <c r="H36" s="456">
        <v>0</v>
      </c>
      <c r="I36" s="456"/>
      <c r="J36" s="456">
        <v>0</v>
      </c>
      <c r="K36" s="456"/>
      <c r="L36" s="456">
        <f t="shared" si="2"/>
        <v>4.8895364811348922E-2</v>
      </c>
      <c r="P36" s="481"/>
      <c r="Q36" s="456"/>
    </row>
    <row r="37" spans="1:17" ht="15" customHeight="1">
      <c r="A37" s="9" t="s">
        <v>1135</v>
      </c>
      <c r="B37" s="456"/>
      <c r="C37" s="456"/>
      <c r="D37" s="456"/>
      <c r="E37" s="456"/>
      <c r="F37" s="456">
        <f>+'WP-2, pg 2 - Labor Increase'!Y97</f>
        <v>-14315.936440020554</v>
      </c>
      <c r="G37" s="456"/>
      <c r="H37" s="456"/>
      <c r="I37" s="456"/>
      <c r="J37" s="456"/>
      <c r="K37" s="456"/>
      <c r="L37" s="456">
        <f t="shared" si="2"/>
        <v>-14315.936440020554</v>
      </c>
      <c r="P37" s="481"/>
      <c r="Q37" s="456"/>
    </row>
    <row r="38" spans="1:17" ht="15" customHeight="1">
      <c r="A38" s="9" t="s">
        <v>807</v>
      </c>
      <c r="B38" s="456">
        <v>0</v>
      </c>
      <c r="C38" s="456"/>
      <c r="D38" s="456">
        <v>0</v>
      </c>
      <c r="E38" s="456"/>
      <c r="F38" s="456">
        <f>+'WP-2, pg 3 - Benefits Analysis'!P88</f>
        <v>9456.9899438057619</v>
      </c>
      <c r="G38" s="456"/>
      <c r="H38" s="456">
        <v>0</v>
      </c>
      <c r="I38" s="456"/>
      <c r="J38" s="456">
        <v>0</v>
      </c>
      <c r="K38" s="456"/>
      <c r="L38" s="456">
        <f t="shared" si="2"/>
        <v>9456.9899438057619</v>
      </c>
      <c r="P38" s="481"/>
      <c r="Q38" s="456"/>
    </row>
    <row r="39" spans="1:17" ht="15" customHeight="1">
      <c r="A39" s="9" t="s">
        <v>349</v>
      </c>
      <c r="B39" s="456">
        <v>0</v>
      </c>
      <c r="C39" s="456"/>
      <c r="D39" s="456">
        <v>0</v>
      </c>
      <c r="E39" s="456"/>
      <c r="F39" s="456">
        <v>0</v>
      </c>
      <c r="G39" s="456"/>
      <c r="H39" s="456">
        <v>0</v>
      </c>
      <c r="I39" s="456"/>
      <c r="J39" s="456">
        <v>0</v>
      </c>
      <c r="K39" s="456"/>
      <c r="L39" s="456">
        <f t="shared" si="2"/>
        <v>0</v>
      </c>
      <c r="P39" s="481"/>
      <c r="Q39" s="456"/>
    </row>
    <row r="40" spans="1:17" ht="15" customHeight="1">
      <c r="A40" s="9" t="s">
        <v>71</v>
      </c>
      <c r="B40" s="456">
        <v>0</v>
      </c>
      <c r="C40" s="456"/>
      <c r="D40" s="456">
        <v>0</v>
      </c>
      <c r="E40" s="456"/>
      <c r="F40" s="456">
        <v>0</v>
      </c>
      <c r="G40" s="456"/>
      <c r="H40" s="456">
        <v>0</v>
      </c>
      <c r="I40" s="456"/>
      <c r="J40" s="456">
        <v>0</v>
      </c>
      <c r="K40" s="456"/>
      <c r="L40" s="456">
        <f t="shared" si="2"/>
        <v>0</v>
      </c>
      <c r="P40" s="481"/>
      <c r="Q40" s="456"/>
    </row>
    <row r="41" spans="1:17" ht="15" customHeight="1">
      <c r="A41" s="9" t="s">
        <v>808</v>
      </c>
      <c r="B41" s="456">
        <v>0</v>
      </c>
      <c r="C41" s="456"/>
      <c r="D41" s="456">
        <v>0</v>
      </c>
      <c r="E41" s="456"/>
      <c r="F41" s="456">
        <v>0</v>
      </c>
      <c r="G41" s="456"/>
      <c r="H41" s="456">
        <v>0</v>
      </c>
      <c r="I41" s="456"/>
      <c r="J41" s="456">
        <v>0</v>
      </c>
      <c r="K41" s="456"/>
      <c r="L41" s="456">
        <f t="shared" si="2"/>
        <v>0</v>
      </c>
      <c r="P41" s="481"/>
      <c r="Q41" s="456"/>
    </row>
    <row r="42" spans="1:17" ht="15" customHeight="1">
      <c r="A42" s="9" t="s">
        <v>350</v>
      </c>
      <c r="B42" s="456">
        <v>0</v>
      </c>
      <c r="C42" s="456"/>
      <c r="D42" s="456">
        <v>0</v>
      </c>
      <c r="E42" s="456"/>
      <c r="F42" s="456">
        <v>0</v>
      </c>
      <c r="G42" s="456"/>
      <c r="H42" s="456">
        <v>0</v>
      </c>
      <c r="I42" s="456"/>
      <c r="J42" s="456">
        <v>0</v>
      </c>
      <c r="K42" s="456"/>
      <c r="L42" s="456">
        <f t="shared" si="2"/>
        <v>0</v>
      </c>
      <c r="P42" s="481"/>
    </row>
    <row r="43" spans="1:17" ht="15" customHeight="1">
      <c r="A43" s="9" t="s">
        <v>803</v>
      </c>
      <c r="B43" s="456">
        <v>0</v>
      </c>
      <c r="C43" s="456"/>
      <c r="D43" s="456">
        <v>0</v>
      </c>
      <c r="E43" s="456"/>
      <c r="F43" s="456">
        <v>0</v>
      </c>
      <c r="G43" s="456"/>
      <c r="H43" s="456">
        <v>0</v>
      </c>
      <c r="I43" s="456"/>
      <c r="J43" s="456">
        <v>0</v>
      </c>
      <c r="K43" s="456"/>
      <c r="L43" s="456">
        <f t="shared" si="2"/>
        <v>0</v>
      </c>
      <c r="P43" s="481"/>
    </row>
    <row r="44" spans="1:17" ht="15" customHeight="1">
      <c r="A44" s="9" t="s">
        <v>351</v>
      </c>
      <c r="B44" s="456">
        <v>0</v>
      </c>
      <c r="C44" s="456"/>
      <c r="D44" s="456">
        <v>0</v>
      </c>
      <c r="E44" s="456"/>
      <c r="F44" s="456">
        <v>0</v>
      </c>
      <c r="G44" s="456"/>
      <c r="H44" s="456">
        <v>0</v>
      </c>
      <c r="I44" s="456"/>
      <c r="J44" s="456">
        <v>0</v>
      </c>
      <c r="K44" s="456"/>
      <c r="L44" s="456">
        <f t="shared" si="2"/>
        <v>0</v>
      </c>
      <c r="P44" s="481"/>
    </row>
    <row r="45" spans="1:17" ht="15" customHeight="1">
      <c r="A45" s="9" t="s">
        <v>792</v>
      </c>
      <c r="B45" s="456">
        <v>0</v>
      </c>
      <c r="C45" s="456"/>
      <c r="D45" s="456">
        <v>0</v>
      </c>
      <c r="E45" s="456"/>
      <c r="F45" s="456">
        <v>0</v>
      </c>
      <c r="G45" s="456"/>
      <c r="H45" s="456">
        <v>0</v>
      </c>
      <c r="I45" s="456"/>
      <c r="J45" s="456">
        <v>0</v>
      </c>
      <c r="K45" s="456"/>
      <c r="L45" s="456">
        <f t="shared" si="2"/>
        <v>0</v>
      </c>
      <c r="P45" s="481"/>
    </row>
    <row r="46" spans="1:17" ht="15" customHeight="1">
      <c r="A46" s="9" t="s">
        <v>786</v>
      </c>
      <c r="B46" s="456">
        <v>0</v>
      </c>
      <c r="C46" s="456"/>
      <c r="D46" s="456">
        <v>0</v>
      </c>
      <c r="E46" s="456"/>
      <c r="F46" s="456">
        <v>0</v>
      </c>
      <c r="G46" s="456"/>
      <c r="H46" s="456">
        <v>0</v>
      </c>
      <c r="I46" s="456"/>
      <c r="J46" s="456">
        <v>0</v>
      </c>
      <c r="K46" s="456"/>
      <c r="L46" s="456">
        <f t="shared" si="2"/>
        <v>0</v>
      </c>
      <c r="P46" s="481"/>
    </row>
    <row r="47" spans="1:17" ht="15" customHeight="1">
      <c r="A47" s="9" t="s">
        <v>58</v>
      </c>
      <c r="B47" s="456">
        <v>0</v>
      </c>
      <c r="C47" s="456"/>
      <c r="D47" s="456">
        <v>0</v>
      </c>
      <c r="E47" s="456"/>
      <c r="F47" s="456">
        <v>0</v>
      </c>
      <c r="G47" s="456"/>
      <c r="H47" s="456">
        <f>+'WP-9 - Disposal'!C62</f>
        <v>67252.016263309342</v>
      </c>
      <c r="I47" s="456"/>
      <c r="J47" s="456">
        <v>0</v>
      </c>
      <c r="K47" s="456"/>
      <c r="L47" s="456">
        <f t="shared" si="2"/>
        <v>67252.016263309342</v>
      </c>
      <c r="P47" s="481"/>
    </row>
    <row r="48" spans="1:17" ht="15" customHeight="1">
      <c r="A48" s="9" t="s">
        <v>1073</v>
      </c>
      <c r="B48" s="456">
        <v>0</v>
      </c>
      <c r="C48" s="456"/>
      <c r="D48" s="456">
        <v>0</v>
      </c>
      <c r="E48" s="456"/>
      <c r="F48" s="456">
        <v>0</v>
      </c>
      <c r="G48" s="456"/>
      <c r="H48" s="456">
        <f>+'WP-9 - Disposal'!C66</f>
        <v>47659.31458992805</v>
      </c>
      <c r="I48" s="456"/>
      <c r="J48" s="456">
        <v>0</v>
      </c>
      <c r="K48" s="456"/>
      <c r="L48" s="456">
        <f t="shared" si="2"/>
        <v>47659.31458992805</v>
      </c>
      <c r="P48" s="481"/>
    </row>
    <row r="49" spans="1:16" ht="15" customHeight="1">
      <c r="A49" s="9" t="s">
        <v>102</v>
      </c>
      <c r="B49" s="456">
        <v>0</v>
      </c>
      <c r="C49" s="456"/>
      <c r="D49" s="456">
        <f>+'WP-7 - Fuel'!E53</f>
        <v>168262.49493834158</v>
      </c>
      <c r="E49" s="456"/>
      <c r="F49" s="456">
        <v>0</v>
      </c>
      <c r="G49" s="456"/>
      <c r="H49" s="456">
        <v>0</v>
      </c>
      <c r="I49" s="456"/>
      <c r="J49" s="456">
        <v>0</v>
      </c>
      <c r="K49" s="456"/>
      <c r="L49" s="456">
        <f t="shared" si="2"/>
        <v>168262.49493834158</v>
      </c>
      <c r="P49" s="481"/>
    </row>
    <row r="50" spans="1:16" ht="15" customHeight="1">
      <c r="A50" s="9" t="s">
        <v>12</v>
      </c>
      <c r="B50" s="456">
        <v>0</v>
      </c>
      <c r="C50" s="456"/>
      <c r="D50" s="456">
        <v>0</v>
      </c>
      <c r="E50" s="456"/>
      <c r="F50" s="456">
        <v>0</v>
      </c>
      <c r="G50" s="456"/>
      <c r="H50" s="456">
        <v>0</v>
      </c>
      <c r="I50" s="460"/>
      <c r="J50" s="456">
        <v>0</v>
      </c>
      <c r="K50" s="456"/>
      <c r="L50" s="456">
        <f t="shared" si="2"/>
        <v>0</v>
      </c>
      <c r="P50" s="481"/>
    </row>
    <row r="51" spans="1:16" ht="15" customHeight="1">
      <c r="A51" s="9" t="s">
        <v>801</v>
      </c>
      <c r="B51" s="456">
        <v>0</v>
      </c>
      <c r="C51" s="456"/>
      <c r="D51" s="456">
        <v>0</v>
      </c>
      <c r="E51" s="456"/>
      <c r="F51" s="456">
        <v>0</v>
      </c>
      <c r="G51" s="456"/>
      <c r="H51" s="456">
        <v>0</v>
      </c>
      <c r="I51" s="456"/>
      <c r="J51" s="456">
        <v>0</v>
      </c>
      <c r="K51" s="456"/>
      <c r="L51" s="456">
        <f t="shared" si="2"/>
        <v>0</v>
      </c>
      <c r="P51" s="481"/>
    </row>
    <row r="52" spans="1:16" ht="15" customHeight="1">
      <c r="A52" s="9" t="s">
        <v>29</v>
      </c>
      <c r="B52" s="456">
        <v>0</v>
      </c>
      <c r="C52" s="456"/>
      <c r="D52" s="456">
        <v>0</v>
      </c>
      <c r="E52" s="456"/>
      <c r="F52" s="456">
        <f>+'WP-2, pg 2 - Labor Increase'!Y88</f>
        <v>34589.8973709571</v>
      </c>
      <c r="G52" s="456"/>
      <c r="H52" s="456">
        <v>0</v>
      </c>
      <c r="I52" s="456"/>
      <c r="J52" s="456">
        <v>0</v>
      </c>
      <c r="K52" s="460"/>
      <c r="L52" s="456">
        <f t="shared" si="2"/>
        <v>34589.8973709571</v>
      </c>
      <c r="P52" s="481"/>
    </row>
    <row r="53" spans="1:16" ht="15" customHeight="1">
      <c r="A53" s="9" t="s">
        <v>804</v>
      </c>
      <c r="B53" s="456">
        <v>0</v>
      </c>
      <c r="C53" s="456"/>
      <c r="D53" s="456">
        <v>0</v>
      </c>
      <c r="E53" s="456"/>
      <c r="F53" s="456">
        <v>0</v>
      </c>
      <c r="G53" s="456"/>
      <c r="H53" s="456">
        <v>0</v>
      </c>
      <c r="I53" s="456"/>
      <c r="J53" s="456">
        <v>0</v>
      </c>
      <c r="K53" s="456"/>
      <c r="L53" s="456">
        <f t="shared" si="2"/>
        <v>0</v>
      </c>
      <c r="P53" s="481"/>
    </row>
    <row r="54" spans="1:16" ht="15" customHeight="1">
      <c r="A54" s="9" t="s">
        <v>790</v>
      </c>
      <c r="B54" s="456">
        <v>0</v>
      </c>
      <c r="C54" s="456"/>
      <c r="D54" s="456">
        <v>0</v>
      </c>
      <c r="E54" s="456"/>
      <c r="F54" s="456">
        <v>0</v>
      </c>
      <c r="G54" s="456"/>
      <c r="H54" s="456">
        <v>0</v>
      </c>
      <c r="I54" s="456"/>
      <c r="J54" s="456">
        <v>0</v>
      </c>
      <c r="K54" s="456"/>
      <c r="L54" s="456">
        <f t="shared" si="2"/>
        <v>0</v>
      </c>
      <c r="P54" s="481"/>
    </row>
    <row r="55" spans="1:16" ht="15" customHeight="1">
      <c r="A55" s="9" t="s">
        <v>787</v>
      </c>
      <c r="B55" s="456">
        <v>0</v>
      </c>
      <c r="C55" s="456"/>
      <c r="D55" s="456">
        <v>0</v>
      </c>
      <c r="E55" s="456"/>
      <c r="F55" s="456">
        <v>0</v>
      </c>
      <c r="G55" s="456"/>
      <c r="H55" s="456">
        <v>0</v>
      </c>
      <c r="I55" s="456"/>
      <c r="J55" s="456">
        <f>+J18</f>
        <v>0</v>
      </c>
      <c r="K55" s="460"/>
      <c r="L55" s="456">
        <f t="shared" si="2"/>
        <v>0</v>
      </c>
      <c r="P55" s="481"/>
    </row>
    <row r="56" spans="1:16" ht="15" customHeight="1">
      <c r="A56" s="9" t="s">
        <v>800</v>
      </c>
      <c r="B56" s="456">
        <v>0</v>
      </c>
      <c r="C56" s="456"/>
      <c r="D56" s="456">
        <v>0</v>
      </c>
      <c r="E56" s="456"/>
      <c r="F56" s="456">
        <v>0</v>
      </c>
      <c r="G56" s="456"/>
      <c r="H56" s="456">
        <f>+'Sch 2 - Forecast Exp'!C16</f>
        <v>0</v>
      </c>
      <c r="I56" s="456"/>
      <c r="J56" s="456">
        <v>0</v>
      </c>
      <c r="K56" s="456"/>
      <c r="L56" s="456">
        <f t="shared" si="2"/>
        <v>0</v>
      </c>
      <c r="P56" s="481"/>
    </row>
    <row r="57" spans="1:16" ht="15" customHeight="1">
      <c r="A57" s="9" t="s">
        <v>799</v>
      </c>
      <c r="B57" s="456">
        <v>0</v>
      </c>
      <c r="C57" s="456"/>
      <c r="D57" s="456">
        <v>0</v>
      </c>
      <c r="E57" s="456"/>
      <c r="F57" s="456">
        <v>0</v>
      </c>
      <c r="G57" s="456"/>
      <c r="H57" s="456">
        <v>0</v>
      </c>
      <c r="I57" s="456"/>
      <c r="J57" s="456">
        <v>0</v>
      </c>
      <c r="K57" s="456"/>
      <c r="L57" s="456">
        <f t="shared" si="2"/>
        <v>0</v>
      </c>
      <c r="P57" s="481"/>
    </row>
    <row r="58" spans="1:16" ht="15" customHeight="1">
      <c r="A58" s="9" t="s">
        <v>797</v>
      </c>
      <c r="B58" s="456">
        <v>0</v>
      </c>
      <c r="C58" s="456"/>
      <c r="D58" s="456">
        <v>0</v>
      </c>
      <c r="E58" s="456"/>
      <c r="F58" s="456">
        <v>0</v>
      </c>
      <c r="G58" s="456"/>
      <c r="H58" s="456">
        <v>0</v>
      </c>
      <c r="I58" s="456"/>
      <c r="J58" s="456">
        <v>0</v>
      </c>
      <c r="K58" s="456"/>
      <c r="L58" s="456">
        <f t="shared" si="2"/>
        <v>0</v>
      </c>
      <c r="P58" s="481"/>
    </row>
    <row r="59" spans="1:16" ht="15" customHeight="1">
      <c r="A59" s="9" t="s">
        <v>810</v>
      </c>
      <c r="B59" s="456">
        <v>0</v>
      </c>
      <c r="C59" s="456"/>
      <c r="D59" s="456">
        <v>0</v>
      </c>
      <c r="E59" s="456"/>
      <c r="F59" s="456">
        <v>0</v>
      </c>
      <c r="G59" s="456"/>
      <c r="H59" s="456">
        <v>0</v>
      </c>
      <c r="I59" s="456"/>
      <c r="J59" s="456">
        <v>0</v>
      </c>
      <c r="K59" s="456"/>
      <c r="L59" s="456">
        <f t="shared" si="2"/>
        <v>0</v>
      </c>
      <c r="P59" s="481"/>
    </row>
    <row r="60" spans="1:16" ht="15" customHeight="1">
      <c r="A60" s="9" t="s">
        <v>802</v>
      </c>
      <c r="B60" s="456">
        <v>0</v>
      </c>
      <c r="C60" s="456"/>
      <c r="D60" s="456">
        <v>0</v>
      </c>
      <c r="E60" s="456"/>
      <c r="F60" s="456">
        <v>0</v>
      </c>
      <c r="G60" s="456"/>
      <c r="H60" s="456">
        <v>0</v>
      </c>
      <c r="I60" s="456"/>
      <c r="J60" s="456">
        <v>0</v>
      </c>
      <c r="K60" s="456"/>
      <c r="L60" s="456">
        <f t="shared" si="2"/>
        <v>0</v>
      </c>
      <c r="P60" s="481"/>
    </row>
    <row r="61" spans="1:16" ht="15" customHeight="1">
      <c r="A61" s="9" t="s">
        <v>791</v>
      </c>
      <c r="B61" s="456">
        <v>0</v>
      </c>
      <c r="C61" s="456"/>
      <c r="D61" s="456">
        <v>0</v>
      </c>
      <c r="E61" s="456"/>
      <c r="F61" s="456">
        <v>0</v>
      </c>
      <c r="G61" s="456"/>
      <c r="H61" s="456">
        <v>0</v>
      </c>
      <c r="I61" s="456"/>
      <c r="J61" s="456">
        <v>0</v>
      </c>
      <c r="K61" s="456"/>
      <c r="L61" s="456">
        <f t="shared" si="2"/>
        <v>0</v>
      </c>
    </row>
    <row r="62" spans="1:16" ht="15" customHeight="1">
      <c r="A62" s="9" t="s">
        <v>805</v>
      </c>
      <c r="B62" s="456">
        <v>0</v>
      </c>
      <c r="C62" s="456"/>
      <c r="D62" s="456">
        <v>0</v>
      </c>
      <c r="E62" s="456"/>
      <c r="F62" s="456">
        <v>0</v>
      </c>
      <c r="G62" s="456"/>
      <c r="H62" s="456">
        <v>0</v>
      </c>
      <c r="I62" s="456"/>
      <c r="J62" s="456">
        <v>0</v>
      </c>
      <c r="K62" s="456"/>
      <c r="L62" s="456">
        <f t="shared" si="2"/>
        <v>0</v>
      </c>
    </row>
    <row r="63" spans="1:16" ht="15" customHeight="1">
      <c r="A63" s="9" t="s">
        <v>796</v>
      </c>
      <c r="B63" s="456">
        <v>0</v>
      </c>
      <c r="C63" s="456"/>
      <c r="D63" s="456">
        <v>0</v>
      </c>
      <c r="E63" s="456"/>
      <c r="F63" s="456">
        <v>0</v>
      </c>
      <c r="G63" s="456"/>
      <c r="H63" s="456">
        <v>0</v>
      </c>
      <c r="I63" s="456"/>
      <c r="J63" s="456">
        <v>0</v>
      </c>
      <c r="K63" s="456"/>
      <c r="L63" s="456">
        <f t="shared" si="2"/>
        <v>0</v>
      </c>
    </row>
    <row r="64" spans="1:16" ht="15" customHeight="1">
      <c r="A64" s="9" t="s">
        <v>352</v>
      </c>
      <c r="B64" s="456">
        <v>0</v>
      </c>
      <c r="C64" s="456"/>
      <c r="D64" s="456">
        <v>0</v>
      </c>
      <c r="E64" s="456"/>
      <c r="F64" s="456">
        <v>0</v>
      </c>
      <c r="G64" s="456"/>
      <c r="H64" s="456">
        <v>0</v>
      </c>
      <c r="I64" s="456"/>
      <c r="J64" s="456">
        <v>0</v>
      </c>
      <c r="K64" s="456"/>
      <c r="L64" s="456">
        <f t="shared" si="2"/>
        <v>0</v>
      </c>
    </row>
    <row r="65" spans="1:12" ht="15" customHeight="1">
      <c r="A65" s="9" t="s">
        <v>811</v>
      </c>
      <c r="B65" s="456">
        <v>0</v>
      </c>
      <c r="C65" s="456"/>
      <c r="D65" s="456">
        <v>0</v>
      </c>
      <c r="E65" s="456"/>
      <c r="F65" s="456">
        <v>0</v>
      </c>
      <c r="G65" s="456"/>
      <c r="H65" s="456">
        <v>0</v>
      </c>
      <c r="I65" s="456"/>
      <c r="J65" s="456">
        <v>0</v>
      </c>
      <c r="K65" s="456"/>
      <c r="L65" s="456">
        <f t="shared" si="2"/>
        <v>0</v>
      </c>
    </row>
    <row r="66" spans="1:12" ht="15" customHeight="1">
      <c r="A66" s="9" t="s">
        <v>785</v>
      </c>
      <c r="B66" s="456">
        <v>0</v>
      </c>
      <c r="C66" s="456"/>
      <c r="D66" s="456">
        <v>0</v>
      </c>
      <c r="E66" s="456"/>
      <c r="F66" s="456">
        <v>0</v>
      </c>
      <c r="G66" s="456"/>
      <c r="H66" s="456">
        <v>0</v>
      </c>
      <c r="I66" s="456"/>
      <c r="J66" s="456">
        <v>0</v>
      </c>
      <c r="K66" s="456"/>
      <c r="L66" s="456">
        <f t="shared" si="2"/>
        <v>0</v>
      </c>
    </row>
    <row r="67" spans="1:12" ht="15" customHeight="1">
      <c r="A67" s="9" t="s">
        <v>784</v>
      </c>
      <c r="B67" s="456">
        <v>0</v>
      </c>
      <c r="C67" s="456"/>
      <c r="D67" s="456">
        <v>0</v>
      </c>
      <c r="E67" s="456"/>
      <c r="F67" s="456">
        <v>0</v>
      </c>
      <c r="G67" s="456"/>
      <c r="H67" s="456">
        <v>0</v>
      </c>
      <c r="I67" s="456"/>
      <c r="J67" s="456">
        <v>0</v>
      </c>
      <c r="K67" s="456"/>
      <c r="L67" s="456">
        <f t="shared" si="2"/>
        <v>0</v>
      </c>
    </row>
    <row r="68" spans="1:12" ht="15" customHeight="1">
      <c r="A68" s="9" t="s">
        <v>354</v>
      </c>
      <c r="B68" s="456">
        <v>0</v>
      </c>
      <c r="C68" s="456"/>
      <c r="D68" s="456">
        <v>0</v>
      </c>
      <c r="E68" s="456"/>
      <c r="F68" s="456">
        <v>0</v>
      </c>
      <c r="G68" s="456"/>
      <c r="H68" s="456">
        <v>0</v>
      </c>
      <c r="I68" s="456"/>
      <c r="J68" s="456">
        <v>0</v>
      </c>
      <c r="K68" s="456"/>
      <c r="L68" s="456">
        <f t="shared" si="2"/>
        <v>0</v>
      </c>
    </row>
    <row r="69" spans="1:12" ht="15" customHeight="1">
      <c r="A69" s="9" t="s">
        <v>794</v>
      </c>
      <c r="B69" s="456">
        <v>0</v>
      </c>
      <c r="C69" s="456"/>
      <c r="D69" s="456">
        <v>0</v>
      </c>
      <c r="E69" s="456"/>
      <c r="F69" s="456">
        <v>0</v>
      </c>
      <c r="G69" s="456"/>
      <c r="H69" s="456">
        <f>H28*0.004</f>
        <v>190.63725835971221</v>
      </c>
      <c r="I69" s="456"/>
      <c r="J69" s="456">
        <v>0</v>
      </c>
      <c r="K69" s="456"/>
      <c r="L69" s="456">
        <f t="shared" si="2"/>
        <v>190.63725835971221</v>
      </c>
    </row>
    <row r="70" spans="1:12" ht="15" customHeight="1">
      <c r="A70" s="9" t="s">
        <v>788</v>
      </c>
      <c r="B70" s="456">
        <v>0</v>
      </c>
      <c r="C70" s="456"/>
      <c r="D70" s="456">
        <v>0</v>
      </c>
      <c r="E70" s="456"/>
      <c r="F70" s="456">
        <v>0</v>
      </c>
      <c r="G70" s="456"/>
      <c r="H70" s="456">
        <v>0</v>
      </c>
      <c r="I70" s="456"/>
      <c r="J70" s="456">
        <v>0</v>
      </c>
      <c r="K70" s="456"/>
      <c r="L70" s="456">
        <f t="shared" ref="L70:L79" si="3">SUM(B70:K70)</f>
        <v>0</v>
      </c>
    </row>
    <row r="71" spans="1:12" ht="15" customHeight="1">
      <c r="A71" s="9" t="s">
        <v>806</v>
      </c>
      <c r="B71" s="456">
        <v>0</v>
      </c>
      <c r="C71" s="456"/>
      <c r="D71" s="456">
        <v>0</v>
      </c>
      <c r="E71" s="456"/>
      <c r="F71" s="456">
        <v>0</v>
      </c>
      <c r="G71" s="456"/>
      <c r="H71" s="456">
        <v>0</v>
      </c>
      <c r="I71" s="456"/>
      <c r="J71" s="456">
        <v>0</v>
      </c>
      <c r="K71" s="456"/>
      <c r="L71" s="456">
        <f t="shared" si="3"/>
        <v>0</v>
      </c>
    </row>
    <row r="72" spans="1:12" ht="15" customHeight="1">
      <c r="A72" s="9" t="s">
        <v>798</v>
      </c>
      <c r="B72" s="456">
        <v>0</v>
      </c>
      <c r="C72" s="456"/>
      <c r="D72" s="456">
        <v>0</v>
      </c>
      <c r="E72" s="456"/>
      <c r="F72" s="456">
        <v>0</v>
      </c>
      <c r="G72" s="456"/>
      <c r="H72" s="456">
        <v>0</v>
      </c>
      <c r="I72" s="456"/>
      <c r="J72" s="456">
        <v>0</v>
      </c>
      <c r="K72" s="456"/>
      <c r="L72" s="456">
        <f t="shared" si="3"/>
        <v>0</v>
      </c>
    </row>
    <row r="73" spans="1:12" ht="15" customHeight="1">
      <c r="A73" s="9" t="s">
        <v>812</v>
      </c>
      <c r="B73" s="456">
        <v>0</v>
      </c>
      <c r="C73" s="456"/>
      <c r="D73" s="456">
        <v>0</v>
      </c>
      <c r="E73" s="456"/>
      <c r="F73" s="456">
        <v>0</v>
      </c>
      <c r="G73" s="456"/>
      <c r="H73" s="456">
        <v>0</v>
      </c>
      <c r="I73" s="456"/>
      <c r="J73" s="456">
        <v>0</v>
      </c>
      <c r="K73" s="456"/>
      <c r="L73" s="456">
        <f t="shared" si="3"/>
        <v>0</v>
      </c>
    </row>
    <row r="74" spans="1:12" ht="15" customHeight="1">
      <c r="A74" s="9" t="s">
        <v>793</v>
      </c>
      <c r="B74" s="456">
        <v>0</v>
      </c>
      <c r="C74" s="456"/>
      <c r="D74" s="456">
        <v>0</v>
      </c>
      <c r="E74" s="456"/>
      <c r="F74" s="456">
        <v>0</v>
      </c>
      <c r="G74" s="456"/>
      <c r="H74" s="456">
        <v>0</v>
      </c>
      <c r="I74" s="456"/>
      <c r="J74" s="456">
        <v>0</v>
      </c>
      <c r="K74" s="456"/>
      <c r="L74" s="456">
        <f t="shared" si="3"/>
        <v>0</v>
      </c>
    </row>
    <row r="75" spans="1:12" ht="15" customHeight="1">
      <c r="A75" s="9" t="s">
        <v>809</v>
      </c>
      <c r="B75" s="456">
        <v>0</v>
      </c>
      <c r="C75" s="456"/>
      <c r="D75" s="456">
        <v>0</v>
      </c>
      <c r="E75" s="456"/>
      <c r="F75" s="456">
        <v>0</v>
      </c>
      <c r="G75" s="456"/>
      <c r="H75" s="456">
        <v>0</v>
      </c>
      <c r="I75" s="456"/>
      <c r="J75" s="456">
        <v>0</v>
      </c>
      <c r="K75" s="456"/>
      <c r="L75" s="456">
        <f t="shared" si="3"/>
        <v>0</v>
      </c>
    </row>
    <row r="76" spans="1:12" ht="15" customHeight="1">
      <c r="A76" s="9" t="s">
        <v>30</v>
      </c>
      <c r="B76" s="456">
        <v>0</v>
      </c>
      <c r="C76" s="456"/>
      <c r="D76" s="456">
        <v>0</v>
      </c>
      <c r="E76" s="456"/>
      <c r="F76" s="456">
        <v>0</v>
      </c>
      <c r="G76" s="456"/>
      <c r="H76" s="456">
        <v>0</v>
      </c>
      <c r="I76" s="456"/>
      <c r="J76" s="456">
        <f>+'WP-1, pg 2 - Depr'!C217</f>
        <v>238.83787209850789</v>
      </c>
      <c r="K76" s="456"/>
      <c r="L76" s="456">
        <f t="shared" si="3"/>
        <v>238.83787209850789</v>
      </c>
    </row>
    <row r="77" spans="1:12" ht="15" customHeight="1">
      <c r="A77" s="9" t="s">
        <v>93</v>
      </c>
      <c r="B77" s="456">
        <v>0</v>
      </c>
      <c r="C77" s="456"/>
      <c r="D77" s="456">
        <v>0</v>
      </c>
      <c r="E77" s="456"/>
      <c r="F77" s="456">
        <v>0</v>
      </c>
      <c r="G77" s="456"/>
      <c r="H77" s="456">
        <v>0</v>
      </c>
      <c r="I77" s="456"/>
      <c r="J77" s="456">
        <v>0</v>
      </c>
      <c r="K77" s="456"/>
      <c r="L77" s="456">
        <f t="shared" si="3"/>
        <v>0</v>
      </c>
    </row>
    <row r="78" spans="1:12" ht="15" customHeight="1">
      <c r="A78" s="9" t="s">
        <v>40</v>
      </c>
      <c r="B78" s="456">
        <v>0</v>
      </c>
      <c r="C78" s="456"/>
      <c r="D78" s="456">
        <v>0</v>
      </c>
      <c r="E78" s="456"/>
      <c r="F78" s="456">
        <v>0</v>
      </c>
      <c r="G78" s="456"/>
      <c r="H78" s="456">
        <v>0</v>
      </c>
      <c r="I78" s="456"/>
      <c r="J78" s="456">
        <f>+'WP-1, pg 2 - Depr'!C213</f>
        <v>57974.690839099385</v>
      </c>
      <c r="K78" s="456"/>
      <c r="L78" s="456">
        <f t="shared" si="3"/>
        <v>57974.690839099385</v>
      </c>
    </row>
    <row r="79" spans="1:12" ht="15" customHeight="1">
      <c r="A79" s="9" t="s">
        <v>424</v>
      </c>
      <c r="B79" s="456">
        <f>+'WP-10 - Rate Case Cost'!D17</f>
        <v>7306.7833333333338</v>
      </c>
      <c r="C79" s="456"/>
      <c r="D79" s="456">
        <v>0</v>
      </c>
      <c r="E79" s="456"/>
      <c r="F79" s="456">
        <v>0</v>
      </c>
      <c r="G79" s="456"/>
      <c r="H79" s="456">
        <v>0</v>
      </c>
      <c r="I79" s="456"/>
      <c r="J79" s="456">
        <v>0</v>
      </c>
      <c r="K79" s="456"/>
      <c r="L79" s="456">
        <f t="shared" si="3"/>
        <v>7306.7833333333338</v>
      </c>
    </row>
    <row r="80" spans="1:12" ht="15" customHeight="1">
      <c r="A80" s="451"/>
      <c r="B80" s="462">
        <f>SUM(B31:B79)</f>
        <v>7306.7833333333338</v>
      </c>
      <c r="C80" s="455"/>
      <c r="D80" s="462">
        <f>SUM(D31:D79)</f>
        <v>168262.49493834158</v>
      </c>
      <c r="E80" s="455"/>
      <c r="F80" s="462">
        <f>SUM(F31:F79)</f>
        <v>148884.44366949762</v>
      </c>
      <c r="G80" s="456"/>
      <c r="H80" s="462">
        <f>SUM(H31:H79)</f>
        <v>115101.9681115971</v>
      </c>
      <c r="I80" s="455"/>
      <c r="J80" s="462">
        <f>SUM(J31:J79)</f>
        <v>58213.528711197891</v>
      </c>
      <c r="K80" s="456"/>
      <c r="L80" s="462">
        <f>SUM(L31:L79)</f>
        <v>497769.21876396751</v>
      </c>
    </row>
    <row r="81" spans="1:12" ht="15" customHeight="1">
      <c r="A81" s="451"/>
      <c r="B81" s="456"/>
      <c r="C81" s="456"/>
      <c r="D81" s="456"/>
      <c r="E81" s="456"/>
      <c r="F81" s="456"/>
      <c r="G81" s="456"/>
      <c r="H81" s="456"/>
      <c r="I81" s="456"/>
      <c r="J81" s="456"/>
      <c r="K81" s="456"/>
      <c r="L81" s="456"/>
    </row>
    <row r="82" spans="1:12" ht="15" customHeight="1" thickBot="1">
      <c r="A82" s="451" t="s">
        <v>38</v>
      </c>
      <c r="B82" s="463">
        <f>+B28-B80</f>
        <v>-7306.7833333333338</v>
      </c>
      <c r="C82" s="456"/>
      <c r="D82" s="463">
        <f>+D28-D80</f>
        <v>-168262.49493834158</v>
      </c>
      <c r="E82" s="456"/>
      <c r="F82" s="463">
        <f>+F28-F80</f>
        <v>-148884.44366949762</v>
      </c>
      <c r="G82" s="455"/>
      <c r="H82" s="463">
        <f>+H28-H80</f>
        <v>-67442.653521669054</v>
      </c>
      <c r="I82" s="456"/>
      <c r="J82" s="463">
        <f>+J28-J80</f>
        <v>-58213.528711197891</v>
      </c>
      <c r="K82" s="455"/>
      <c r="L82" s="463">
        <f>+L28-L80</f>
        <v>-450109.90417403949</v>
      </c>
    </row>
    <row r="83" spans="1:12" ht="15" customHeight="1" thickTop="1">
      <c r="A83" s="451"/>
      <c r="B83" s="451"/>
      <c r="C83" s="451"/>
      <c r="D83" s="451"/>
      <c r="E83" s="451"/>
      <c r="F83" s="451"/>
      <c r="G83" s="451"/>
      <c r="H83" s="451"/>
      <c r="I83" s="451"/>
      <c r="J83" s="451"/>
      <c r="K83" s="451"/>
      <c r="L83" s="451"/>
    </row>
    <row r="84" spans="1:12" ht="15" customHeight="1">
      <c r="A84" s="451"/>
      <c r="B84" s="451"/>
      <c r="C84" s="451"/>
      <c r="D84" s="451"/>
      <c r="E84" s="451"/>
      <c r="F84" s="451"/>
      <c r="G84" s="451"/>
      <c r="H84" s="451"/>
      <c r="I84" s="451"/>
      <c r="J84" s="451"/>
      <c r="K84" s="451"/>
      <c r="L84" s="451"/>
    </row>
    <row r="85" spans="1:12" ht="15" customHeight="1">
      <c r="A85" s="451"/>
      <c r="B85" s="451"/>
      <c r="C85" s="451"/>
      <c r="D85" s="451"/>
      <c r="E85" s="451"/>
      <c r="F85" s="451"/>
      <c r="G85" s="451"/>
      <c r="H85" s="451"/>
      <c r="I85" s="451"/>
      <c r="J85" s="451"/>
      <c r="K85" s="451"/>
      <c r="L85" s="451"/>
    </row>
    <row r="86" spans="1:12" ht="15" customHeight="1">
      <c r="A86" s="451"/>
      <c r="B86" s="451"/>
      <c r="C86" s="451"/>
      <c r="D86" s="451"/>
      <c r="E86" s="451"/>
      <c r="F86" s="451"/>
      <c r="G86" s="451"/>
      <c r="H86" s="451"/>
      <c r="I86" s="451"/>
      <c r="J86" s="451"/>
      <c r="K86" s="451"/>
      <c r="L86" s="451"/>
    </row>
    <row r="87" spans="1:12" ht="15" customHeight="1">
      <c r="A87" s="451"/>
      <c r="B87" s="451"/>
      <c r="C87" s="451"/>
      <c r="D87" s="451"/>
      <c r="E87" s="451"/>
      <c r="F87" s="451"/>
      <c r="G87" s="451"/>
      <c r="H87" s="451"/>
      <c r="I87" s="451"/>
      <c r="J87" s="451"/>
      <c r="K87" s="451"/>
      <c r="L87" s="451"/>
    </row>
    <row r="88" spans="1:12" ht="15" customHeight="1">
      <c r="A88" s="451"/>
      <c r="B88" s="451"/>
      <c r="C88" s="451"/>
      <c r="D88" s="451"/>
      <c r="E88" s="451"/>
      <c r="F88" s="451"/>
      <c r="G88" s="451"/>
      <c r="H88" s="451"/>
      <c r="I88" s="451"/>
      <c r="J88" s="451"/>
      <c r="K88" s="451"/>
      <c r="L88" s="451"/>
    </row>
    <row r="89" spans="1:12" ht="15" customHeight="1">
      <c r="A89" s="451"/>
      <c r="B89" s="451"/>
      <c r="C89" s="451"/>
      <c r="D89" s="451"/>
      <c r="E89" s="451"/>
      <c r="F89" s="451"/>
      <c r="G89" s="451"/>
      <c r="H89" s="451"/>
      <c r="I89" s="451"/>
      <c r="J89" s="451"/>
      <c r="K89" s="451"/>
      <c r="L89" s="451"/>
    </row>
    <row r="90" spans="1:12" ht="15" customHeight="1">
      <c r="A90" s="451"/>
      <c r="B90" s="451"/>
      <c r="C90" s="451"/>
      <c r="D90" s="451"/>
      <c r="E90" s="451"/>
      <c r="F90" s="451"/>
      <c r="G90" s="451"/>
      <c r="H90" s="451"/>
      <c r="I90" s="451"/>
      <c r="J90" s="451"/>
      <c r="K90" s="451"/>
      <c r="L90" s="451"/>
    </row>
    <row r="91" spans="1:12" ht="15" customHeight="1">
      <c r="A91" s="451"/>
      <c r="B91" s="451"/>
      <c r="C91" s="451"/>
      <c r="D91" s="451"/>
      <c r="E91" s="451"/>
      <c r="F91" s="451"/>
      <c r="G91" s="451"/>
      <c r="H91" s="451"/>
      <c r="I91" s="451"/>
      <c r="J91" s="451"/>
      <c r="K91" s="451"/>
      <c r="L91" s="451"/>
    </row>
    <row r="92" spans="1:12" ht="15" customHeight="1">
      <c r="A92" s="451"/>
      <c r="B92" s="451"/>
      <c r="C92" s="451"/>
      <c r="D92" s="451"/>
      <c r="E92" s="451"/>
      <c r="F92" s="451"/>
      <c r="G92" s="451"/>
      <c r="H92" s="451"/>
      <c r="I92" s="451"/>
      <c r="J92" s="451"/>
      <c r="K92" s="451"/>
      <c r="L92" s="451"/>
    </row>
    <row r="93" spans="1:12" ht="15" customHeight="1">
      <c r="A93" s="451"/>
      <c r="B93" s="451"/>
      <c r="C93" s="451"/>
      <c r="D93" s="451"/>
      <c r="E93" s="451"/>
      <c r="F93" s="451"/>
      <c r="G93" s="451"/>
      <c r="H93" s="451"/>
      <c r="I93" s="451"/>
      <c r="J93" s="451"/>
      <c r="K93" s="451"/>
      <c r="L93" s="451"/>
    </row>
    <row r="94" spans="1:12" ht="15" customHeight="1">
      <c r="A94" s="451"/>
      <c r="B94" s="451"/>
      <c r="C94" s="451"/>
      <c r="D94" s="451"/>
      <c r="E94" s="451"/>
      <c r="F94" s="451"/>
      <c r="G94" s="451"/>
      <c r="H94" s="451"/>
      <c r="I94" s="451"/>
      <c r="J94" s="451"/>
      <c r="K94" s="451"/>
      <c r="L94" s="451"/>
    </row>
    <row r="95" spans="1:12" ht="15" customHeight="1">
      <c r="A95" s="451"/>
      <c r="B95" s="451"/>
      <c r="C95" s="451"/>
      <c r="D95" s="451"/>
      <c r="E95" s="451"/>
      <c r="F95" s="451"/>
      <c r="G95" s="451"/>
      <c r="H95" s="451"/>
      <c r="I95" s="451"/>
      <c r="J95" s="451"/>
      <c r="K95" s="451"/>
      <c r="L95" s="451"/>
    </row>
    <row r="96" spans="1:12" ht="15" customHeight="1">
      <c r="A96" s="451"/>
      <c r="B96" s="451"/>
      <c r="C96" s="451"/>
      <c r="D96" s="451"/>
      <c r="E96" s="451"/>
      <c r="F96" s="451"/>
      <c r="G96" s="451"/>
      <c r="H96" s="451"/>
      <c r="I96" s="451"/>
      <c r="J96" s="451"/>
      <c r="K96" s="451"/>
      <c r="L96" s="451"/>
    </row>
    <row r="97" spans="1:12">
      <c r="A97" s="451"/>
      <c r="B97" s="451"/>
      <c r="C97" s="451"/>
      <c r="D97" s="451"/>
      <c r="E97" s="451"/>
      <c r="F97" s="451"/>
      <c r="G97" s="451"/>
      <c r="H97" s="451"/>
      <c r="I97" s="451"/>
      <c r="J97" s="451"/>
      <c r="K97" s="451"/>
      <c r="L97" s="451"/>
    </row>
    <row r="98" spans="1:12">
      <c r="A98" s="451"/>
      <c r="B98" s="451"/>
      <c r="C98" s="451"/>
      <c r="D98" s="451"/>
      <c r="E98" s="451"/>
      <c r="F98" s="451"/>
      <c r="G98" s="451"/>
      <c r="H98" s="451"/>
      <c r="I98" s="451"/>
      <c r="J98" s="451"/>
      <c r="K98" s="451"/>
      <c r="L98" s="451"/>
    </row>
    <row r="99" spans="1:12">
      <c r="A99" s="451"/>
      <c r="B99" s="451"/>
      <c r="C99" s="451"/>
      <c r="D99" s="451"/>
      <c r="E99" s="451"/>
      <c r="F99" s="451"/>
      <c r="G99" s="451"/>
      <c r="H99" s="451"/>
      <c r="I99" s="451"/>
      <c r="J99" s="451"/>
      <c r="K99" s="451"/>
      <c r="L99" s="451"/>
    </row>
    <row r="100" spans="1:12">
      <c r="A100" s="451"/>
      <c r="B100" s="451"/>
      <c r="C100" s="451"/>
      <c r="D100" s="451"/>
      <c r="E100" s="451"/>
      <c r="F100" s="451"/>
      <c r="G100" s="451"/>
      <c r="H100" s="451"/>
      <c r="I100" s="451"/>
      <c r="J100" s="451"/>
      <c r="K100" s="451"/>
      <c r="L100" s="451"/>
    </row>
    <row r="101" spans="1:12">
      <c r="A101" s="451"/>
      <c r="B101" s="451"/>
      <c r="C101" s="451"/>
      <c r="D101" s="451"/>
      <c r="E101" s="451"/>
      <c r="F101" s="451"/>
      <c r="G101" s="451"/>
      <c r="H101" s="451"/>
      <c r="I101" s="451"/>
      <c r="J101" s="451"/>
      <c r="K101" s="451"/>
      <c r="L101" s="451"/>
    </row>
    <row r="102" spans="1:12">
      <c r="A102" s="451"/>
      <c r="B102" s="451"/>
      <c r="C102" s="451"/>
      <c r="D102" s="451"/>
      <c r="E102" s="451"/>
      <c r="F102" s="451"/>
      <c r="G102" s="451"/>
      <c r="H102" s="451"/>
      <c r="I102" s="451"/>
      <c r="J102" s="451"/>
      <c r="K102" s="451"/>
      <c r="L102" s="451"/>
    </row>
    <row r="103" spans="1:12">
      <c r="A103" s="451"/>
      <c r="B103" s="451"/>
      <c r="C103" s="451"/>
      <c r="D103" s="451"/>
      <c r="E103" s="451"/>
      <c r="F103" s="451"/>
      <c r="G103" s="451"/>
      <c r="H103" s="451"/>
      <c r="I103" s="451"/>
      <c r="J103" s="451"/>
      <c r="K103" s="451"/>
      <c r="L103" s="451"/>
    </row>
    <row r="104" spans="1:12">
      <c r="A104" s="451"/>
      <c r="B104" s="451"/>
      <c r="C104" s="451"/>
      <c r="D104" s="451"/>
      <c r="E104" s="451"/>
      <c r="F104" s="451"/>
      <c r="G104" s="451"/>
      <c r="H104" s="451"/>
      <c r="I104" s="451"/>
      <c r="J104" s="451"/>
      <c r="K104" s="451"/>
      <c r="L104" s="451"/>
    </row>
    <row r="105" spans="1:12">
      <c r="A105" s="451"/>
      <c r="B105" s="451"/>
      <c r="C105" s="451"/>
      <c r="D105" s="451"/>
      <c r="E105" s="451"/>
      <c r="F105" s="451"/>
      <c r="G105" s="451"/>
      <c r="H105" s="451"/>
      <c r="I105" s="451"/>
      <c r="J105" s="451"/>
      <c r="K105" s="451"/>
      <c r="L105" s="451"/>
    </row>
    <row r="106" spans="1:12">
      <c r="A106" s="451"/>
      <c r="B106" s="451"/>
      <c r="C106" s="451"/>
      <c r="D106" s="451"/>
      <c r="E106" s="451"/>
      <c r="F106" s="451"/>
      <c r="G106" s="451"/>
      <c r="H106" s="451"/>
      <c r="I106" s="451"/>
      <c r="J106" s="451"/>
      <c r="K106" s="451"/>
      <c r="L106" s="451"/>
    </row>
    <row r="107" spans="1:12">
      <c r="A107" s="451"/>
      <c r="B107" s="451"/>
      <c r="C107" s="451"/>
      <c r="D107" s="451"/>
      <c r="E107" s="451"/>
      <c r="F107" s="451"/>
      <c r="G107" s="451"/>
      <c r="H107" s="451"/>
      <c r="I107" s="451"/>
      <c r="J107" s="451"/>
      <c r="K107" s="451"/>
      <c r="L107" s="451"/>
    </row>
    <row r="108" spans="1:12">
      <c r="A108" s="451"/>
      <c r="B108" s="451"/>
      <c r="C108" s="451"/>
      <c r="D108" s="451"/>
      <c r="E108" s="451"/>
      <c r="F108" s="451"/>
      <c r="G108" s="451"/>
      <c r="H108" s="451"/>
      <c r="I108" s="451"/>
      <c r="J108" s="451"/>
      <c r="K108" s="451"/>
      <c r="L108" s="451"/>
    </row>
    <row r="109" spans="1:12">
      <c r="A109" s="451"/>
      <c r="B109" s="451"/>
      <c r="C109" s="451"/>
      <c r="D109" s="451"/>
      <c r="E109" s="451"/>
      <c r="F109" s="451"/>
      <c r="G109" s="451"/>
      <c r="H109" s="451"/>
      <c r="I109" s="451"/>
      <c r="J109" s="451"/>
      <c r="K109" s="451"/>
      <c r="L109" s="451"/>
    </row>
    <row r="110" spans="1:12">
      <c r="A110" s="451"/>
      <c r="B110" s="451"/>
      <c r="C110" s="451"/>
      <c r="D110" s="451"/>
      <c r="E110" s="451"/>
      <c r="F110" s="451"/>
      <c r="G110" s="451"/>
      <c r="H110" s="451"/>
      <c r="I110" s="451"/>
      <c r="J110" s="451"/>
      <c r="K110" s="451"/>
      <c r="L110" s="451"/>
    </row>
    <row r="111" spans="1:12">
      <c r="A111" s="451"/>
      <c r="B111" s="451"/>
      <c r="C111" s="451"/>
      <c r="D111" s="451"/>
      <c r="E111" s="451"/>
      <c r="F111" s="451"/>
      <c r="G111" s="451"/>
      <c r="H111" s="451"/>
      <c r="I111" s="451"/>
      <c r="J111" s="451"/>
      <c r="K111" s="451"/>
      <c r="L111" s="451"/>
    </row>
    <row r="112" spans="1:12">
      <c r="A112" s="451"/>
      <c r="B112" s="451"/>
      <c r="C112" s="451"/>
      <c r="D112" s="451"/>
      <c r="E112" s="451"/>
      <c r="F112" s="451"/>
      <c r="G112" s="451"/>
      <c r="H112" s="451"/>
      <c r="I112" s="451"/>
      <c r="J112" s="451"/>
      <c r="K112" s="451"/>
      <c r="L112" s="451"/>
    </row>
    <row r="113" spans="1:12">
      <c r="A113" s="451"/>
      <c r="B113" s="451"/>
      <c r="C113" s="451"/>
      <c r="D113" s="451"/>
      <c r="E113" s="451"/>
      <c r="F113" s="451"/>
      <c r="G113" s="451"/>
      <c r="H113" s="451"/>
      <c r="I113" s="451"/>
      <c r="J113" s="451"/>
      <c r="K113" s="451"/>
      <c r="L113" s="451"/>
    </row>
    <row r="114" spans="1:12">
      <c r="A114" s="451"/>
      <c r="B114" s="451"/>
      <c r="C114" s="451"/>
      <c r="D114" s="451"/>
      <c r="E114" s="451"/>
      <c r="F114" s="451"/>
      <c r="G114" s="451"/>
      <c r="H114" s="451"/>
      <c r="I114" s="451"/>
      <c r="J114" s="451"/>
      <c r="K114" s="451"/>
      <c r="L114" s="451"/>
    </row>
    <row r="115" spans="1:12">
      <c r="A115" s="451"/>
      <c r="B115" s="451"/>
      <c r="C115" s="451"/>
      <c r="D115" s="451"/>
      <c r="E115" s="451"/>
      <c r="F115" s="451"/>
      <c r="G115" s="451"/>
      <c r="H115" s="451"/>
      <c r="I115" s="451"/>
      <c r="J115" s="451"/>
      <c r="K115" s="451"/>
      <c r="L115" s="451"/>
    </row>
    <row r="116" spans="1:12">
      <c r="A116" s="451"/>
      <c r="B116" s="451"/>
      <c r="C116" s="451"/>
      <c r="D116" s="451"/>
      <c r="E116" s="451"/>
      <c r="F116" s="451"/>
      <c r="G116" s="451"/>
      <c r="H116" s="451"/>
      <c r="I116" s="451"/>
      <c r="J116" s="451"/>
      <c r="K116" s="451"/>
      <c r="L116" s="451"/>
    </row>
    <row r="117" spans="1:12">
      <c r="A117" s="451"/>
      <c r="B117" s="451"/>
      <c r="C117" s="451"/>
      <c r="D117" s="451"/>
      <c r="E117" s="451"/>
      <c r="F117" s="451"/>
      <c r="G117" s="451"/>
      <c r="H117" s="451"/>
      <c r="I117" s="451"/>
      <c r="J117" s="451"/>
      <c r="K117" s="451"/>
      <c r="L117" s="451"/>
    </row>
    <row r="118" spans="1:12">
      <c r="A118" s="451"/>
      <c r="B118" s="451"/>
      <c r="C118" s="451"/>
      <c r="D118" s="451"/>
      <c r="E118" s="451"/>
      <c r="F118" s="451"/>
      <c r="G118" s="451"/>
      <c r="H118" s="451"/>
      <c r="I118" s="451"/>
      <c r="J118" s="451"/>
      <c r="K118" s="451"/>
      <c r="L118" s="451"/>
    </row>
    <row r="119" spans="1:12">
      <c r="A119" s="451"/>
      <c r="B119" s="451"/>
      <c r="C119" s="451"/>
      <c r="D119" s="451"/>
      <c r="E119" s="451"/>
      <c r="F119" s="451"/>
      <c r="G119" s="451"/>
      <c r="H119" s="451"/>
      <c r="I119" s="451"/>
      <c r="J119" s="451"/>
      <c r="K119" s="451"/>
      <c r="L119" s="451"/>
    </row>
    <row r="120" spans="1:12">
      <c r="A120" s="451"/>
      <c r="B120" s="451"/>
      <c r="C120" s="451"/>
      <c r="D120" s="451"/>
      <c r="E120" s="451"/>
      <c r="F120" s="451"/>
      <c r="G120" s="451"/>
      <c r="H120" s="451"/>
      <c r="I120" s="451"/>
      <c r="J120" s="451"/>
      <c r="K120" s="451"/>
      <c r="L120" s="451"/>
    </row>
    <row r="121" spans="1:12">
      <c r="A121" s="451"/>
      <c r="B121" s="451"/>
      <c r="C121" s="451"/>
      <c r="D121" s="451"/>
      <c r="E121" s="451"/>
      <c r="F121" s="451"/>
      <c r="G121" s="451"/>
      <c r="H121" s="451"/>
      <c r="I121" s="451"/>
      <c r="J121" s="451"/>
      <c r="K121" s="451"/>
      <c r="L121" s="451"/>
    </row>
    <row r="122" spans="1:12">
      <c r="A122" s="451"/>
      <c r="B122" s="451"/>
      <c r="C122" s="451"/>
      <c r="D122" s="451"/>
      <c r="E122" s="451"/>
      <c r="F122" s="451"/>
      <c r="G122" s="451"/>
      <c r="H122" s="451"/>
      <c r="I122" s="451"/>
      <c r="J122" s="451"/>
      <c r="K122" s="451"/>
      <c r="L122" s="451"/>
    </row>
    <row r="123" spans="1:12">
      <c r="A123" s="451"/>
      <c r="B123" s="451"/>
      <c r="C123" s="451"/>
      <c r="D123" s="451"/>
      <c r="E123" s="451"/>
      <c r="F123" s="451"/>
      <c r="G123" s="451"/>
      <c r="H123" s="451"/>
      <c r="I123" s="451"/>
      <c r="J123" s="451"/>
      <c r="K123" s="451"/>
      <c r="L123" s="451"/>
    </row>
    <row r="124" spans="1:12">
      <c r="A124" s="451"/>
      <c r="B124" s="451"/>
      <c r="C124" s="451"/>
      <c r="D124" s="451"/>
      <c r="E124" s="451"/>
      <c r="F124" s="451"/>
      <c r="G124" s="451"/>
      <c r="H124" s="451"/>
      <c r="I124" s="451"/>
      <c r="J124" s="451"/>
      <c r="K124" s="451"/>
      <c r="L124" s="451"/>
    </row>
    <row r="125" spans="1:12">
      <c r="A125" s="451"/>
      <c r="B125" s="451"/>
      <c r="C125" s="451"/>
      <c r="D125" s="451"/>
      <c r="E125" s="451"/>
      <c r="F125" s="451"/>
      <c r="G125" s="451"/>
      <c r="H125" s="451"/>
      <c r="I125" s="451"/>
      <c r="J125" s="451"/>
      <c r="K125" s="451"/>
      <c r="L125" s="451"/>
    </row>
    <row r="126" spans="1:12">
      <c r="A126" s="451"/>
      <c r="B126" s="451"/>
      <c r="C126" s="451"/>
      <c r="D126" s="451"/>
      <c r="E126" s="451"/>
      <c r="F126" s="451"/>
      <c r="G126" s="451"/>
      <c r="H126" s="451"/>
      <c r="I126" s="451"/>
      <c r="J126" s="451"/>
      <c r="K126" s="451"/>
      <c r="L126" s="451"/>
    </row>
    <row r="127" spans="1:12">
      <c r="A127" s="451"/>
      <c r="B127" s="451"/>
      <c r="C127" s="451"/>
      <c r="D127" s="451"/>
      <c r="E127" s="451"/>
      <c r="F127" s="451"/>
      <c r="G127" s="451"/>
      <c r="H127" s="451"/>
      <c r="I127" s="451"/>
      <c r="J127" s="451"/>
      <c r="K127" s="451"/>
      <c r="L127" s="451"/>
    </row>
    <row r="128" spans="1:12">
      <c r="A128" s="451"/>
      <c r="B128" s="451"/>
      <c r="C128" s="451"/>
      <c r="D128" s="451"/>
      <c r="E128" s="451"/>
      <c r="F128" s="451"/>
      <c r="G128" s="451"/>
      <c r="H128" s="451"/>
      <c r="I128" s="451"/>
      <c r="J128" s="451"/>
      <c r="K128" s="451"/>
      <c r="L128" s="451"/>
    </row>
    <row r="129" spans="1:12">
      <c r="A129" s="451"/>
      <c r="B129" s="451"/>
      <c r="C129" s="451"/>
      <c r="D129" s="451"/>
      <c r="E129" s="451"/>
      <c r="F129" s="451"/>
      <c r="G129" s="451"/>
      <c r="H129" s="451"/>
      <c r="I129" s="451"/>
      <c r="J129" s="451"/>
      <c r="K129" s="451"/>
      <c r="L129" s="451"/>
    </row>
    <row r="130" spans="1:12">
      <c r="A130" s="451"/>
      <c r="B130" s="451"/>
      <c r="C130" s="451"/>
      <c r="D130" s="451"/>
      <c r="E130" s="451"/>
      <c r="F130" s="451"/>
      <c r="G130" s="451"/>
      <c r="H130" s="451"/>
      <c r="I130" s="451"/>
      <c r="J130" s="451"/>
      <c r="K130" s="451"/>
      <c r="L130" s="451"/>
    </row>
    <row r="131" spans="1:12">
      <c r="A131" s="451"/>
      <c r="B131" s="451"/>
      <c r="C131" s="451"/>
      <c r="D131" s="451"/>
      <c r="E131" s="451"/>
      <c r="F131" s="451"/>
      <c r="G131" s="451"/>
      <c r="H131" s="451"/>
      <c r="I131" s="451"/>
      <c r="J131" s="451"/>
      <c r="K131" s="451"/>
      <c r="L131" s="451"/>
    </row>
    <row r="132" spans="1:12">
      <c r="A132" s="451"/>
      <c r="B132" s="451"/>
      <c r="C132" s="451"/>
      <c r="D132" s="451"/>
      <c r="E132" s="451"/>
      <c r="F132" s="451"/>
      <c r="G132" s="451"/>
      <c r="H132" s="451"/>
      <c r="I132" s="451"/>
      <c r="J132" s="451"/>
      <c r="K132" s="451"/>
      <c r="L132" s="451"/>
    </row>
    <row r="133" spans="1:12">
      <c r="A133" s="451"/>
      <c r="B133" s="451"/>
      <c r="C133" s="451"/>
      <c r="D133" s="451"/>
      <c r="E133" s="451"/>
      <c r="F133" s="451"/>
      <c r="G133" s="451"/>
      <c r="H133" s="451"/>
      <c r="I133" s="451"/>
      <c r="J133" s="451"/>
      <c r="K133" s="451"/>
      <c r="L133" s="451"/>
    </row>
    <row r="134" spans="1:12">
      <c r="A134" s="451"/>
      <c r="B134" s="451"/>
      <c r="C134" s="451"/>
      <c r="D134" s="451"/>
      <c r="E134" s="451"/>
      <c r="F134" s="451"/>
      <c r="G134" s="451"/>
      <c r="H134" s="451"/>
      <c r="I134" s="451"/>
      <c r="J134" s="451"/>
      <c r="K134" s="451"/>
      <c r="L134" s="451"/>
    </row>
    <row r="135" spans="1:12">
      <c r="A135" s="451"/>
      <c r="B135" s="451"/>
      <c r="C135" s="451"/>
      <c r="D135" s="451"/>
      <c r="E135" s="451"/>
      <c r="F135" s="451"/>
      <c r="G135" s="451"/>
      <c r="H135" s="451"/>
      <c r="I135" s="451"/>
      <c r="J135" s="451"/>
      <c r="K135" s="451"/>
      <c r="L135" s="451"/>
    </row>
    <row r="136" spans="1:12">
      <c r="A136" s="451"/>
      <c r="B136" s="451"/>
      <c r="C136" s="451"/>
      <c r="D136" s="451"/>
      <c r="E136" s="451"/>
      <c r="F136" s="451"/>
      <c r="G136" s="451"/>
      <c r="H136" s="451"/>
      <c r="I136" s="451"/>
      <c r="J136" s="451"/>
      <c r="K136" s="451"/>
      <c r="L136" s="451"/>
    </row>
    <row r="137" spans="1:12">
      <c r="A137" s="451"/>
      <c r="B137" s="451"/>
      <c r="C137" s="451"/>
      <c r="D137" s="451"/>
      <c r="E137" s="451"/>
      <c r="F137" s="451"/>
      <c r="G137" s="451"/>
      <c r="H137" s="451"/>
      <c r="I137" s="451"/>
      <c r="J137" s="451"/>
      <c r="K137" s="451"/>
      <c r="L137" s="451"/>
    </row>
    <row r="138" spans="1:12">
      <c r="A138" s="451"/>
      <c r="B138" s="451"/>
      <c r="C138" s="451"/>
      <c r="D138" s="451"/>
      <c r="E138" s="451"/>
      <c r="F138" s="451"/>
      <c r="G138" s="451"/>
      <c r="H138" s="451"/>
      <c r="I138" s="451"/>
      <c r="J138" s="451"/>
      <c r="K138" s="451"/>
      <c r="L138" s="451"/>
    </row>
    <row r="139" spans="1:12">
      <c r="A139" s="451"/>
      <c r="B139" s="451"/>
      <c r="C139" s="451"/>
      <c r="D139" s="451"/>
      <c r="E139" s="451"/>
      <c r="F139" s="451"/>
      <c r="G139" s="451"/>
      <c r="H139" s="451"/>
      <c r="I139" s="451"/>
      <c r="J139" s="451"/>
      <c r="K139" s="451"/>
      <c r="L139" s="451"/>
    </row>
    <row r="140" spans="1:12">
      <c r="A140" s="451"/>
      <c r="B140" s="451"/>
      <c r="C140" s="451"/>
      <c r="D140" s="451"/>
      <c r="E140" s="451"/>
      <c r="F140" s="451"/>
      <c r="G140" s="451"/>
      <c r="H140" s="451"/>
      <c r="I140" s="451"/>
      <c r="J140" s="451"/>
      <c r="K140" s="451"/>
      <c r="L140" s="451"/>
    </row>
    <row r="141" spans="1:12">
      <c r="A141" s="451"/>
      <c r="B141" s="451"/>
      <c r="C141" s="451"/>
      <c r="D141" s="451"/>
      <c r="E141" s="451"/>
      <c r="F141" s="451"/>
      <c r="G141" s="451"/>
      <c r="H141" s="451"/>
      <c r="I141" s="451"/>
      <c r="J141" s="451"/>
      <c r="K141" s="451"/>
      <c r="L141" s="451"/>
    </row>
    <row r="142" spans="1:12">
      <c r="A142" s="451"/>
      <c r="B142" s="451"/>
      <c r="C142" s="451"/>
      <c r="D142" s="451"/>
      <c r="E142" s="451"/>
      <c r="F142" s="451"/>
      <c r="G142" s="451"/>
      <c r="H142" s="451"/>
      <c r="I142" s="451"/>
      <c r="J142" s="451"/>
      <c r="K142" s="451"/>
      <c r="L142" s="451"/>
    </row>
    <row r="143" spans="1:12">
      <c r="A143" s="451"/>
      <c r="B143" s="451"/>
      <c r="C143" s="451"/>
      <c r="D143" s="451"/>
      <c r="E143" s="451"/>
      <c r="F143" s="451"/>
      <c r="G143" s="451"/>
      <c r="H143" s="451"/>
      <c r="I143" s="451"/>
      <c r="J143" s="451"/>
      <c r="K143" s="451"/>
      <c r="L143" s="451"/>
    </row>
    <row r="144" spans="1:12">
      <c r="A144" s="451"/>
      <c r="B144" s="451"/>
      <c r="C144" s="451"/>
      <c r="D144" s="451"/>
      <c r="E144" s="451"/>
      <c r="F144" s="451"/>
      <c r="G144" s="451"/>
      <c r="H144" s="451"/>
      <c r="I144" s="451"/>
      <c r="J144" s="451"/>
      <c r="K144" s="451"/>
      <c r="L144" s="451"/>
    </row>
    <row r="145" spans="1:12">
      <c r="A145" s="451"/>
      <c r="B145" s="451"/>
      <c r="C145" s="451"/>
      <c r="D145" s="451"/>
      <c r="E145" s="451"/>
      <c r="F145" s="451"/>
      <c r="G145" s="451"/>
      <c r="H145" s="451"/>
      <c r="I145" s="451"/>
      <c r="J145" s="451"/>
      <c r="K145" s="451"/>
      <c r="L145" s="451"/>
    </row>
    <row r="146" spans="1:12">
      <c r="A146" s="451"/>
      <c r="B146" s="451"/>
      <c r="C146" s="451"/>
      <c r="D146" s="451"/>
      <c r="E146" s="451"/>
      <c r="F146" s="451"/>
      <c r="G146" s="451"/>
      <c r="H146" s="451"/>
      <c r="I146" s="451"/>
      <c r="J146" s="451"/>
      <c r="K146" s="451"/>
      <c r="L146" s="451"/>
    </row>
    <row r="147" spans="1:12">
      <c r="A147" s="451"/>
      <c r="B147" s="451"/>
      <c r="C147" s="451"/>
      <c r="D147" s="451"/>
      <c r="E147" s="451"/>
      <c r="F147" s="451"/>
      <c r="G147" s="451"/>
      <c r="H147" s="451"/>
      <c r="I147" s="451"/>
      <c r="J147" s="451"/>
      <c r="K147" s="451"/>
      <c r="L147" s="451"/>
    </row>
    <row r="148" spans="1:12">
      <c r="A148" s="451"/>
      <c r="B148" s="451"/>
      <c r="C148" s="451"/>
      <c r="D148" s="451"/>
      <c r="E148" s="451"/>
      <c r="F148" s="451"/>
      <c r="G148" s="451"/>
      <c r="H148" s="451"/>
      <c r="I148" s="451"/>
      <c r="J148" s="451"/>
      <c r="K148" s="451"/>
      <c r="L148" s="451"/>
    </row>
    <row r="149" spans="1:12">
      <c r="A149" s="451"/>
      <c r="B149" s="451"/>
      <c r="C149" s="451"/>
      <c r="D149" s="451"/>
      <c r="E149" s="451"/>
      <c r="F149" s="451"/>
      <c r="G149" s="451"/>
      <c r="H149" s="451"/>
      <c r="I149" s="451"/>
      <c r="J149" s="451"/>
      <c r="K149" s="451"/>
      <c r="L149" s="451"/>
    </row>
    <row r="150" spans="1:12">
      <c r="A150" s="451"/>
      <c r="B150" s="451"/>
      <c r="C150" s="451"/>
      <c r="D150" s="451"/>
      <c r="E150" s="451"/>
      <c r="F150" s="451"/>
      <c r="G150" s="451"/>
      <c r="H150" s="451"/>
      <c r="I150" s="451"/>
      <c r="J150" s="451"/>
      <c r="K150" s="451"/>
      <c r="L150" s="451"/>
    </row>
    <row r="151" spans="1:12">
      <c r="A151" s="451"/>
      <c r="B151" s="451"/>
      <c r="C151" s="451"/>
      <c r="D151" s="451"/>
      <c r="E151" s="451"/>
      <c r="F151" s="451"/>
      <c r="G151" s="451"/>
      <c r="H151" s="451"/>
      <c r="I151" s="451"/>
      <c r="J151" s="451"/>
      <c r="K151" s="451"/>
      <c r="L151" s="451"/>
    </row>
    <row r="152" spans="1:12">
      <c r="A152" s="451"/>
      <c r="B152" s="451"/>
      <c r="C152" s="451"/>
      <c r="D152" s="451"/>
      <c r="E152" s="451"/>
      <c r="F152" s="451"/>
      <c r="G152" s="451"/>
      <c r="H152" s="451"/>
      <c r="I152" s="451"/>
      <c r="J152" s="451"/>
      <c r="K152" s="451"/>
      <c r="L152" s="451"/>
    </row>
    <row r="153" spans="1:12">
      <c r="A153" s="451"/>
      <c r="B153" s="451"/>
      <c r="C153" s="451"/>
      <c r="D153" s="451"/>
      <c r="E153" s="451"/>
      <c r="F153" s="451"/>
      <c r="G153" s="451"/>
      <c r="H153" s="451"/>
      <c r="I153" s="451"/>
      <c r="J153" s="451"/>
      <c r="K153" s="451"/>
      <c r="L153" s="451"/>
    </row>
    <row r="154" spans="1:12">
      <c r="A154" s="451"/>
      <c r="B154" s="451"/>
      <c r="C154" s="451"/>
      <c r="D154" s="451"/>
      <c r="E154" s="451"/>
      <c r="F154" s="451"/>
      <c r="G154" s="451"/>
      <c r="H154" s="451"/>
      <c r="I154" s="451"/>
      <c r="J154" s="451"/>
      <c r="K154" s="451"/>
      <c r="L154" s="451"/>
    </row>
    <row r="155" spans="1:12">
      <c r="A155" s="451"/>
      <c r="B155" s="451"/>
      <c r="C155" s="451"/>
      <c r="D155" s="451"/>
      <c r="E155" s="451"/>
      <c r="F155" s="451"/>
      <c r="G155" s="451"/>
      <c r="H155" s="451"/>
      <c r="I155" s="451"/>
      <c r="J155" s="451"/>
      <c r="K155" s="451"/>
      <c r="L155" s="451"/>
    </row>
    <row r="156" spans="1:12">
      <c r="A156" s="451"/>
      <c r="B156" s="451"/>
      <c r="C156" s="451"/>
      <c r="D156" s="451"/>
      <c r="E156" s="451"/>
      <c r="F156" s="451"/>
      <c r="G156" s="451"/>
      <c r="H156" s="451"/>
      <c r="I156" s="451"/>
      <c r="J156" s="451"/>
      <c r="K156" s="451"/>
      <c r="L156" s="451"/>
    </row>
    <row r="157" spans="1:12">
      <c r="A157" s="451"/>
      <c r="B157" s="451"/>
      <c r="C157" s="451"/>
      <c r="D157" s="451"/>
      <c r="E157" s="451"/>
      <c r="F157" s="451"/>
      <c r="G157" s="451"/>
      <c r="H157" s="451"/>
      <c r="I157" s="451"/>
      <c r="J157" s="451"/>
      <c r="K157" s="451"/>
      <c r="L157" s="451"/>
    </row>
  </sheetData>
  <mergeCells count="4">
    <mergeCell ref="A1:L1"/>
    <mergeCell ref="A3:L3"/>
    <mergeCell ref="A5:L5"/>
    <mergeCell ref="A6:L6"/>
  </mergeCells>
  <phoneticPr fontId="10" type="noConversion"/>
  <printOptions horizontalCentered="1"/>
  <pageMargins left="0.25" right="0.25" top="0.75" bottom="0.5" header="0" footer="0.25"/>
  <pageSetup scale="72" fitToWidth="0" fitToHeight="0" orientation="portrait" horizontalDpi="300" verticalDpi="300" r:id="rId1"/>
  <headerFooter scaleWithDoc="0" alignWithMargins="0">
    <oddFooter xml:space="preserve">&amp;C&amp;"Times New Roman,Regular"&amp;10See accompanying summary of significant forecast assumptions. </oddFooter>
  </headerFooter>
  <rowBreaks count="1" manualBreakCount="1">
    <brk id="29"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dimension ref="A1:I9"/>
  <sheetViews>
    <sheetView zoomScaleNormal="100" workbookViewId="0">
      <selection activeCell="D26" sqref="D26"/>
    </sheetView>
  </sheetViews>
  <sheetFormatPr defaultColWidth="8" defaultRowHeight="15.75"/>
  <cols>
    <col min="1" max="1" width="5.88671875" style="446" customWidth="1"/>
    <col min="2" max="3" width="7.88671875" style="446" customWidth="1"/>
    <col min="4" max="4" width="11.109375" style="446" customWidth="1"/>
    <col min="5" max="5" width="11.5546875" style="446" customWidth="1"/>
    <col min="6" max="6" width="10.21875" style="446" customWidth="1"/>
    <col min="7" max="7" width="11.109375" style="446" customWidth="1"/>
    <col min="8" max="8" width="9.109375" style="446" customWidth="1"/>
    <col min="9" max="9" width="8.88671875" style="446" customWidth="1"/>
    <col min="10" max="16384" width="8" style="446"/>
  </cols>
  <sheetData>
    <row r="1" spans="1:9" ht="16.5" customHeight="1">
      <c r="A1" s="845" t="str">
        <f>+'Fly Sheet'!A15:H15</f>
        <v>Consolidated Disposal Services, Inc.</v>
      </c>
      <c r="B1" s="846"/>
      <c r="C1" s="846"/>
      <c r="D1" s="846"/>
      <c r="E1" s="846"/>
      <c r="F1" s="846"/>
      <c r="G1" s="846"/>
      <c r="H1" s="846"/>
      <c r="I1" s="846"/>
    </row>
    <row r="2" spans="1:9" ht="13.5" customHeight="1">
      <c r="A2" s="846"/>
      <c r="B2" s="846"/>
      <c r="C2" s="846"/>
      <c r="D2" s="846"/>
      <c r="E2" s="846"/>
      <c r="F2" s="846"/>
      <c r="G2" s="846"/>
      <c r="H2" s="846"/>
      <c r="I2" s="846"/>
    </row>
    <row r="3" spans="1:9" ht="16.5">
      <c r="A3" s="846" t="s">
        <v>100</v>
      </c>
      <c r="B3" s="846"/>
      <c r="C3" s="846"/>
      <c r="D3" s="846"/>
      <c r="E3" s="846"/>
      <c r="F3" s="846"/>
      <c r="G3" s="846"/>
      <c r="H3" s="846"/>
      <c r="I3" s="846"/>
    </row>
    <row r="4" spans="1:9" ht="15.75" customHeight="1">
      <c r="A4" s="464"/>
      <c r="B4" s="464"/>
      <c r="C4" s="464"/>
      <c r="D4" s="464"/>
      <c r="E4" s="464"/>
      <c r="F4" s="464"/>
      <c r="G4" s="464"/>
      <c r="H4" s="464"/>
      <c r="I4" s="464"/>
    </row>
    <row r="5" spans="1:9" ht="15.75" customHeight="1">
      <c r="A5" s="847" t="str">
        <f>'Fly Sheet'!$A$20</f>
        <v>For the Twelve Months Ended December 31, 2021 Historical and March 31, 2024 Forecasted</v>
      </c>
      <c r="B5" s="848"/>
      <c r="C5" s="848"/>
      <c r="D5" s="848"/>
      <c r="E5" s="848"/>
      <c r="F5" s="848"/>
      <c r="G5" s="848"/>
      <c r="H5" s="848"/>
      <c r="I5" s="848"/>
    </row>
    <row r="6" spans="1:9" ht="15.75" customHeight="1">
      <c r="A6" s="847"/>
      <c r="B6" s="848"/>
      <c r="C6" s="848"/>
      <c r="D6" s="848"/>
      <c r="E6" s="848"/>
      <c r="F6" s="848"/>
      <c r="G6" s="848"/>
      <c r="H6" s="848"/>
      <c r="I6" s="848"/>
    </row>
    <row r="7" spans="1:9" ht="32.450000000000003" customHeight="1">
      <c r="A7" s="446" t="s">
        <v>55</v>
      </c>
      <c r="B7" s="842" t="s">
        <v>979</v>
      </c>
      <c r="C7" s="842"/>
      <c r="D7" s="842"/>
      <c r="E7" s="842"/>
      <c r="F7" s="842"/>
      <c r="G7" s="842"/>
    </row>
    <row r="8" spans="1:9">
      <c r="A8" s="446" t="s">
        <v>56</v>
      </c>
      <c r="B8" s="850" t="s">
        <v>1193</v>
      </c>
      <c r="C8" s="850"/>
      <c r="D8" s="850"/>
      <c r="E8" s="850"/>
      <c r="F8" s="850"/>
      <c r="G8" s="850"/>
      <c r="H8" s="466"/>
      <c r="I8" s="466"/>
    </row>
    <row r="9" spans="1:9">
      <c r="B9" s="842"/>
      <c r="C9" s="842"/>
      <c r="D9" s="842"/>
      <c r="E9" s="842"/>
      <c r="F9" s="842"/>
      <c r="G9" s="842"/>
      <c r="H9" s="466"/>
      <c r="I9" s="466"/>
    </row>
  </sheetData>
  <mergeCells count="8">
    <mergeCell ref="B7:G7"/>
    <mergeCell ref="B9:G9"/>
    <mergeCell ref="A1:I1"/>
    <mergeCell ref="A3:I3"/>
    <mergeCell ref="A5:I5"/>
    <mergeCell ref="A6:I6"/>
    <mergeCell ref="A2:I2"/>
    <mergeCell ref="B8:G8"/>
  </mergeCells>
  <phoneticPr fontId="10" type="noConversion"/>
  <printOptions horizontalCentered="1"/>
  <pageMargins left="0.9" right="0.7" top="0.75" bottom="0.5" header="0" footer="0.25"/>
  <pageSetup scale="79" fitToHeight="3" orientation="portrait" horizontalDpi="300" verticalDpi="300" r:id="rId1"/>
  <headerFooter alignWithMargins="0">
    <oddFooter xml:space="preserve">&amp;C&amp;"Times New Roman,Regular"&amp;10See accompanying summary of significant forecast assumptions.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938DE88B4A7304CAF98FF268C202CE6" ma:contentTypeVersion="24" ma:contentTypeDescription="" ma:contentTypeScope="" ma:versionID="cd095b3495c5eb8ecb11b9838077fb5d">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2023-02-14T08:00:00+00:00</OpenedDate>
    <SignificantOrder xmlns="dc463f71-b30c-4ab2-9473-d307f9d35888">false</SignificantOrder>
    <Date1 xmlns="dc463f71-b30c-4ab2-9473-d307f9d35888">2023-02-14T08:00:00+00:00</Date1>
    <IsDocumentOrder xmlns="dc463f71-b30c-4ab2-9473-d307f9d35888">false</IsDocumentOrder>
    <IsHighlyConfidential xmlns="dc463f71-b30c-4ab2-9473-d307f9d35888">false</IsHighlyConfidential>
    <CaseCompanyNames xmlns="dc463f71-b30c-4ab2-9473-d307f9d35888">Consolidated Disposal Services, Inc. </CaseCompanyNames>
    <Nickname xmlns="http://schemas.microsoft.com/sharepoint/v3" xsi:nil="true"/>
    <DocketNumber xmlns="dc463f71-b30c-4ab2-9473-d307f9d35888">230097</DocketNumber>
    <DelegatedOrder xmlns="dc463f71-b30c-4ab2-9473-d307f9d35888">false</DelegatedOrder>
  </documentManagement>
</p:properties>
</file>

<file path=customXml/itemProps1.xml><?xml version="1.0" encoding="utf-8"?>
<ds:datastoreItem xmlns:ds="http://schemas.openxmlformats.org/officeDocument/2006/customXml" ds:itemID="{DDD24B6B-2798-4D6C-9E42-1F12AEF58974}"/>
</file>

<file path=customXml/itemProps2.xml><?xml version="1.0" encoding="utf-8"?>
<ds:datastoreItem xmlns:ds="http://schemas.openxmlformats.org/officeDocument/2006/customXml" ds:itemID="{C16AA15D-AE43-45AD-A033-DA7DBF088B53}"/>
</file>

<file path=customXml/itemProps3.xml><?xml version="1.0" encoding="utf-8"?>
<ds:datastoreItem xmlns:ds="http://schemas.openxmlformats.org/officeDocument/2006/customXml" ds:itemID="{DC1E5EEA-D3EA-4131-BC7B-F7A57C09ABD7}"/>
</file>

<file path=customXml/itemProps4.xml><?xml version="1.0" encoding="utf-8"?>
<ds:datastoreItem xmlns:ds="http://schemas.openxmlformats.org/officeDocument/2006/customXml" ds:itemID="{F05FAC40-2308-4C74-8C86-F25338D2DF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49</vt:i4>
      </vt:variant>
    </vt:vector>
  </HeadingPairs>
  <TitlesOfParts>
    <vt:vector size="77" baseType="lpstr">
      <vt:lpstr>Fly Sheet</vt:lpstr>
      <vt:lpstr>LG Nonpublic 2018 V5.0c</vt:lpstr>
      <vt:lpstr>Operations</vt:lpstr>
      <vt:lpstr>Assumptions</vt:lpstr>
      <vt:lpstr>Sch 1 - Restated Exp</vt:lpstr>
      <vt:lpstr>Sch 1, pg 2 - Restated</vt:lpstr>
      <vt:lpstr>Sch 2 - Forecast Exp</vt:lpstr>
      <vt:lpstr>Sch 2, pg 2 - Forecast</vt:lpstr>
      <vt:lpstr>Sch 3 - Reclass Exp</vt:lpstr>
      <vt:lpstr>Sch 3, pg 2 - Reclass</vt:lpstr>
      <vt:lpstr>Sch 4 - 12 Months</vt:lpstr>
      <vt:lpstr>Work Papers</vt:lpstr>
      <vt:lpstr>WP-1 - Summary Depr</vt:lpstr>
      <vt:lpstr>WP-1, pg 2 - Depr</vt:lpstr>
      <vt:lpstr>WP-2 - Labor Analysis</vt:lpstr>
      <vt:lpstr>WP-2, pg 2 - Labor Increase</vt:lpstr>
      <vt:lpstr>WP-2, pg 3 - Benefits Analysis</vt:lpstr>
      <vt:lpstr>WP-4 - Dues &amp; Sub</vt:lpstr>
      <vt:lpstr>WP-5 - Capital Structure</vt:lpstr>
      <vt:lpstr>WP-5, pg 2 - Capital</vt:lpstr>
      <vt:lpstr>WP-6 - Affiliated </vt:lpstr>
      <vt:lpstr>WP-7 - Fuel</vt:lpstr>
      <vt:lpstr>WP-8 - Bad Debts</vt:lpstr>
      <vt:lpstr>WP-9 - Disposal</vt:lpstr>
      <vt:lpstr>WP-10 - Rate Case Cost</vt:lpstr>
      <vt:lpstr>WP -11 Non-Regulated</vt:lpstr>
      <vt:lpstr>WP-11, pg 2 Non-Regulated</vt:lpstr>
      <vt:lpstr>IS-PBC</vt:lpstr>
      <vt:lpstr>'LG Nonpublic 2018 V5.0c'!Debt_Rate</vt:lpstr>
      <vt:lpstr>'LG Nonpublic 2018 V5.0c'!debtP</vt:lpstr>
      <vt:lpstr>'LG Nonpublic 2018 V5.0c'!Equity_percent</vt:lpstr>
      <vt:lpstr>'LG Nonpublic 2018 V5.0c'!equityP</vt:lpstr>
      <vt:lpstr>'LG Nonpublic 2018 V5.0c'!expenses</vt:lpstr>
      <vt:lpstr>income_statement</vt:lpstr>
      <vt:lpstr>'LG Nonpublic 2018 V5.0c'!Investment</vt:lpstr>
      <vt:lpstr>PAGE_1</vt:lpstr>
      <vt:lpstr>'LG Nonpublic 2018 V5.0c'!Pfd_weighted</vt:lpstr>
      <vt:lpstr>Assumptions!Print_Area</vt:lpstr>
      <vt:lpstr>'Fly Sheet'!Print_Area</vt:lpstr>
      <vt:lpstr>'IS-PBC'!Print_Area</vt:lpstr>
      <vt:lpstr>'LG Nonpublic 2018 V5.0c'!Print_Area</vt:lpstr>
      <vt:lpstr>Operations!Print_Area</vt:lpstr>
      <vt:lpstr>'Sch 1 - Restated Exp'!Print_Area</vt:lpstr>
      <vt:lpstr>'Sch 1, pg 2 - Restated'!Print_Area</vt:lpstr>
      <vt:lpstr>'Sch 2 - Forecast Exp'!Print_Area</vt:lpstr>
      <vt:lpstr>'Sch 2, pg 2 - Forecast'!Print_Area</vt:lpstr>
      <vt:lpstr>'Sch 3 - Reclass Exp'!Print_Area</vt:lpstr>
      <vt:lpstr>'Sch 3, pg 2 - Reclass'!Print_Area</vt:lpstr>
      <vt:lpstr>'Sch 4 - 12 Months'!Print_Area</vt:lpstr>
      <vt:lpstr>'Work Papers'!Print_Area</vt:lpstr>
      <vt:lpstr>'WP-1 - Summary Depr'!Print_Area</vt:lpstr>
      <vt:lpstr>'WP-1, pg 2 - Depr'!Print_Area</vt:lpstr>
      <vt:lpstr>'WP-10 - Rate Case Cost'!Print_Area</vt:lpstr>
      <vt:lpstr>'WP-2 - Labor Analysis'!Print_Area</vt:lpstr>
      <vt:lpstr>'WP-2, pg 2 - Labor Increase'!Print_Area</vt:lpstr>
      <vt:lpstr>'WP-2, pg 3 - Benefits Analysis'!Print_Area</vt:lpstr>
      <vt:lpstr>'WP-4 - Dues &amp; Sub'!Print_Area</vt:lpstr>
      <vt:lpstr>'WP-5 - Capital Structure'!Print_Area</vt:lpstr>
      <vt:lpstr>'WP-5, pg 2 - Capital'!Print_Area</vt:lpstr>
      <vt:lpstr>'WP-6 - Affiliated '!Print_Area</vt:lpstr>
      <vt:lpstr>'WP-7 - Fuel'!Print_Area</vt:lpstr>
      <vt:lpstr>'WP-8 - Bad Debts'!Print_Area</vt:lpstr>
      <vt:lpstr>'WP-9 - Disposal'!Print_Area</vt:lpstr>
      <vt:lpstr>'Sch 1, pg 2 - Restated'!Print_Titles</vt:lpstr>
      <vt:lpstr>'Sch 2, pg 2 - Forecast'!Print_Titles</vt:lpstr>
      <vt:lpstr>'Sch 3, pg 2 - Reclass'!Print_Titles</vt:lpstr>
      <vt:lpstr>'Sch 4 - 12 Months'!Print_Titles</vt:lpstr>
      <vt:lpstr>'WP-1, pg 2 - Depr'!Print_Titles</vt:lpstr>
      <vt:lpstr>'WP-2, pg 2 - Labor Increase'!Print_Titles</vt:lpstr>
      <vt:lpstr>'LG Nonpublic 2018 V5.0c'!regDebt_weighted</vt:lpstr>
      <vt:lpstr>'LG Nonpublic 2018 V5.0c'!Revenue</vt:lpstr>
      <vt:lpstr>'LG Nonpublic 2018 V5.0c'!slope</vt:lpstr>
      <vt:lpstr>'LG Nonpublic 2018 V5.0c'!taxrate</vt:lpstr>
      <vt:lpstr>'LG Nonpublic 2018 V5.0c'!y_inter1</vt:lpstr>
      <vt:lpstr>'LG Nonpublic 2018 V5.0c'!y_inter2</vt:lpstr>
      <vt:lpstr>'LG Nonpublic 2018 V5.0c'!y_inter3</vt:lpstr>
      <vt:lpstr>'LG Nonpublic 2018 V5.0c'!y_inter4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gbooth</dc:creator>
  <cp:lastModifiedBy>Natalie Wittrock</cp:lastModifiedBy>
  <cp:lastPrinted>2023-02-13T18:07:11Z</cp:lastPrinted>
  <dcterms:created xsi:type="dcterms:W3CDTF">2002-10-01T21:01:48Z</dcterms:created>
  <dcterms:modified xsi:type="dcterms:W3CDTF">2023-02-13T18:08:03Z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VERS">
    <vt:lpwstr>1.0</vt:lpwstr>
  </property>
  <property fmtid="{D5CDD505-2E9C-101B-9397-08002B2CF9AE}" pid="3" name="PPC_Template_Client_Name">
    <vt:lpwstr>Waste Control Equipment, Inc.</vt:lpwstr>
  </property>
  <property fmtid="{D5CDD505-2E9C-101B-9397-08002B2CF9AE}" pid="4" name="PPC_Template_Engagement_Date">
    <vt:lpwstr>12/31/2017</vt:lpwstr>
  </property>
  <property fmtid="{D5CDD505-2E9C-101B-9397-08002B2CF9AE}" pid="5" name="ContentTypeId">
    <vt:lpwstr>0x0101006E56B4D1795A2E4DB2F0B01679ED314A002938DE88B4A7304CAF98FF268C202CE6</vt:lpwstr>
  </property>
  <property fmtid="{D5CDD505-2E9C-101B-9397-08002B2CF9AE}" pid="6" name="IsEFSEC">
    <vt:bool>false</vt:bool>
  </property>
  <property fmtid="{D5CDD505-2E9C-101B-9397-08002B2CF9AE}" pid="7" name="_docset_NoMedatataSyncRequired">
    <vt:lpwstr>False</vt:lpwstr>
  </property>
</Properties>
</file>