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R:\Regulatory_Affairs\PGA - WASHINGTON\2022\1_September Filing\22-07_PGA\"/>
    </mc:Choice>
  </mc:AlternateContent>
  <xr:revisionPtr revIDLastSave="0" documentId="13_ncr:1_{703ECC77-39C0-4E1A-A17D-C1CEBA5160D6}" xr6:coauthVersionLast="47" xr6:coauthVersionMax="47" xr10:uidLastSave="{00000000-0000-0000-0000-000000000000}"/>
  <bookViews>
    <workbookView xWindow="-110" yWindow="-110" windowWidth="19420" windowHeight="10420" activeTab="2" xr2:uid="{09C682BB-5CDF-4650-9C7A-1D1BBEEF311A}"/>
  </bookViews>
  <sheets>
    <sheet name="Temp Increments" sheetId="1" r:id="rId1"/>
    <sheet name="Calc of Increments" sheetId="2" r:id="rId2"/>
    <sheet name="Effects of Avg Bill" sheetId="3" r:id="rId3"/>
    <sheet name="Summary of Def. Accounts" sheetId="4" r:id="rId4"/>
    <sheet name="191420" sheetId="5" r:id="rId5"/>
    <sheet name="191421" sheetId="6" r:id="rId6"/>
    <sheet name="191430" sheetId="7" r:id="rId7"/>
    <sheet name="191431" sheetId="10" r:id="rId8"/>
    <sheet name="254302" sheetId="8" r:id="rId9"/>
    <sheet name="Total Commodity Cost" sheetId="9" r:id="rId10"/>
    <sheet name="WACOG Calc" sheetId="11" r:id="rId11"/>
    <sheet name="Demand Charges" sheetId="12" r:id="rId12"/>
    <sheet name="Derivation of Demand" sheetId="13" r:id="rId13"/>
    <sheet name="Calc of Winter WACOG" sheetId="14" r:id="rId14"/>
    <sheet name="Effects on Revenue" sheetId="15" r:id="rId15"/>
  </sheets>
  <externalReferences>
    <externalReference r:id="rId16"/>
    <externalReference r:id="rId17"/>
    <externalReference r:id="rId18"/>
  </externalReferences>
  <definedNames>
    <definedName name="revsens">[1]Inputs!$B$30</definedName>
    <definedName name="wa_revsens">'[2]General Inputs'!$E$10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15" l="1"/>
  <c r="B29" i="15"/>
  <c r="F18" i="15"/>
  <c r="F22" i="15" s="1"/>
  <c r="F14" i="15"/>
  <c r="F12" i="15"/>
  <c r="H10" i="15"/>
  <c r="H12" i="15" s="1"/>
  <c r="F10" i="15"/>
  <c r="A8" i="15"/>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F25" i="15" l="1"/>
  <c r="F31" i="15" l="1"/>
  <c r="E35" i="14" l="1"/>
  <c r="D35" i="14"/>
  <c r="D37" i="14" s="1"/>
  <c r="C24" i="14"/>
  <c r="C23" i="14"/>
  <c r="C22" i="14"/>
  <c r="C21" i="14"/>
  <c r="C20" i="14"/>
  <c r="C19" i="14"/>
  <c r="C18" i="14"/>
  <c r="C17" i="14"/>
  <c r="C16" i="14"/>
  <c r="C15" i="14"/>
  <c r="C14" i="14"/>
  <c r="C13" i="14"/>
  <c r="A10" i="14"/>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2" i="14"/>
  <c r="A1" i="14"/>
  <c r="D33" i="13"/>
  <c r="C33" i="13"/>
  <c r="F26" i="13"/>
  <c r="D26" i="13"/>
  <c r="F25" i="13"/>
  <c r="D25" i="13"/>
  <c r="D41" i="13" s="1"/>
  <c r="F41" i="13" s="1"/>
  <c r="D21" i="13" s="1"/>
  <c r="F21" i="13" s="1"/>
  <c r="F24" i="13"/>
  <c r="D24" i="13"/>
  <c r="D40" i="13" s="1"/>
  <c r="F40" i="13" s="1"/>
  <c r="D17" i="13"/>
  <c r="D16" i="13"/>
  <c r="D12" i="13"/>
  <c r="A2" i="13"/>
  <c r="A1" i="13"/>
  <c r="Q30" i="12"/>
  <c r="O30" i="12"/>
  <c r="N30" i="12"/>
  <c r="M30" i="12"/>
  <c r="L30" i="12"/>
  <c r="K30" i="12"/>
  <c r="J30" i="12"/>
  <c r="I30" i="12"/>
  <c r="H30" i="12"/>
  <c r="G30" i="12"/>
  <c r="F30" i="12"/>
  <c r="P30" i="12" s="1"/>
  <c r="E30" i="12"/>
  <c r="D30" i="12"/>
  <c r="P28" i="12"/>
  <c r="R26" i="12"/>
  <c r="P26" i="12"/>
  <c r="P24" i="12"/>
  <c r="P22" i="12"/>
  <c r="R22" i="12" s="1"/>
  <c r="P20" i="12"/>
  <c r="R20" i="12" s="1"/>
  <c r="P18" i="12"/>
  <c r="R18" i="12" s="1"/>
  <c r="P16" i="12"/>
  <c r="R16" i="12" s="1"/>
  <c r="P14" i="12"/>
  <c r="R14" i="12" s="1"/>
  <c r="O11" i="12"/>
  <c r="N11" i="12"/>
  <c r="M11" i="12"/>
  <c r="L11" i="12"/>
  <c r="K11" i="12"/>
  <c r="J11" i="12"/>
  <c r="I11" i="12"/>
  <c r="H11" i="12"/>
  <c r="G11" i="12"/>
  <c r="F11" i="12"/>
  <c r="E11" i="12"/>
  <c r="D11" i="12"/>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2" i="12"/>
  <c r="A1" i="12"/>
  <c r="D29" i="14" l="1"/>
  <c r="P11" i="12"/>
  <c r="F33" i="13"/>
  <c r="C34" i="13" s="1"/>
  <c r="D27" i="14"/>
  <c r="D13" i="13"/>
  <c r="D14" i="13" s="1"/>
  <c r="D34" i="13"/>
  <c r="F34" i="13" s="1"/>
  <c r="F42" i="13"/>
  <c r="D20" i="13"/>
  <c r="R30" i="12"/>
  <c r="F43" i="13" l="1"/>
  <c r="F1" i="13" s="1"/>
  <c r="D31" i="14"/>
  <c r="D36" i="14" s="1"/>
  <c r="E36" i="14" s="1"/>
  <c r="D28" i="13"/>
  <c r="D22" i="13" s="1"/>
  <c r="F22" i="13" s="1"/>
  <c r="F20" i="13"/>
  <c r="D37" i="9" l="1"/>
  <c r="D32" i="9"/>
  <c r="D31" i="9"/>
  <c r="O28" i="9"/>
  <c r="N28" i="9"/>
  <c r="M28" i="9"/>
  <c r="L28" i="9"/>
  <c r="K28" i="9"/>
  <c r="J28" i="9"/>
  <c r="I28" i="9"/>
  <c r="H28" i="9"/>
  <c r="G28" i="9"/>
  <c r="F28" i="9"/>
  <c r="E28" i="9"/>
  <c r="D28" i="9"/>
  <c r="D27" i="9"/>
  <c r="D20" i="9"/>
  <c r="D16" i="9"/>
  <c r="D14" i="9"/>
  <c r="E9" i="9"/>
  <c r="F9" i="9" s="1"/>
  <c r="G9" i="9" s="1"/>
  <c r="H9" i="9" s="1"/>
  <c r="I9" i="9" s="1"/>
  <c r="J9" i="9" s="1"/>
  <c r="K9" i="9" s="1"/>
  <c r="L9" i="9" s="1"/>
  <c r="M9" i="9" s="1"/>
  <c r="N9" i="9" s="1"/>
  <c r="O9" i="9"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2" i="9"/>
  <c r="A1" i="9"/>
  <c r="D29" i="9" l="1"/>
  <c r="P28" i="9"/>
  <c r="D33" i="9"/>
  <c r="D35" i="9"/>
  <c r="D39" i="9" l="1"/>
  <c r="D11" i="9" l="1"/>
  <c r="D24" i="9" s="1"/>
  <c r="E32" i="9" l="1"/>
  <c r="E16" i="9"/>
  <c r="E37" i="9"/>
  <c r="E20" i="9"/>
  <c r="E14" i="9"/>
  <c r="E27" i="9"/>
  <c r="E31" i="9"/>
  <c r="E33" i="9" l="1"/>
  <c r="E29" i="9"/>
  <c r="F16" i="9"/>
  <c r="F37" i="9"/>
  <c r="F31" i="9"/>
  <c r="F27" i="9"/>
  <c r="F29" i="9" s="1"/>
  <c r="F32" i="9"/>
  <c r="F20" i="9"/>
  <c r="F14" i="9"/>
  <c r="F33" i="9" l="1"/>
  <c r="G37" i="9"/>
  <c r="G31" i="9"/>
  <c r="G14" i="9"/>
  <c r="G20" i="9"/>
  <c r="G32" i="9"/>
  <c r="G16" i="9"/>
  <c r="G27" i="9"/>
  <c r="G29" i="9" s="1"/>
  <c r="E35" i="9"/>
  <c r="E39" i="9" l="1"/>
  <c r="F35" i="9"/>
  <c r="F39" i="9" s="1"/>
  <c r="H31" i="9"/>
  <c r="H14" i="9"/>
  <c r="H37" i="9"/>
  <c r="H20" i="9"/>
  <c r="H27" i="9"/>
  <c r="H29" i="9" s="1"/>
  <c r="H16" i="9"/>
  <c r="H32" i="9"/>
  <c r="G33" i="9"/>
  <c r="I31" i="9" l="1"/>
  <c r="I20" i="9"/>
  <c r="I14" i="9"/>
  <c r="I27" i="9"/>
  <c r="I29" i="9" s="1"/>
  <c r="I16" i="9"/>
  <c r="I37" i="9"/>
  <c r="I32" i="9"/>
  <c r="G35" i="9"/>
  <c r="H33" i="9"/>
  <c r="H35" i="9" s="1"/>
  <c r="H39" i="9" s="1"/>
  <c r="I33" i="9" l="1"/>
  <c r="J20" i="9"/>
  <c r="J14" i="9"/>
  <c r="J27" i="9"/>
  <c r="J32" i="9"/>
  <c r="J31" i="9"/>
  <c r="J16" i="9"/>
  <c r="J37" i="9"/>
  <c r="I35" i="9"/>
  <c r="I39" i="9" s="1"/>
  <c r="G39" i="9"/>
  <c r="J33" i="9" l="1"/>
  <c r="J29" i="9"/>
  <c r="K27" i="9"/>
  <c r="K29" i="9" s="1"/>
  <c r="K32" i="9"/>
  <c r="K16" i="9"/>
  <c r="K31" i="9"/>
  <c r="K14" i="9"/>
  <c r="K20" i="9"/>
  <c r="K37" i="9"/>
  <c r="K33" i="9" l="1"/>
  <c r="K35" i="9" s="1"/>
  <c r="K39" i="9" s="1"/>
  <c r="L14" i="9"/>
  <c r="L32" i="9"/>
  <c r="L16" i="9"/>
  <c r="L37" i="9"/>
  <c r="L27" i="9"/>
  <c r="L29" i="9" s="1"/>
  <c r="L31" i="9"/>
  <c r="L20" i="9"/>
  <c r="J35" i="9"/>
  <c r="J39" i="9" l="1"/>
  <c r="M32" i="9"/>
  <c r="M16" i="9"/>
  <c r="M37" i="9"/>
  <c r="M14" i="9"/>
  <c r="M27" i="9"/>
  <c r="M29" i="9" s="1"/>
  <c r="M20" i="9"/>
  <c r="M31" i="9"/>
  <c r="L33" i="9"/>
  <c r="L35" i="9" s="1"/>
  <c r="L39" i="9" l="1"/>
  <c r="M33" i="9"/>
  <c r="M35" i="9" s="1"/>
  <c r="M39" i="9" s="1"/>
  <c r="N16" i="9"/>
  <c r="N37" i="9"/>
  <c r="N32" i="9"/>
  <c r="N27" i="9"/>
  <c r="N29" i="9" s="1"/>
  <c r="N31" i="9"/>
  <c r="N20" i="9"/>
  <c r="N14" i="9"/>
  <c r="O37" i="9" l="1"/>
  <c r="P37" i="9" s="1"/>
  <c r="O16" i="9"/>
  <c r="P16" i="9" s="1"/>
  <c r="O31" i="9"/>
  <c r="O20" i="9"/>
  <c r="P20" i="9" s="1"/>
  <c r="O32" i="9"/>
  <c r="P32" i="9" s="1"/>
  <c r="O14" i="9"/>
  <c r="P14" i="9" s="1"/>
  <c r="O27" i="9"/>
  <c r="N33" i="9"/>
  <c r="N35" i="9" s="1"/>
  <c r="N39" i="9" s="1"/>
  <c r="O33" i="9" l="1"/>
  <c r="P33" i="9" s="1"/>
  <c r="P31" i="9"/>
  <c r="O29" i="9"/>
  <c r="P27" i="9"/>
  <c r="O35" i="9" l="1"/>
  <c r="P29" i="9"/>
  <c r="O39" i="9" l="1"/>
  <c r="P39" i="9" s="1"/>
  <c r="P40" i="9" s="1"/>
  <c r="P35" i="9"/>
  <c r="G11" i="9" l="1"/>
  <c r="G24" i="9" s="1"/>
  <c r="M11" i="9"/>
  <c r="M24" i="9" s="1"/>
  <c r="F11" i="9"/>
  <c r="F24" i="9" s="1"/>
  <c r="K11" i="9"/>
  <c r="K24" i="9" s="1"/>
  <c r="J11" i="9"/>
  <c r="J24" i="9" s="1"/>
  <c r="I11" i="9"/>
  <c r="I24" i="9" s="1"/>
  <c r="N11" i="9"/>
  <c r="N24" i="9" s="1"/>
  <c r="H11" i="9"/>
  <c r="H24" i="9" s="1"/>
  <c r="O11" i="9"/>
  <c r="O24" i="9" s="1"/>
  <c r="L11" i="9"/>
  <c r="L24" i="9" s="1"/>
  <c r="E11" i="9"/>
  <c r="E24" i="9" l="1"/>
  <c r="P11" i="9"/>
  <c r="P24" i="9" s="1"/>
  <c r="H94" i="3" l="1"/>
  <c r="F94" i="3"/>
  <c r="D94" i="3"/>
  <c r="H93" i="3"/>
  <c r="F93" i="3"/>
  <c r="D93" i="3"/>
  <c r="H91" i="3"/>
  <c r="D91" i="3"/>
  <c r="H90" i="3"/>
  <c r="D90" i="3"/>
  <c r="H89" i="3"/>
  <c r="D89" i="3"/>
  <c r="H88" i="3"/>
  <c r="D88" i="3"/>
  <c r="H87" i="3"/>
  <c r="D87" i="3"/>
  <c r="H86" i="3"/>
  <c r="G86" i="3"/>
  <c r="F86" i="3"/>
  <c r="D86" i="3"/>
  <c r="H84" i="3"/>
  <c r="D84" i="3"/>
  <c r="H83" i="3"/>
  <c r="D83" i="3"/>
  <c r="H82" i="3"/>
  <c r="D82" i="3"/>
  <c r="H81" i="3"/>
  <c r="D81" i="3"/>
  <c r="H80" i="3"/>
  <c r="D80" i="3"/>
  <c r="H79" i="3"/>
  <c r="G79" i="3"/>
  <c r="F79" i="3"/>
  <c r="D79" i="3"/>
  <c r="H77" i="3"/>
  <c r="D77" i="3"/>
  <c r="H76" i="3"/>
  <c r="D76" i="3"/>
  <c r="H75" i="3"/>
  <c r="D75" i="3"/>
  <c r="H74" i="3"/>
  <c r="D74" i="3"/>
  <c r="H73" i="3"/>
  <c r="D73" i="3"/>
  <c r="H72" i="3"/>
  <c r="F72" i="3"/>
  <c r="D72" i="3"/>
  <c r="H70" i="3"/>
  <c r="D70" i="3"/>
  <c r="H69" i="3"/>
  <c r="D69" i="3"/>
  <c r="H68" i="3"/>
  <c r="D68" i="3"/>
  <c r="H67" i="3"/>
  <c r="D67" i="3"/>
  <c r="H66" i="3"/>
  <c r="D66" i="3"/>
  <c r="H65" i="3"/>
  <c r="F65" i="3"/>
  <c r="D65" i="3"/>
  <c r="H63" i="3"/>
  <c r="D63" i="3"/>
  <c r="H62" i="3"/>
  <c r="D62" i="3"/>
  <c r="H61" i="3"/>
  <c r="D61" i="3"/>
  <c r="H60" i="3"/>
  <c r="D60" i="3"/>
  <c r="H59" i="3"/>
  <c r="D59" i="3"/>
  <c r="H58" i="3"/>
  <c r="G58" i="3"/>
  <c r="F58" i="3"/>
  <c r="D58" i="3"/>
  <c r="H56" i="3"/>
  <c r="D56" i="3"/>
  <c r="H55" i="3"/>
  <c r="D55" i="3"/>
  <c r="H54" i="3"/>
  <c r="D54" i="3"/>
  <c r="H53" i="3"/>
  <c r="D53" i="3"/>
  <c r="H52" i="3"/>
  <c r="D52" i="3"/>
  <c r="H51" i="3"/>
  <c r="G51" i="3"/>
  <c r="F51" i="3"/>
  <c r="D51" i="3"/>
  <c r="H49" i="3"/>
  <c r="D49" i="3"/>
  <c r="H48" i="3"/>
  <c r="D48" i="3"/>
  <c r="H47" i="3"/>
  <c r="D47" i="3"/>
  <c r="H46" i="3"/>
  <c r="D46" i="3"/>
  <c r="H45" i="3"/>
  <c r="D45" i="3"/>
  <c r="H44" i="3"/>
  <c r="F44" i="3"/>
  <c r="D44" i="3"/>
  <c r="H42" i="3"/>
  <c r="D42" i="3"/>
  <c r="H41" i="3"/>
  <c r="D41" i="3"/>
  <c r="H40" i="3"/>
  <c r="D40" i="3"/>
  <c r="H39" i="3"/>
  <c r="D39" i="3"/>
  <c r="H38" i="3"/>
  <c r="D38" i="3"/>
  <c r="H37" i="3"/>
  <c r="F37" i="3"/>
  <c r="D37" i="3"/>
  <c r="H35" i="3"/>
  <c r="D35" i="3"/>
  <c r="H34" i="3"/>
  <c r="F34" i="3"/>
  <c r="D34" i="3"/>
  <c r="H32" i="3"/>
  <c r="D32" i="3"/>
  <c r="H31" i="3"/>
  <c r="F31" i="3"/>
  <c r="D31" i="3"/>
  <c r="H29" i="3"/>
  <c r="D29" i="3"/>
  <c r="H28" i="3"/>
  <c r="G28" i="3"/>
  <c r="F28" i="3"/>
  <c r="D28" i="3"/>
  <c r="H26" i="3"/>
  <c r="D26" i="3"/>
  <c r="H25" i="3"/>
  <c r="G25" i="3"/>
  <c r="F25" i="3"/>
  <c r="D25" i="3"/>
  <c r="H23" i="3"/>
  <c r="D23" i="3"/>
  <c r="H22" i="3"/>
  <c r="F22" i="3"/>
  <c r="I24" i="3" s="1"/>
  <c r="D22" i="3"/>
  <c r="H20" i="3"/>
  <c r="D20" i="3"/>
  <c r="H19" i="3"/>
  <c r="F19" i="3"/>
  <c r="D19" i="3"/>
  <c r="H18" i="3"/>
  <c r="F18" i="3"/>
  <c r="I18" i="3" s="1"/>
  <c r="D18" i="3"/>
  <c r="H17" i="3"/>
  <c r="F17" i="3"/>
  <c r="I17" i="3" s="1"/>
  <c r="D17" i="3"/>
  <c r="H16" i="3"/>
  <c r="F16" i="3"/>
  <c r="D16" i="3"/>
  <c r="H15" i="3"/>
  <c r="F15" i="3"/>
  <c r="I15" i="3" s="1"/>
  <c r="D15" i="3"/>
  <c r="H14" i="3"/>
  <c r="F14" i="3"/>
  <c r="I14" i="3" s="1"/>
  <c r="D14" i="3"/>
  <c r="H13" i="3"/>
  <c r="F13" i="3"/>
  <c r="I13" i="3" s="1"/>
  <c r="D13" i="3"/>
  <c r="I8" i="3"/>
  <c r="A8" i="3"/>
  <c r="A9" i="3" s="1"/>
  <c r="A10" i="3" s="1"/>
  <c r="A11" i="3" s="1"/>
  <c r="A12" i="3" s="1"/>
  <c r="A13" i="3" s="1"/>
  <c r="A14" i="3" s="1"/>
  <c r="A15" i="3" s="1"/>
  <c r="A16" i="3" s="1"/>
  <c r="A17" i="3" s="1"/>
  <c r="A18" i="3" s="1"/>
  <c r="A19" i="3" s="1"/>
  <c r="A20" i="3" s="1"/>
  <c r="A21" i="3" s="1"/>
  <c r="A22" i="3" s="1"/>
  <c r="A3" i="3"/>
  <c r="A2" i="3"/>
  <c r="A1" i="3"/>
  <c r="D80" i="2"/>
  <c r="M80" i="2" s="1"/>
  <c r="D79" i="2"/>
  <c r="M79" i="2" s="1"/>
  <c r="D78" i="2"/>
  <c r="M78" i="2" s="1"/>
  <c r="D77" i="2"/>
  <c r="M77" i="2" s="1"/>
  <c r="D76" i="2"/>
  <c r="M76" i="2" s="1"/>
  <c r="G75" i="2"/>
  <c r="D75" i="2"/>
  <c r="M75" i="2" s="1"/>
  <c r="D74" i="2"/>
  <c r="M74" i="2" s="1"/>
  <c r="D73" i="2"/>
  <c r="M73" i="2" s="1"/>
  <c r="D72" i="2"/>
  <c r="M72" i="2" s="1"/>
  <c r="D71" i="2"/>
  <c r="M71" i="2" s="1"/>
  <c r="D70" i="2"/>
  <c r="M70" i="2" s="1"/>
  <c r="D69" i="2"/>
  <c r="M69" i="2" s="1"/>
  <c r="D68" i="2"/>
  <c r="M68" i="2" s="1"/>
  <c r="D67" i="2"/>
  <c r="M67" i="2" s="1"/>
  <c r="D66" i="2"/>
  <c r="M66" i="2" s="1"/>
  <c r="D65" i="2"/>
  <c r="M65" i="2" s="1"/>
  <c r="D64" i="2"/>
  <c r="M64" i="2" s="1"/>
  <c r="D63" i="2"/>
  <c r="M63" i="2" s="1"/>
  <c r="D62" i="2"/>
  <c r="M62" i="2" s="1"/>
  <c r="D61" i="2"/>
  <c r="M61" i="2" s="1"/>
  <c r="D60" i="2"/>
  <c r="M60" i="2" s="1"/>
  <c r="D59" i="2"/>
  <c r="M59" i="2" s="1"/>
  <c r="D58" i="2"/>
  <c r="M58" i="2" s="1"/>
  <c r="D57" i="2"/>
  <c r="M57" i="2" s="1"/>
  <c r="D56" i="2"/>
  <c r="M56" i="2" s="1"/>
  <c r="D55" i="2"/>
  <c r="M55" i="2" s="1"/>
  <c r="D54" i="2"/>
  <c r="M54" i="2" s="1"/>
  <c r="D53" i="2"/>
  <c r="M53" i="2" s="1"/>
  <c r="D52" i="2"/>
  <c r="M52" i="2" s="1"/>
  <c r="D51" i="2"/>
  <c r="M51" i="2" s="1"/>
  <c r="D50" i="2"/>
  <c r="M50" i="2" s="1"/>
  <c r="D49" i="2"/>
  <c r="M49" i="2" s="1"/>
  <c r="D48" i="2"/>
  <c r="M48" i="2" s="1"/>
  <c r="D47" i="2"/>
  <c r="M47" i="2" s="1"/>
  <c r="D46" i="2"/>
  <c r="M46" i="2" s="1"/>
  <c r="D45" i="2"/>
  <c r="M45" i="2" s="1"/>
  <c r="D44" i="2"/>
  <c r="M44" i="2" s="1"/>
  <c r="D43" i="2"/>
  <c r="M43" i="2" s="1"/>
  <c r="D42" i="2"/>
  <c r="M42" i="2" s="1"/>
  <c r="D41" i="2"/>
  <c r="M41" i="2" s="1"/>
  <c r="D40" i="2"/>
  <c r="M40" i="2" s="1"/>
  <c r="D39" i="2"/>
  <c r="M39" i="2" s="1"/>
  <c r="D38" i="2"/>
  <c r="M38" i="2" s="1"/>
  <c r="D37" i="2"/>
  <c r="M37" i="2" s="1"/>
  <c r="D36" i="2"/>
  <c r="M36" i="2" s="1"/>
  <c r="D35" i="2"/>
  <c r="M35" i="2" s="1"/>
  <c r="D34" i="2"/>
  <c r="M34" i="2" s="1"/>
  <c r="D33" i="2"/>
  <c r="M33" i="2" s="1"/>
  <c r="D32" i="2"/>
  <c r="M32" i="2" s="1"/>
  <c r="D31" i="2"/>
  <c r="M31" i="2" s="1"/>
  <c r="D30" i="2"/>
  <c r="M30" i="2" s="1"/>
  <c r="D29" i="2"/>
  <c r="M29" i="2" s="1"/>
  <c r="D28" i="2"/>
  <c r="M28" i="2" s="1"/>
  <c r="D27" i="2"/>
  <c r="M27" i="2" s="1"/>
  <c r="D26" i="2"/>
  <c r="M26" i="2" s="1"/>
  <c r="D25" i="2"/>
  <c r="M25" i="2" s="1"/>
  <c r="D24" i="2"/>
  <c r="M24" i="2" s="1"/>
  <c r="D23" i="2"/>
  <c r="M23" i="2" s="1"/>
  <c r="D22" i="2"/>
  <c r="M22" i="2" s="1"/>
  <c r="D21" i="2"/>
  <c r="M21" i="2" s="1"/>
  <c r="D20" i="2"/>
  <c r="M20" i="2" s="1"/>
  <c r="D19" i="2"/>
  <c r="M19" i="2" s="1"/>
  <c r="D18" i="2"/>
  <c r="M18" i="2" s="1"/>
  <c r="D17" i="2"/>
  <c r="M17" i="2" s="1"/>
  <c r="D16" i="2"/>
  <c r="M16" i="2" s="1"/>
  <c r="D15" i="2"/>
  <c r="M15" i="2" s="1"/>
  <c r="D14" i="2"/>
  <c r="M14" i="2" s="1"/>
  <c r="D13" i="2"/>
  <c r="M13" i="2" s="1"/>
  <c r="L9" i="2"/>
  <c r="I9" i="2"/>
  <c r="F9" i="2"/>
  <c r="L8" i="2"/>
  <c r="I8" i="2"/>
  <c r="F8" i="2"/>
  <c r="F10" i="2"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L7" i="2"/>
  <c r="I7" i="2"/>
  <c r="F7" i="2"/>
  <c r="A3" i="2"/>
  <c r="A2" i="2"/>
  <c r="A1" i="2"/>
  <c r="H89" i="1"/>
  <c r="G89" i="1"/>
  <c r="F89" i="1"/>
  <c r="E84" i="1"/>
  <c r="H80" i="1"/>
  <c r="G80" i="1"/>
  <c r="F80" i="1"/>
  <c r="H79" i="1"/>
  <c r="G79" i="1"/>
  <c r="I79" i="1" s="1"/>
  <c r="J79" i="1" s="1"/>
  <c r="F79" i="1"/>
  <c r="H78" i="1"/>
  <c r="G78" i="1"/>
  <c r="F78" i="1"/>
  <c r="I78" i="1" s="1"/>
  <c r="J78" i="1" s="1"/>
  <c r="H77" i="1"/>
  <c r="G77" i="1"/>
  <c r="F77" i="1"/>
  <c r="H76" i="1"/>
  <c r="G76" i="1"/>
  <c r="F76" i="1"/>
  <c r="I76" i="1" s="1"/>
  <c r="J76" i="1" s="1"/>
  <c r="H75" i="1"/>
  <c r="G75" i="1"/>
  <c r="F75" i="1"/>
  <c r="H74" i="1"/>
  <c r="G74" i="1"/>
  <c r="F74" i="1"/>
  <c r="H73" i="1"/>
  <c r="G73" i="1"/>
  <c r="F73" i="1"/>
  <c r="H72" i="1"/>
  <c r="G72" i="1"/>
  <c r="F72" i="1"/>
  <c r="I72" i="1" s="1"/>
  <c r="J72" i="1" s="1"/>
  <c r="H71" i="1"/>
  <c r="G71" i="1"/>
  <c r="F71" i="1"/>
  <c r="H70" i="1"/>
  <c r="G70" i="1"/>
  <c r="F70" i="1"/>
  <c r="H69" i="1"/>
  <c r="G69" i="1"/>
  <c r="I69" i="1" s="1"/>
  <c r="J69" i="1" s="1"/>
  <c r="F69" i="1"/>
  <c r="H68" i="1"/>
  <c r="G68" i="1"/>
  <c r="F68" i="1"/>
  <c r="H67" i="1"/>
  <c r="G67" i="1"/>
  <c r="F67" i="1"/>
  <c r="H66" i="1"/>
  <c r="G66" i="1"/>
  <c r="F66" i="1"/>
  <c r="I66" i="1" s="1"/>
  <c r="J66" i="1" s="1"/>
  <c r="H65" i="1"/>
  <c r="G65" i="1"/>
  <c r="I65" i="1" s="1"/>
  <c r="J65" i="1" s="1"/>
  <c r="F65" i="1"/>
  <c r="H64" i="1"/>
  <c r="G64" i="1"/>
  <c r="F64" i="1"/>
  <c r="H63" i="1"/>
  <c r="G63" i="1"/>
  <c r="F63" i="1"/>
  <c r="H62" i="1"/>
  <c r="G62" i="1"/>
  <c r="F62" i="1"/>
  <c r="H61" i="1"/>
  <c r="G61" i="1"/>
  <c r="I61" i="1" s="1"/>
  <c r="J61" i="1" s="1"/>
  <c r="F61" i="1"/>
  <c r="H60" i="1"/>
  <c r="G60" i="1"/>
  <c r="I60" i="1" s="1"/>
  <c r="J60" i="1" s="1"/>
  <c r="F60" i="1"/>
  <c r="H59" i="1"/>
  <c r="G59" i="1"/>
  <c r="F59" i="1"/>
  <c r="H58" i="1"/>
  <c r="G58" i="1"/>
  <c r="F58" i="1"/>
  <c r="I58" i="1" s="1"/>
  <c r="J58" i="1" s="1"/>
  <c r="H57" i="1"/>
  <c r="G57" i="1"/>
  <c r="F57" i="1"/>
  <c r="H56" i="1"/>
  <c r="G56" i="1"/>
  <c r="F56" i="1"/>
  <c r="I56" i="1" s="1"/>
  <c r="J56" i="1" s="1"/>
  <c r="H55" i="1"/>
  <c r="G55" i="1"/>
  <c r="F55" i="1"/>
  <c r="H54" i="1"/>
  <c r="G54" i="1"/>
  <c r="F54" i="1"/>
  <c r="I54" i="1" s="1"/>
  <c r="J54" i="1" s="1"/>
  <c r="H53" i="1"/>
  <c r="G53" i="1"/>
  <c r="F53" i="1"/>
  <c r="H52" i="1"/>
  <c r="G52" i="1"/>
  <c r="F52" i="1"/>
  <c r="H51" i="1"/>
  <c r="G51" i="1"/>
  <c r="F51" i="1"/>
  <c r="H50" i="1"/>
  <c r="G50" i="1"/>
  <c r="F50" i="1"/>
  <c r="I50" i="1" s="1"/>
  <c r="J50" i="1" s="1"/>
  <c r="H49" i="1"/>
  <c r="G49" i="1"/>
  <c r="I49" i="1" s="1"/>
  <c r="J49" i="1" s="1"/>
  <c r="F49" i="1"/>
  <c r="H48" i="1"/>
  <c r="G48" i="1"/>
  <c r="F48" i="1"/>
  <c r="H47" i="1"/>
  <c r="G47" i="1"/>
  <c r="F47" i="1"/>
  <c r="H46" i="1"/>
  <c r="G46" i="1"/>
  <c r="F46" i="1"/>
  <c r="I46" i="1" s="1"/>
  <c r="J46" i="1" s="1"/>
  <c r="H45" i="1"/>
  <c r="G45" i="1"/>
  <c r="F45" i="1"/>
  <c r="I44" i="1"/>
  <c r="J44" i="1" s="1"/>
  <c r="H44" i="1"/>
  <c r="G44" i="1"/>
  <c r="F44" i="1"/>
  <c r="H43" i="1"/>
  <c r="G43" i="1"/>
  <c r="F43" i="1"/>
  <c r="H42" i="1"/>
  <c r="G42" i="1"/>
  <c r="F42" i="1"/>
  <c r="H41" i="1"/>
  <c r="G41" i="1"/>
  <c r="F41" i="1"/>
  <c r="H40" i="1"/>
  <c r="G40" i="1"/>
  <c r="F40" i="1"/>
  <c r="I40" i="1" s="1"/>
  <c r="J40" i="1" s="1"/>
  <c r="H39" i="1"/>
  <c r="G39" i="1"/>
  <c r="F39" i="1"/>
  <c r="H38" i="1"/>
  <c r="G38" i="1"/>
  <c r="F38" i="1"/>
  <c r="I38" i="1" s="1"/>
  <c r="J38" i="1" s="1"/>
  <c r="H37" i="1"/>
  <c r="G37" i="1"/>
  <c r="I37" i="1" s="1"/>
  <c r="J37" i="1" s="1"/>
  <c r="F37" i="1"/>
  <c r="H36" i="1"/>
  <c r="G36" i="1"/>
  <c r="F36" i="1"/>
  <c r="I36" i="1" s="1"/>
  <c r="J36" i="1" s="1"/>
  <c r="H35" i="1"/>
  <c r="G35" i="1"/>
  <c r="F35" i="1"/>
  <c r="H34" i="1"/>
  <c r="G34" i="1"/>
  <c r="F34" i="1"/>
  <c r="H33" i="1"/>
  <c r="G33" i="1"/>
  <c r="F33" i="1"/>
  <c r="H32" i="1"/>
  <c r="G32" i="1"/>
  <c r="I32" i="1" s="1"/>
  <c r="J32" i="1" s="1"/>
  <c r="F32" i="1"/>
  <c r="H31" i="1"/>
  <c r="G31" i="1"/>
  <c r="F31" i="1"/>
  <c r="H30" i="1"/>
  <c r="G30" i="1"/>
  <c r="F30" i="1"/>
  <c r="H29" i="1"/>
  <c r="G29" i="1"/>
  <c r="F29" i="1"/>
  <c r="H28" i="1"/>
  <c r="G28" i="1"/>
  <c r="I28" i="1" s="1"/>
  <c r="J28" i="1" s="1"/>
  <c r="F28" i="1"/>
  <c r="H27" i="1"/>
  <c r="G27" i="1"/>
  <c r="F27" i="1"/>
  <c r="H26" i="1"/>
  <c r="G26" i="1"/>
  <c r="F26" i="1"/>
  <c r="H25" i="1"/>
  <c r="G25" i="1"/>
  <c r="F25" i="1"/>
  <c r="H24" i="1"/>
  <c r="G24" i="1"/>
  <c r="F24" i="1"/>
  <c r="H23" i="1"/>
  <c r="G23" i="1"/>
  <c r="F23" i="1"/>
  <c r="H22" i="1"/>
  <c r="G22" i="1"/>
  <c r="F22" i="1"/>
  <c r="I22" i="1" s="1"/>
  <c r="J22" i="1" s="1"/>
  <c r="H21" i="1"/>
  <c r="G21" i="1"/>
  <c r="F21" i="1"/>
  <c r="H20" i="1"/>
  <c r="G20" i="1"/>
  <c r="F20" i="1"/>
  <c r="H19" i="1"/>
  <c r="G19" i="1"/>
  <c r="F19" i="1"/>
  <c r="H18" i="1"/>
  <c r="G18" i="1"/>
  <c r="F18" i="1"/>
  <c r="I18" i="1" s="1"/>
  <c r="J18" i="1" s="1"/>
  <c r="H17" i="1"/>
  <c r="G17" i="1"/>
  <c r="F17" i="1"/>
  <c r="H16" i="1"/>
  <c r="I16" i="1" s="1"/>
  <c r="J16" i="1" s="1"/>
  <c r="G16" i="1"/>
  <c r="F16" i="1"/>
  <c r="H15" i="1"/>
  <c r="G15" i="1"/>
  <c r="I15" i="1" s="1"/>
  <c r="J15" i="1" s="1"/>
  <c r="F15" i="1"/>
  <c r="H14" i="1"/>
  <c r="G14" i="1"/>
  <c r="I14" i="1" s="1"/>
  <c r="J14" i="1" s="1"/>
  <c r="F14" i="1"/>
  <c r="H13" i="1"/>
  <c r="G13" i="1"/>
  <c r="F13"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3" i="1"/>
  <c r="A2" i="1"/>
  <c r="A1" i="1"/>
  <c r="I68" i="1" l="1"/>
  <c r="J68" i="1" s="1"/>
  <c r="I93" i="3"/>
  <c r="I20" i="1"/>
  <c r="J20" i="1" s="1"/>
  <c r="I25" i="1"/>
  <c r="J25" i="1" s="1"/>
  <c r="I30" i="1"/>
  <c r="J30" i="1" s="1"/>
  <c r="I48" i="1"/>
  <c r="J48" i="1" s="1"/>
  <c r="I53" i="1"/>
  <c r="J53" i="1" s="1"/>
  <c r="G67" i="2"/>
  <c r="I13" i="1"/>
  <c r="J13" i="1" s="1"/>
  <c r="I31" i="1"/>
  <c r="J31" i="1" s="1"/>
  <c r="I41" i="1"/>
  <c r="J41" i="1" s="1"/>
  <c r="I64" i="1"/>
  <c r="J64" i="1" s="1"/>
  <c r="I74" i="1"/>
  <c r="J74" i="1" s="1"/>
  <c r="I19" i="1"/>
  <c r="J19" i="1" s="1"/>
  <c r="I73" i="1"/>
  <c r="J73" i="1" s="1"/>
  <c r="G59" i="2"/>
  <c r="G79" i="2"/>
  <c r="I26" i="1"/>
  <c r="J26" i="1" s="1"/>
  <c r="I34" i="1"/>
  <c r="J34" i="1" s="1"/>
  <c r="I62" i="1"/>
  <c r="J62" i="1" s="1"/>
  <c r="I70" i="1"/>
  <c r="J70" i="1" s="1"/>
  <c r="I80" i="1"/>
  <c r="J80" i="1" s="1"/>
  <c r="I78" i="3"/>
  <c r="I94" i="3"/>
  <c r="I45" i="1"/>
  <c r="J45" i="1" s="1"/>
  <c r="I24" i="1"/>
  <c r="J24" i="1" s="1"/>
  <c r="I42" i="1"/>
  <c r="J42" i="1" s="1"/>
  <c r="I52" i="1"/>
  <c r="J52" i="1" s="1"/>
  <c r="I57" i="1"/>
  <c r="J57" i="1" s="1"/>
  <c r="G71" i="2"/>
  <c r="I27" i="1"/>
  <c r="J27" i="1" s="1"/>
  <c r="I43" i="1"/>
  <c r="J43" i="1" s="1"/>
  <c r="I59" i="1"/>
  <c r="J59" i="1" s="1"/>
  <c r="I75" i="1"/>
  <c r="J75" i="1" s="1"/>
  <c r="G46" i="2"/>
  <c r="G50" i="2"/>
  <c r="G54" i="2"/>
  <c r="G58" i="2"/>
  <c r="G62" i="2"/>
  <c r="G66" i="2"/>
  <c r="G70" i="2"/>
  <c r="G74" i="2"/>
  <c r="G78" i="2"/>
  <c r="I16" i="3"/>
  <c r="I57" i="3"/>
  <c r="I36" i="3"/>
  <c r="I23" i="1"/>
  <c r="J23" i="1" s="1"/>
  <c r="I39" i="1"/>
  <c r="J39" i="1" s="1"/>
  <c r="I55" i="1"/>
  <c r="J55" i="1" s="1"/>
  <c r="I71" i="1"/>
  <c r="J71" i="1" s="1"/>
  <c r="G43" i="2"/>
  <c r="G47" i="2"/>
  <c r="G51" i="2"/>
  <c r="G55" i="2"/>
  <c r="G63" i="2"/>
  <c r="I21" i="1"/>
  <c r="J21" i="1" s="1"/>
  <c r="I27" i="3"/>
  <c r="I50" i="3"/>
  <c r="I35" i="1"/>
  <c r="J35" i="1" s="1"/>
  <c r="I51" i="1"/>
  <c r="J51" i="1" s="1"/>
  <c r="I67" i="1"/>
  <c r="J67" i="1" s="1"/>
  <c r="G44" i="2"/>
  <c r="G48" i="2"/>
  <c r="G52" i="2"/>
  <c r="G56" i="2"/>
  <c r="G60" i="2"/>
  <c r="G64" i="2"/>
  <c r="G68" i="2"/>
  <c r="G72" i="2"/>
  <c r="G76" i="2"/>
  <c r="G80" i="2"/>
  <c r="I17" i="1"/>
  <c r="J17" i="1" s="1"/>
  <c r="I33" i="1"/>
  <c r="J33" i="1" s="1"/>
  <c r="I47" i="1"/>
  <c r="J47" i="1" s="1"/>
  <c r="I63" i="1"/>
  <c r="J63" i="1" s="1"/>
  <c r="I77" i="1"/>
  <c r="J77" i="1" s="1"/>
  <c r="I10" i="2"/>
  <c r="G45" i="2"/>
  <c r="G49" i="2"/>
  <c r="G53" i="2"/>
  <c r="G57" i="2"/>
  <c r="G61" i="2"/>
  <c r="G65" i="2"/>
  <c r="G69" i="2"/>
  <c r="G73" i="2"/>
  <c r="G77" i="2"/>
  <c r="I29" i="1"/>
  <c r="J29" i="1" s="1"/>
  <c r="L10" i="2"/>
  <c r="A23" i="3"/>
  <c r="A24" i="3"/>
  <c r="A25" i="3" s="1"/>
  <c r="A26" i="3" s="1"/>
  <c r="A27" i="3" s="1"/>
  <c r="I33" i="3"/>
  <c r="I71" i="3"/>
  <c r="I92" i="3"/>
  <c r="I21" i="3"/>
  <c r="I43" i="3"/>
  <c r="I30" i="3"/>
  <c r="I64" i="3"/>
  <c r="I85" i="3"/>
  <c r="M83" i="2"/>
  <c r="N83" i="2" s="1"/>
  <c r="A79" i="2"/>
  <c r="A80" i="2" s="1"/>
  <c r="A81" i="2" s="1"/>
  <c r="A82" i="2" s="1"/>
  <c r="A83" i="2" s="1"/>
  <c r="A84" i="2" s="1"/>
  <c r="A85" i="2" s="1"/>
  <c r="A86" i="2" s="1"/>
  <c r="A87" i="2" s="1"/>
  <c r="A88" i="2" s="1"/>
  <c r="A73" i="2"/>
  <c r="A74" i="2" s="1"/>
  <c r="A75" i="2" s="1"/>
  <c r="A76" i="2" s="1"/>
  <c r="A77" i="2" s="1"/>
  <c r="A78" i="2" s="1"/>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D83" i="2"/>
  <c r="D84" i="2" s="1"/>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A28" i="3" l="1"/>
  <c r="A29" i="3" s="1"/>
  <c r="A30" i="3" s="1"/>
  <c r="A31" i="3"/>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G83" i="2"/>
  <c r="H83" i="2" s="1"/>
  <c r="J83" i="2"/>
  <c r="K83" i="2" s="1"/>
  <c r="A93" i="3" l="1"/>
  <c r="A94" i="3" s="1"/>
  <c r="A95" i="3" s="1"/>
  <c r="A96" i="3" s="1"/>
  <c r="A97" i="3" s="1"/>
  <c r="A98" i="3" s="1"/>
  <c r="A99" i="3" s="1"/>
  <c r="A100" i="3" s="1"/>
  <c r="A101" i="3" s="1"/>
  <c r="A102" i="3" s="1"/>
  <c r="A103" i="3" s="1"/>
  <c r="A104" i="3" s="1"/>
  <c r="A86" i="3"/>
  <c r="A87" i="3" s="1"/>
  <c r="A88" i="3" s="1"/>
  <c r="A89" i="3" s="1"/>
  <c r="A90" i="3" s="1"/>
  <c r="A91" i="3" s="1"/>
  <c r="A92" i="3" s="1"/>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alcChain>
</file>

<file path=xl/sharedStrings.xml><?xml version="1.0" encoding="utf-8"?>
<sst xmlns="http://schemas.openxmlformats.org/spreadsheetml/2006/main" count="807" uniqueCount="315">
  <si>
    <t>NW Natural</t>
  </si>
  <si>
    <t>Rates &amp; Regulatory Affairs</t>
  </si>
  <si>
    <t>2022-2023 PGA Filing - Washington: September Filing</t>
  </si>
  <si>
    <t>Summary of TEMPORARY Increments</t>
  </si>
  <si>
    <t>UG 200994 Rate Case</t>
  </si>
  <si>
    <t>2021-22 PGA</t>
  </si>
  <si>
    <t>REMOVE</t>
  </si>
  <si>
    <t>ADD</t>
  </si>
  <si>
    <t>Current Temporaries</t>
  </si>
  <si>
    <t>PGA Current Temporaries</t>
  </si>
  <si>
    <t>WACOG Deferral</t>
  </si>
  <si>
    <t>Demand Deferral FIRM</t>
  </si>
  <si>
    <t>Demand Deferral INTERR</t>
  </si>
  <si>
    <t>Total Proposed PGA Temporaries</t>
  </si>
  <si>
    <t>Net Effect of PGA Temps</t>
  </si>
  <si>
    <t>F = C+D+E</t>
  </si>
  <si>
    <t>G = F-B</t>
  </si>
  <si>
    <t>Schedule</t>
  </si>
  <si>
    <t>Block</t>
  </si>
  <si>
    <t>A</t>
  </si>
  <si>
    <t>B</t>
  </si>
  <si>
    <t>C</t>
  </si>
  <si>
    <t>D</t>
  </si>
  <si>
    <t>E</t>
  </si>
  <si>
    <t>F</t>
  </si>
  <si>
    <t>G</t>
  </si>
  <si>
    <t>1R</t>
  </si>
  <si>
    <t>1C</t>
  </si>
  <si>
    <t>2R</t>
  </si>
  <si>
    <t>3 CFS</t>
  </si>
  <si>
    <t>3 IFS</t>
  </si>
  <si>
    <t>41C Firm Sales</t>
  </si>
  <si>
    <t>Block 1</t>
  </si>
  <si>
    <t>Block 2</t>
  </si>
  <si>
    <t>41C Interr Sales</t>
  </si>
  <si>
    <t>41C Firm Trans</t>
  </si>
  <si>
    <t>41I Firm Trans</t>
  </si>
  <si>
    <t>41I Firm Sales</t>
  </si>
  <si>
    <t>41I Interr Sales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</si>
  <si>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</si>
  <si>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</si>
  <si>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</si>
  <si>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</si>
  <si>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</si>
  <si>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</si>
  <si>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</si>
  <si>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</si>
  <si>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</si>
  <si>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</si>
  <si>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</si>
  <si>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</si>
  <si>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</si>
  <si>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</si>
  <si>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</si>
  <si>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Sources:</t>
  </si>
  <si>
    <t>Direct Inputs</t>
  </si>
  <si>
    <t>21-22 PGA+RC</t>
  </si>
  <si>
    <t>Equal ¢ per therm</t>
  </si>
  <si>
    <t>Column H</t>
  </si>
  <si>
    <t>Column K</t>
  </si>
  <si>
    <t>Column N</t>
  </si>
  <si>
    <t>Equal % of margin</t>
  </si>
  <si>
    <t>Tariff Schedules:</t>
  </si>
  <si>
    <t>Schedule #</t>
  </si>
  <si>
    <t>Sched 201</t>
  </si>
  <si>
    <t>N/A</t>
  </si>
  <si>
    <t>Calculation of Increments Allocated on the EQUAL CENT PER THERM BASIS</t>
  </si>
  <si>
    <t>Washington</t>
  </si>
  <si>
    <t>PGA</t>
  </si>
  <si>
    <t>Proposed Amount:</t>
  </si>
  <si>
    <t>Temporary Increment</t>
  </si>
  <si>
    <t>Volumes page,</t>
  </si>
  <si>
    <t>Revenue Sensitive Multiplier:</t>
  </si>
  <si>
    <t>add revenue sensitive factor</t>
  </si>
  <si>
    <t>Column F</t>
  </si>
  <si>
    <t>Amount to Amortize:</t>
  </si>
  <si>
    <t>to all sales schedules</t>
  </si>
  <si>
    <t>to all firm sales</t>
  </si>
  <si>
    <t>to all Interruptible sales</t>
  </si>
  <si>
    <t>Multiplier</t>
  </si>
  <si>
    <t>Volumes</t>
  </si>
  <si>
    <t>Increment</t>
  </si>
  <si>
    <t>H</t>
  </si>
  <si>
    <t>I</t>
  </si>
  <si>
    <t>J</t>
  </si>
  <si>
    <t xml:space="preserve">41I Firm Trans </t>
  </si>
  <si>
    <t>;</t>
  </si>
  <si>
    <t>Totals</t>
  </si>
  <si>
    <t>Sources for line 2 above:</t>
  </si>
  <si>
    <t>Inputs page</t>
  </si>
  <si>
    <t>Line 31</t>
  </si>
  <si>
    <t>Line 33</t>
  </si>
  <si>
    <t>Line 35</t>
  </si>
  <si>
    <t>PGA Effects on Average Bill by Rate Schedule</t>
  </si>
  <si>
    <t>Calculation of Effect on Customer Average Bill by Rate Schedule [1]</t>
  </si>
  <si>
    <t>Normal</t>
  </si>
  <si>
    <t>Current</t>
  </si>
  <si>
    <t>Proposed</t>
  </si>
  <si>
    <t>PGA Normalized</t>
  </si>
  <si>
    <t>Therms</t>
  </si>
  <si>
    <t>Minimum</t>
  </si>
  <si>
    <t>Therms in</t>
  </si>
  <si>
    <t>Monthly</t>
  </si>
  <si>
    <t>Billing</t>
  </si>
  <si>
    <t>Column D</t>
  </si>
  <si>
    <t>Average use</t>
  </si>
  <si>
    <t>Charge</t>
  </si>
  <si>
    <t>Rates</t>
  </si>
  <si>
    <t>Average Bill</t>
  </si>
  <si>
    <t>% Bill Change</t>
  </si>
  <si>
    <t>F=D+(C * E)</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</si>
  <si>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</si>
  <si>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</si>
  <si>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</si>
  <si>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</si>
  <si>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per Tariff</t>
  </si>
  <si>
    <t>Rates in summary</t>
  </si>
  <si>
    <t>Column A</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</si>
  <si>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</si>
  <si>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</si>
  <si>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</si>
  <si>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</si>
  <si>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</si>
  <si>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</si>
  <si>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</si>
  <si>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</si>
  <si>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</si>
  <si>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</si>
  <si>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</si>
  <si>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</si>
  <si>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</si>
  <si>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</si>
  <si>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</si>
  <si>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</si>
  <si>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</si>
  <si>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</si>
  <si>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</si>
  <si>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</si>
  <si>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</si>
  <si>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Gas Cost Deferrals and Amortizations</t>
  </si>
  <si>
    <t>191420 WACOG - ACCRUAL WA</t>
  </si>
  <si>
    <t>191421 AMORT OF WACOG - WA</t>
  </si>
  <si>
    <t>191430 DEMAND ACCRUAL -  WA</t>
  </si>
  <si>
    <t>191431 AMORT OF DEMAND WA</t>
  </si>
  <si>
    <t>254302 MARGIN SHARING - WA</t>
  </si>
  <si>
    <t>Company:</t>
  </si>
  <si>
    <t>Northwest Natural Gas Company</t>
  </si>
  <si>
    <t>State:</t>
  </si>
  <si>
    <t>Description:</t>
  </si>
  <si>
    <t>Washington WACOG Deferral</t>
  </si>
  <si>
    <t>Account Number:</t>
  </si>
  <si>
    <t>Program under Schedule P</t>
  </si>
  <si>
    <t>Temp Increment under Schedule 203</t>
  </si>
  <si>
    <t>Debit    (Credit)</t>
  </si>
  <si>
    <t xml:space="preserve">Month/Year </t>
  </si>
  <si>
    <t>Note</t>
  </si>
  <si>
    <t>Accumulation</t>
  </si>
  <si>
    <t>Transfers</t>
  </si>
  <si>
    <t>Interest Rate</t>
  </si>
  <si>
    <t>(a)</t>
  </si>
  <si>
    <t>(b)</t>
  </si>
  <si>
    <t>(c)</t>
  </si>
  <si>
    <t>(d)</t>
  </si>
  <si>
    <t>(e1)</t>
  </si>
  <si>
    <t>(e2)</t>
  </si>
  <si>
    <t>(f)</t>
  </si>
  <si>
    <t>(g)</t>
  </si>
  <si>
    <t>1</t>
  </si>
  <si>
    <t>History truncated for ease of viewing</t>
  </si>
  <si>
    <t>Notes</t>
  </si>
  <si>
    <r>
      <rPr>
        <b/>
        <sz val="10"/>
        <rFont val="Tahoma"/>
        <family val="2"/>
      </rPr>
      <t>1</t>
    </r>
    <r>
      <rPr>
        <sz val="10"/>
        <rFont val="Tahoma"/>
        <family val="2"/>
      </rPr>
      <t xml:space="preserve"> - Transferred authorized balance to account 191421 for amortization.</t>
    </r>
  </si>
  <si>
    <t>Washington Amortization of WACOG</t>
  </si>
  <si>
    <r>
      <t xml:space="preserve">new </t>
    </r>
    <r>
      <rPr>
        <b/>
        <sz val="10"/>
        <rFont val="Tahoma"/>
        <family val="2"/>
      </rPr>
      <t>(1)</t>
    </r>
  </si>
  <si>
    <t>forecast</t>
  </si>
  <si>
    <r>
      <rPr>
        <b/>
        <sz val="10"/>
        <rFont val="Tahoma"/>
        <family val="2"/>
      </rPr>
      <t>1</t>
    </r>
    <r>
      <rPr>
        <sz val="10"/>
        <rFont val="Tahoma"/>
        <family val="2"/>
      </rPr>
      <t xml:space="preserve"> - Transfer in amounts from account 191420 approved for amortization.</t>
    </r>
  </si>
  <si>
    <t>Washington Demand Accrual</t>
  </si>
  <si>
    <t>Beginning Balance</t>
  </si>
  <si>
    <r>
      <rPr>
        <b/>
        <sz val="10"/>
        <rFont val="Tahoma"/>
        <family val="2"/>
      </rPr>
      <t>1</t>
    </r>
    <r>
      <rPr>
        <sz val="10"/>
        <rFont val="Tahoma"/>
        <family val="2"/>
      </rPr>
      <t xml:space="preserve"> - Transferred authorized balance to account 191431 for amortization.</t>
    </r>
  </si>
  <si>
    <t>Washington Amortization of Demand</t>
  </si>
  <si>
    <t>(e)</t>
  </si>
  <si>
    <t>(h)</t>
  </si>
  <si>
    <t>(2)</t>
  </si>
  <si>
    <r>
      <rPr>
        <b/>
        <sz val="10"/>
        <rFont val="Tahoma"/>
        <family val="2"/>
      </rPr>
      <t>1</t>
    </r>
    <r>
      <rPr>
        <sz val="10"/>
        <rFont val="Tahoma"/>
        <family val="2"/>
      </rPr>
      <t xml:space="preserve"> - Transfer in amounts from account 191430 approved for amortization.</t>
    </r>
  </si>
  <si>
    <r>
      <rPr>
        <b/>
        <sz val="10"/>
        <rFont val="Tahoma"/>
        <family val="2"/>
      </rPr>
      <t>2</t>
    </r>
    <r>
      <rPr>
        <sz val="10"/>
        <rFont val="Tahoma"/>
        <family val="2"/>
      </rPr>
      <t xml:space="preserve"> - Transfer in from account 254302 (storage and optimization revenue sharing).</t>
    </r>
  </si>
  <si>
    <t>Washington Storage Sharing</t>
  </si>
  <si>
    <t>254302</t>
  </si>
  <si>
    <t>Temp Increment under Schedule 220</t>
  </si>
  <si>
    <r>
      <rPr>
        <b/>
        <sz val="10"/>
        <rFont val="Tahoma"/>
        <family val="2"/>
      </rPr>
      <t>1</t>
    </r>
    <r>
      <rPr>
        <sz val="10"/>
        <rFont val="Tahoma"/>
        <family val="2"/>
      </rPr>
      <t xml:space="preserve"> - Transfer December balance to account 191431 for amortization.</t>
    </r>
  </si>
  <si>
    <t>Summary of Total Commodity Cost</t>
  </si>
  <si>
    <t>ALL VOLUMES IN THERMS</t>
  </si>
  <si>
    <t>WASHINGTON COSTS</t>
  </si>
  <si>
    <t>(i)</t>
  </si>
  <si>
    <t>(j)</t>
  </si>
  <si>
    <t>(k)</t>
  </si>
  <si>
    <t>(l)</t>
  </si>
  <si>
    <t>(m)</t>
  </si>
  <si>
    <t>(n)</t>
  </si>
  <si>
    <t>(o)</t>
  </si>
  <si>
    <t>November</t>
  </si>
  <si>
    <t>December</t>
  </si>
  <si>
    <t>January</t>
  </si>
  <si>
    <t>February</t>
  </si>
  <si>
    <t>March</t>
  </si>
  <si>
    <t>April</t>
  </si>
  <si>
    <t>May</t>
  </si>
  <si>
    <t>June</t>
  </si>
  <si>
    <t>July</t>
  </si>
  <si>
    <t>August</t>
  </si>
  <si>
    <t>September</t>
  </si>
  <si>
    <t>October</t>
  </si>
  <si>
    <t>COSTS</t>
  </si>
  <si>
    <t>Commodity Cost from Supply</t>
  </si>
  <si>
    <t>tab commodity cost from supply, column cd, lines 93-104 plus gen input line 80; and</t>
  </si>
  <si>
    <t>tab commodity cost from gas reserve, column q, lines 59-70</t>
  </si>
  <si>
    <t>Volumetric Pipeline Chgs</t>
  </si>
  <si>
    <t>tab commodity cost from vol pipe, column e, line 78-89</t>
  </si>
  <si>
    <t>Commodity Cost from Storage</t>
  </si>
  <si>
    <t>tab Commodity Cost from Storage, column k, line 61-72</t>
  </si>
  <si>
    <t>Other Costs &amp; Miscellaneous Changes</t>
  </si>
  <si>
    <t>Commodity Cost from RNG</t>
  </si>
  <si>
    <t>tab Commodity Cost from RNG, column i, line 61-72</t>
  </si>
  <si>
    <t>Total Commodity Cost</t>
  </si>
  <si>
    <t>VOLUMES</t>
  </si>
  <si>
    <t>Commodity Volumes at Receipt Points</t>
  </si>
  <si>
    <t>Pipeline Fuel Use</t>
  </si>
  <si>
    <t>Gas Arriving at City Gate</t>
  </si>
  <si>
    <t>RNG and Storage Gas Withdrawals</t>
  </si>
  <si>
    <t>Pipeline Fuel Use for Off-site Storage</t>
  </si>
  <si>
    <t>Storage Gas Deliveries at City Gate</t>
  </si>
  <si>
    <t>Total Gas At City Gate (Storage and Commodity)</t>
  </si>
  <si>
    <t>Unaccounted for Gas</t>
  </si>
  <si>
    <t>Load Served</t>
  </si>
  <si>
    <t>WACOG Calculations</t>
  </si>
  <si>
    <t>Total Load Served</t>
  </si>
  <si>
    <t>Total (same as line 25 +/- rounding)</t>
  </si>
  <si>
    <t>Washington WACOG Calculation</t>
  </si>
  <si>
    <t>Total Washington commodity cost</t>
  </si>
  <si>
    <t>Total commodity cost for Washington</t>
  </si>
  <si>
    <t>WASHINGTON BILLING WACOG</t>
  </si>
  <si>
    <t>2022-2023 PGA - SYSTEM: September Filing</t>
  </si>
  <si>
    <t>Washington Sales WACOG (line 45 ÷ line 39)</t>
  </si>
  <si>
    <t>Summary of Total Demand Charges</t>
  </si>
  <si>
    <r>
      <rPr>
        <sz val="11"/>
        <rFont val="Calibri"/>
        <family val="2"/>
        <scheme val="minor"/>
      </rPr>
      <t>Source:</t>
    </r>
    <r>
      <rPr>
        <sz val="11"/>
        <color rgb="FF0000FF"/>
        <rFont val="Calibri"/>
        <family val="2"/>
        <scheme val="minor"/>
      </rPr>
      <t xml:space="preserve">  Detail in file "Capacity Contract Monthly Summary for 2022-2023 PGA.xls"</t>
    </r>
  </si>
  <si>
    <t>SYSTEM COSTS</t>
  </si>
  <si>
    <t>Transport charges by transporter (Washington):</t>
  </si>
  <si>
    <t>Northwest Pipeline</t>
  </si>
  <si>
    <t>Alberta: NOVA</t>
  </si>
  <si>
    <t>Alberta: Foothills</t>
  </si>
  <si>
    <t>Alberta: GTN</t>
  </si>
  <si>
    <t>BC: Southern Crossing</t>
  </si>
  <si>
    <t>BC: Spectra (Westcoast)</t>
  </si>
  <si>
    <t>KB Pipeline</t>
  </si>
  <si>
    <t>Shell Capacity Release Premium</t>
  </si>
  <si>
    <t>Total System Demand</t>
  </si>
  <si>
    <t>Derivation of Washington per therm Non-Commodity Charges</t>
  </si>
  <si>
    <t>Washington Derivation of Demand Increments</t>
  </si>
  <si>
    <t>Without</t>
  </si>
  <si>
    <t>WITH</t>
  </si>
  <si>
    <t>Revenue Sensitive</t>
  </si>
  <si>
    <t xml:space="preserve">System Demand  </t>
  </si>
  <si>
    <t>Washington Allocation Factor 1/</t>
  </si>
  <si>
    <t>Washington Demand</t>
  </si>
  <si>
    <t>Washington Firm Sales Forecasted Normal Volumes</t>
  </si>
  <si>
    <t>Washington Interruptible Sales Forecasted Normal Volumes</t>
  </si>
  <si>
    <t>Proposed Firm Demand Per Therm 2/</t>
  </si>
  <si>
    <t>Proposed Interruptible Demand 2/</t>
  </si>
  <si>
    <t>Proposed MDDV Demand Charge</t>
  </si>
  <si>
    <t>Current Firm Demand Per Therm</t>
  </si>
  <si>
    <t>Current Interruptible Demand</t>
  </si>
  <si>
    <t>Current MDDV Demand Charge</t>
  </si>
  <si>
    <t>Percent Change in Firm Demand</t>
  </si>
  <si>
    <t>1/Allocation Factor: 2021-22 PGA forecast firm sales volumes:</t>
  </si>
  <si>
    <t>Oregon</t>
  </si>
  <si>
    <t>System</t>
  </si>
  <si>
    <t>Firm Sales</t>
  </si>
  <si>
    <t>2/Calculation of Proposed Demand Rates:</t>
  </si>
  <si>
    <t>Demand change factor</t>
  </si>
  <si>
    <t>Firm Demand (line 16 * line 30)</t>
  </si>
  <si>
    <t>Interruptible Demand (line 17 * line 30)</t>
  </si>
  <si>
    <t>Calculation of Winter WACOG</t>
  </si>
  <si>
    <t>Prices are per therm</t>
  </si>
  <si>
    <t>Forecast price for AECO gas:</t>
  </si>
  <si>
    <t>AECO/NIT</t>
  </si>
  <si>
    <t>Average price, November-March</t>
  </si>
  <si>
    <t>average lines 5-9</t>
  </si>
  <si>
    <t>Annual average price, November-October</t>
  </si>
  <si>
    <t>average lines 5-16</t>
  </si>
  <si>
    <t>Ratio of winter to annual</t>
  </si>
  <si>
    <t>line 19 ÷ line 21</t>
  </si>
  <si>
    <t>Without Rev</t>
  </si>
  <si>
    <t>WITH Rev</t>
  </si>
  <si>
    <t>Sensitive</t>
  </si>
  <si>
    <t>WA</t>
  </si>
  <si>
    <t>Washington Annual WACOG</t>
  </si>
  <si>
    <t>Washington Winter WACOG</t>
  </si>
  <si>
    <t>2022-23 PGA - Washington: September Filing</t>
  </si>
  <si>
    <t>Tariff Advice 22-07: PGA Effects on Revenue</t>
  </si>
  <si>
    <t>Amount</t>
  </si>
  <si>
    <t>Reference</t>
  </si>
  <si>
    <t>Purchased Gas Cost Adjustment (PGA)</t>
  </si>
  <si>
    <t>Gas Cost Change</t>
  </si>
  <si>
    <t>Capacity Cost Change</t>
  </si>
  <si>
    <t>Total PGA Change</t>
  </si>
  <si>
    <t>Temporary Rate Adjustments</t>
  </si>
  <si>
    <t>Proposed PGA Temporary Increments</t>
  </si>
  <si>
    <t>NWN Washington PGA rate development file.xls</t>
  </si>
  <si>
    <t>Removal of PGA Current Temporary Increments</t>
  </si>
  <si>
    <t>Total Net Temporary Rate Adjustment</t>
  </si>
  <si>
    <t>TOTAL OF ALL COMPONENTS OF ALL RATE CHANGES</t>
  </si>
  <si>
    <t xml:space="preserve">Effect of this filing, as a percentage change </t>
  </si>
  <si>
    <t>PGA Effects</t>
  </si>
  <si>
    <t>X=D+(C*V)</t>
  </si>
  <si>
    <t>V</t>
  </si>
  <si>
    <t>X</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</si>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</sst>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_);\(0.00\)"/>
    <numFmt numFmtId="166" formatCode="&quot;$&quot;#,##0.00000_);\(&quot;$&quot;#,##0.00000\)"/>
    <numFmt numFmtId="167" formatCode="0.000%"/>
    <numFmt numFmtId="168" formatCode="#,##0.0_);\(#,##0.0\)"/>
    <numFmt numFmtId="169" formatCode="_(* #,##0_);_(* \(#,##0\);_(* &quot;-&quot;??_);_(@_)"/>
    <numFmt numFmtId="170" formatCode="0.0%"/>
    <numFmt numFmtId="171" formatCode="[$-409]mmm\-yy;@"/>
    <numFmt numFmtId="172" formatCode="General_)"/>
    <numFmt numFmtId="173" formatCode="_(&quot;$&quot;* #,##0_);_(&quot;$&quot;* \(#,##0\);_(&quot;$&quot;* &quot;-&quot;??_);_(@_)"/>
    <numFmt numFmtId="174" formatCode="0_)"/>
    <numFmt numFmtId="175" formatCode="mm/dd/yy"/>
    <numFmt numFmtId="176" formatCode="&quot;$&quot;#,##0.00000"/>
    <numFmt numFmtId="177" formatCode="0.000"/>
    <numFmt numFmtId="178" formatCode="&quot;$&quot;#,##0.00000;[Red]&quot;$&quot;#,##0.000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sz val="11"/>
      <name val="Calibri"/>
      <family val="2"/>
      <scheme val="minor"/>
    </font>
    <font>
      <sz val="11"/>
      <color indexed="12"/>
      <name val="Calibri"/>
      <family val="2"/>
      <scheme val="minor"/>
    </font>
    <font>
      <b/>
      <sz val="11"/>
      <color indexed="48"/>
      <name val="Calibri"/>
      <family val="2"/>
      <scheme val="minor"/>
    </font>
    <font>
      <b/>
      <sz val="11"/>
      <color rgb="FF0000FF"/>
      <name val="Calibri"/>
      <family val="2"/>
      <scheme val="minor"/>
    </font>
    <font>
      <sz val="11"/>
      <color rgb="FF0000FF"/>
      <name val="Calibri"/>
      <family val="2"/>
      <scheme val="minor"/>
    </font>
    <font>
      <b/>
      <u/>
      <sz val="11"/>
      <name val="Calibri"/>
      <family val="2"/>
      <scheme val="minor"/>
    </font>
    <font>
      <sz val="10"/>
      <name val="Times New Roman"/>
      <family val="1"/>
    </font>
    <font>
      <b/>
      <sz val="11"/>
      <color indexed="12"/>
      <name val="Calibri"/>
      <family val="2"/>
      <scheme val="minor"/>
    </font>
    <font>
      <sz val="10"/>
      <name val="Arial"/>
      <family val="2"/>
    </font>
    <font>
      <b/>
      <sz val="11"/>
      <color indexed="12"/>
      <name val="Tahoma"/>
      <family val="2"/>
    </font>
    <font>
      <b/>
      <sz val="10"/>
      <name val="Tahoma"/>
      <family val="2"/>
    </font>
    <font>
      <sz val="10"/>
      <name val="Tahoma"/>
      <family val="2"/>
    </font>
    <font>
      <sz val="8"/>
      <name val="Tahoma"/>
      <family val="2"/>
    </font>
    <font>
      <b/>
      <sz val="8"/>
      <color indexed="12"/>
      <name val="Tahoma"/>
      <family val="2"/>
    </font>
    <font>
      <sz val="10"/>
      <color rgb="FF0000FF"/>
      <name val="Tahoma"/>
      <family val="2"/>
    </font>
    <font>
      <sz val="10"/>
      <color indexed="12"/>
      <name val="Tahoma"/>
      <family val="2"/>
    </font>
    <font>
      <sz val="10"/>
      <name val="MS Sans Serif"/>
      <family val="2"/>
    </font>
    <font>
      <u/>
      <sz val="10"/>
      <name val="Tahoma"/>
      <family val="2"/>
    </font>
    <font>
      <b/>
      <u/>
      <sz val="10"/>
      <name val="Tahoma"/>
      <family val="2"/>
    </font>
    <font>
      <b/>
      <sz val="10"/>
      <color rgb="FFFF0000"/>
      <name val="Tahoma"/>
      <family val="2"/>
    </font>
    <font>
      <i/>
      <sz val="10"/>
      <name val="Tahoma"/>
      <family val="2"/>
    </font>
    <font>
      <i/>
      <sz val="10"/>
      <color rgb="FF0000FF"/>
      <name val="Tahoma"/>
      <family val="2"/>
    </font>
    <font>
      <sz val="10"/>
      <color rgb="FF3333FF"/>
      <name val="Tahoma"/>
      <family val="2"/>
    </font>
    <font>
      <sz val="10"/>
      <color theme="0"/>
      <name val="Tahoma"/>
      <family val="2"/>
    </font>
    <font>
      <sz val="10"/>
      <color rgb="FFFF0000"/>
      <name val="Tahoma"/>
      <family val="2"/>
    </font>
    <font>
      <i/>
      <sz val="10"/>
      <color indexed="12"/>
      <name val="Tahoma"/>
      <family val="2"/>
    </font>
    <font>
      <sz val="10"/>
      <color indexed="10"/>
      <name val="Tahoma"/>
      <family val="2"/>
    </font>
    <font>
      <sz val="10"/>
      <name val="Helv"/>
    </font>
    <font>
      <b/>
      <sz val="11"/>
      <color rgb="FFFF0000"/>
      <name val="Calibri"/>
      <family val="2"/>
      <scheme val="minor"/>
    </font>
    <font>
      <u/>
      <sz val="11"/>
      <name val="Calibri"/>
      <family val="2"/>
      <scheme val="minor"/>
    </font>
    <font>
      <sz val="11"/>
      <color indexed="10"/>
      <name val="Calibri"/>
      <family val="2"/>
      <scheme val="minor"/>
    </font>
    <font>
      <b/>
      <sz val="11"/>
      <name val="Tahoma"/>
      <family val="2"/>
    </font>
    <font>
      <b/>
      <sz val="11"/>
      <color rgb="FF0000FF"/>
      <name val="Tahoma"/>
      <family val="2"/>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indexed="43"/>
        <bgColor indexed="64"/>
      </patternFill>
    </fill>
    <fill>
      <patternFill patternType="solid">
        <fgColor theme="4" tint="0.59999389629810485"/>
        <bgColor indexed="64"/>
      </patternFill>
    </fill>
  </fills>
  <borders count="38">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3" fillId="0" borderId="0"/>
    <xf numFmtId="171" fontId="13" fillId="0" borderId="0">
      <alignment vertical="top"/>
    </xf>
    <xf numFmtId="171" fontId="21" fillId="0" borderId="0"/>
    <xf numFmtId="0" fontId="21" fillId="0" borderId="0"/>
    <xf numFmtId="43" fontId="13" fillId="0" borderId="0" applyFont="0" applyFill="0" applyBorder="0" applyAlignment="0" applyProtection="0"/>
    <xf numFmtId="9" fontId="11" fillId="0" borderId="0" applyFont="0" applyFill="0" applyBorder="0" applyAlignment="0" applyProtection="0"/>
    <xf numFmtId="172" fontId="32" fillId="0" borderId="0"/>
    <xf numFmtId="0" fontId="1" fillId="0" borderId="0"/>
    <xf numFmtId="0" fontId="1" fillId="0" borderId="0"/>
  </cellStyleXfs>
  <cellXfs count="342">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5" fillId="0" borderId="2"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center"/>
    </xf>
    <xf numFmtId="164" fontId="5" fillId="0" borderId="3" xfId="0" applyNumberFormat="1" applyFont="1" applyBorder="1"/>
    <xf numFmtId="0" fontId="5" fillId="0" borderId="3" xfId="0" applyFont="1" applyBorder="1" applyAlignment="1">
      <alignment horizontal="center"/>
    </xf>
    <xf numFmtId="165" fontId="5" fillId="0" borderId="0" xfId="0" applyNumberFormat="1" applyFont="1" applyAlignment="1">
      <alignment horizontal="center"/>
    </xf>
    <xf numFmtId="165" fontId="5" fillId="0" borderId="3" xfId="0" applyNumberFormat="1" applyFont="1" applyBorder="1" applyAlignment="1">
      <alignment horizontal="center"/>
    </xf>
    <xf numFmtId="166" fontId="5" fillId="0" borderId="3" xfId="0" applyNumberFormat="1" applyFont="1" applyBorder="1"/>
    <xf numFmtId="0" fontId="10" fillId="0" borderId="0" xfId="0" applyFont="1"/>
    <xf numFmtId="0" fontId="4" fillId="0" borderId="5" xfId="0" applyFont="1" applyBorder="1"/>
    <xf numFmtId="0" fontId="5" fillId="0" borderId="6" xfId="0" applyFont="1" applyBorder="1"/>
    <xf numFmtId="0" fontId="5" fillId="2" borderId="6" xfId="0" applyFont="1" applyFill="1" applyBorder="1"/>
    <xf numFmtId="0" fontId="5" fillId="0" borderId="6" xfId="0" applyFont="1" applyBorder="1" applyAlignment="1">
      <alignment horizontal="center"/>
    </xf>
    <xf numFmtId="0" fontId="4" fillId="0" borderId="0" xfId="0" applyFont="1" applyFill="1"/>
    <xf numFmtId="0" fontId="5" fillId="0" borderId="0" xfId="0" applyFont="1" applyFill="1"/>
    <xf numFmtId="0" fontId="6" fillId="0" borderId="0" xfId="0" applyFont="1" applyFill="1"/>
    <xf numFmtId="0" fontId="7" fillId="0" borderId="0" xfId="0" applyFont="1" applyFill="1"/>
    <xf numFmtId="164" fontId="5" fillId="0" borderId="0" xfId="0" applyNumberFormat="1" applyFont="1" applyFill="1"/>
    <xf numFmtId="0" fontId="5" fillId="0" borderId="0" xfId="0" applyFont="1" applyFill="1" applyAlignment="1">
      <alignment horizontal="center"/>
    </xf>
    <xf numFmtId="14" fontId="8" fillId="0" borderId="0" xfId="0" applyNumberFormat="1" applyFont="1" applyFill="1" applyAlignment="1">
      <alignment horizontal="center" wrapText="1"/>
    </xf>
    <xf numFmtId="14" fontId="8" fillId="0" borderId="0" xfId="0" applyNumberFormat="1" applyFont="1" applyFill="1" applyAlignment="1">
      <alignment horizontal="center"/>
    </xf>
    <xf numFmtId="0" fontId="4" fillId="0" borderId="0" xfId="0" applyFont="1" applyFill="1" applyAlignment="1">
      <alignment horizontal="center"/>
    </xf>
    <xf numFmtId="0" fontId="4" fillId="0" borderId="1" xfId="0" applyFont="1" applyFill="1" applyBorder="1" applyAlignment="1">
      <alignment horizontal="center" wrapText="1"/>
    </xf>
    <xf numFmtId="0" fontId="4" fillId="0" borderId="0" xfId="0" applyFont="1" applyFill="1" applyAlignment="1">
      <alignment horizontal="right"/>
    </xf>
    <xf numFmtId="0" fontId="5" fillId="0" borderId="2" xfId="0" applyFont="1" applyFill="1" applyBorder="1" applyAlignment="1">
      <alignment horizontal="center"/>
    </xf>
    <xf numFmtId="0" fontId="4" fillId="0" borderId="3" xfId="0" applyFont="1" applyFill="1" applyBorder="1" applyAlignment="1">
      <alignment horizontal="center"/>
    </xf>
    <xf numFmtId="0" fontId="5" fillId="0" borderId="4" xfId="0" applyFont="1" applyFill="1" applyBorder="1" applyAlignment="1">
      <alignment horizontal="center"/>
    </xf>
    <xf numFmtId="164" fontId="6" fillId="0" borderId="3" xfId="0" applyNumberFormat="1" applyFont="1" applyFill="1" applyBorder="1"/>
    <xf numFmtId="164" fontId="9" fillId="0" borderId="3" xfId="0" applyNumberFormat="1" applyFont="1" applyFill="1" applyBorder="1"/>
    <xf numFmtId="164" fontId="5" fillId="0" borderId="3" xfId="0" applyNumberFormat="1" applyFont="1" applyFill="1" applyBorder="1"/>
    <xf numFmtId="0" fontId="5" fillId="0" borderId="3" xfId="0" applyFont="1" applyFill="1" applyBorder="1" applyAlignment="1">
      <alignment horizontal="center"/>
    </xf>
    <xf numFmtId="165" fontId="5" fillId="0" borderId="0" xfId="0" applyNumberFormat="1" applyFont="1" applyFill="1" applyAlignment="1">
      <alignment horizontal="center"/>
    </xf>
    <xf numFmtId="164" fontId="6" fillId="0" borderId="0" xfId="0" applyNumberFormat="1" applyFont="1" applyFill="1"/>
    <xf numFmtId="165" fontId="5" fillId="0" borderId="3" xfId="0" applyNumberFormat="1" applyFont="1" applyFill="1" applyBorder="1" applyAlignment="1">
      <alignment horizontal="center"/>
    </xf>
    <xf numFmtId="164" fontId="6" fillId="0" borderId="2" xfId="0" applyNumberFormat="1" applyFont="1" applyFill="1" applyBorder="1"/>
    <xf numFmtId="164" fontId="5" fillId="0" borderId="2" xfId="0" applyNumberFormat="1" applyFont="1" applyFill="1" applyBorder="1"/>
    <xf numFmtId="164" fontId="6" fillId="0" borderId="4" xfId="0" applyNumberFormat="1" applyFont="1" applyFill="1" applyBorder="1"/>
    <xf numFmtId="164" fontId="5" fillId="0" borderId="4" xfId="0" applyNumberFormat="1" applyFont="1" applyFill="1" applyBorder="1"/>
    <xf numFmtId="166" fontId="5" fillId="0" borderId="3" xfId="0" applyNumberFormat="1" applyFont="1" applyFill="1" applyBorder="1"/>
    <xf numFmtId="0" fontId="10" fillId="0" borderId="0" xfId="0" applyFont="1" applyFill="1"/>
    <xf numFmtId="0" fontId="4" fillId="0" borderId="5" xfId="0" applyFont="1" applyFill="1" applyBorder="1"/>
    <xf numFmtId="0" fontId="5" fillId="0" borderId="6" xfId="0" applyFont="1" applyFill="1" applyBorder="1"/>
    <xf numFmtId="0" fontId="6" fillId="0" borderId="6" xfId="0" applyFont="1" applyFill="1" applyBorder="1" applyAlignment="1">
      <alignment horizontal="left"/>
    </xf>
    <xf numFmtId="0" fontId="6" fillId="0" borderId="6" xfId="0" applyFont="1" applyFill="1" applyBorder="1" applyAlignment="1">
      <alignment horizontal="center"/>
    </xf>
    <xf numFmtId="0" fontId="5" fillId="0" borderId="6" xfId="0" applyFont="1" applyFill="1" applyBorder="1" applyAlignment="1">
      <alignment horizontal="center"/>
    </xf>
    <xf numFmtId="37" fontId="5" fillId="0" borderId="0" xfId="0" applyNumberFormat="1" applyFont="1"/>
    <xf numFmtId="0" fontId="6" fillId="0" borderId="0" xfId="0" applyFont="1" applyAlignment="1">
      <alignment horizontal="center"/>
    </xf>
    <xf numFmtId="37" fontId="4" fillId="0" borderId="7" xfId="0" applyNumberFormat="1" applyFont="1" applyBorder="1" applyAlignment="1">
      <alignment horizontal="centerContinuous"/>
    </xf>
    <xf numFmtId="0" fontId="4" fillId="0" borderId="8" xfId="0" applyFont="1" applyBorder="1" applyAlignment="1">
      <alignment horizontal="centerContinuous"/>
    </xf>
    <xf numFmtId="0" fontId="5" fillId="0" borderId="9" xfId="0" applyFont="1" applyBorder="1" applyAlignment="1">
      <alignment horizontal="centerContinuous"/>
    </xf>
    <xf numFmtId="0" fontId="5" fillId="0" borderId="10" xfId="0" applyFont="1" applyBorder="1"/>
    <xf numFmtId="37" fontId="5" fillId="0" borderId="11" xfId="0" applyNumberFormat="1" applyFont="1" applyBorder="1"/>
    <xf numFmtId="0" fontId="5" fillId="0" borderId="12" xfId="0" applyFont="1" applyBorder="1"/>
    <xf numFmtId="167" fontId="5" fillId="0" borderId="11" xfId="3" applyNumberFormat="1" applyFont="1" applyBorder="1"/>
    <xf numFmtId="0" fontId="5" fillId="0" borderId="1" xfId="0" applyFont="1" applyBorder="1" applyAlignment="1">
      <alignment horizontal="center"/>
    </xf>
    <xf numFmtId="0" fontId="5" fillId="0" borderId="13" xfId="0" applyFont="1" applyBorder="1"/>
    <xf numFmtId="37" fontId="5" fillId="0" borderId="6" xfId="0" applyNumberFormat="1" applyFont="1" applyBorder="1"/>
    <xf numFmtId="37" fontId="5" fillId="0" borderId="12" xfId="0" applyNumberFormat="1" applyFont="1" applyBorder="1"/>
    <xf numFmtId="0" fontId="4" fillId="2" borderId="14" xfId="0" applyFont="1" applyFill="1" applyBorder="1" applyAlignment="1">
      <alignment horizontal="right"/>
    </xf>
    <xf numFmtId="0" fontId="4" fillId="0" borderId="15" xfId="0" applyFont="1" applyBorder="1" applyAlignment="1">
      <alignment horizontal="center"/>
    </xf>
    <xf numFmtId="0" fontId="4" fillId="0" borderId="16" xfId="0" applyFont="1" applyBorder="1" applyAlignment="1">
      <alignment horizontal="center"/>
    </xf>
    <xf numFmtId="0" fontId="4" fillId="2" borderId="17" xfId="0" applyFont="1" applyFill="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37" fontId="5" fillId="0" borderId="3" xfId="0" applyNumberFormat="1" applyFont="1" applyBorder="1"/>
    <xf numFmtId="37" fontId="5" fillId="2" borderId="17" xfId="0" applyNumberFormat="1" applyFont="1" applyFill="1" applyBorder="1"/>
    <xf numFmtId="168" fontId="6" fillId="0" borderId="18" xfId="0" applyNumberFormat="1" applyFont="1" applyBorder="1" applyAlignment="1">
      <alignment horizontal="center"/>
    </xf>
    <xf numFmtId="166" fontId="5" fillId="0" borderId="19" xfId="0" applyNumberFormat="1" applyFont="1" applyBorder="1"/>
    <xf numFmtId="37" fontId="5" fillId="2" borderId="14" xfId="0" applyNumberFormat="1" applyFont="1" applyFill="1" applyBorder="1"/>
    <xf numFmtId="168" fontId="6" fillId="0" borderId="15" xfId="0" applyNumberFormat="1" applyFont="1" applyBorder="1" applyAlignment="1">
      <alignment horizontal="center"/>
    </xf>
    <xf numFmtId="166" fontId="5" fillId="0" borderId="16" xfId="0" applyNumberFormat="1" applyFont="1" applyBorder="1"/>
    <xf numFmtId="37" fontId="5" fillId="0" borderId="2" xfId="0" applyNumberFormat="1" applyFont="1" applyBorder="1"/>
    <xf numFmtId="37" fontId="5" fillId="2" borderId="20" xfId="0" applyNumberFormat="1" applyFont="1" applyFill="1" applyBorder="1"/>
    <xf numFmtId="168" fontId="6" fillId="0" borderId="21" xfId="0" applyNumberFormat="1" applyFont="1" applyBorder="1" applyAlignment="1">
      <alignment horizontal="center"/>
    </xf>
    <xf numFmtId="166" fontId="5" fillId="0" borderId="22" xfId="0" applyNumberFormat="1" applyFont="1" applyBorder="1"/>
    <xf numFmtId="37" fontId="5" fillId="0" borderId="19" xfId="0" applyNumberFormat="1" applyFont="1" applyBorder="1"/>
    <xf numFmtId="168" fontId="6" fillId="0" borderId="0" xfId="0" applyNumberFormat="1" applyFont="1" applyAlignment="1">
      <alignment horizontal="center"/>
    </xf>
    <xf numFmtId="166" fontId="5" fillId="0" borderId="0" xfId="0" applyNumberFormat="1" applyFont="1"/>
    <xf numFmtId="169" fontId="6" fillId="0" borderId="0" xfId="1" applyNumberFormat="1" applyFont="1"/>
    <xf numFmtId="37" fontId="6" fillId="0" borderId="0" xfId="0" applyNumberFormat="1" applyFont="1"/>
    <xf numFmtId="0" fontId="6" fillId="2" borderId="6" xfId="0" applyFont="1" applyFill="1" applyBorder="1"/>
    <xf numFmtId="168" fontId="5" fillId="0" borderId="6" xfId="0" applyNumberFormat="1" applyFont="1" applyBorder="1" applyAlignment="1">
      <alignment horizontal="center"/>
    </xf>
    <xf numFmtId="0" fontId="0" fillId="0" borderId="0" xfId="0" applyFill="1"/>
    <xf numFmtId="7" fontId="5" fillId="0" borderId="0" xfId="0" applyNumberFormat="1" applyFont="1"/>
    <xf numFmtId="39" fontId="5" fillId="0" borderId="0" xfId="0" applyNumberFormat="1" applyFont="1"/>
    <xf numFmtId="170" fontId="5" fillId="0" borderId="0" xfId="0" applyNumberFormat="1" applyFont="1"/>
    <xf numFmtId="0" fontId="4" fillId="0" borderId="0" xfId="0" applyFont="1" applyAlignment="1">
      <alignment horizontal="left"/>
    </xf>
    <xf numFmtId="0" fontId="4" fillId="0" borderId="0" xfId="0" applyFont="1" applyAlignment="1">
      <alignment horizontal="centerContinuous"/>
    </xf>
    <xf numFmtId="7" fontId="4" fillId="0" borderId="0" xfId="0" applyNumberFormat="1" applyFont="1" applyAlignment="1">
      <alignment horizontal="centerContinuous"/>
    </xf>
    <xf numFmtId="7" fontId="4" fillId="0" borderId="0" xfId="0" applyNumberFormat="1" applyFont="1" applyAlignment="1">
      <alignment horizontal="center"/>
    </xf>
    <xf numFmtId="14" fontId="5" fillId="0" borderId="0" xfId="0" applyNumberFormat="1" applyFont="1" applyAlignment="1">
      <alignment horizontal="center"/>
    </xf>
    <xf numFmtId="14" fontId="5" fillId="0" borderId="23" xfId="0" applyNumberFormat="1" applyFont="1" applyBorder="1" applyAlignment="1">
      <alignment horizontal="center"/>
    </xf>
    <xf numFmtId="14" fontId="9" fillId="0" borderId="0" xfId="0" applyNumberFormat="1" applyFont="1" applyAlignment="1">
      <alignment horizontal="center"/>
    </xf>
    <xf numFmtId="14" fontId="5" fillId="0" borderId="24" xfId="0" applyNumberFormat="1" applyFont="1" applyBorder="1" applyAlignment="1">
      <alignment horizontal="center"/>
    </xf>
    <xf numFmtId="0" fontId="4" fillId="0" borderId="24" xfId="0" applyFont="1" applyBorder="1" applyAlignment="1">
      <alignment horizontal="center"/>
    </xf>
    <xf numFmtId="0" fontId="4" fillId="0" borderId="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164" fontId="5" fillId="0" borderId="3" xfId="0" applyNumberFormat="1" applyFont="1" applyBorder="1" applyAlignment="1">
      <alignment horizontal="center"/>
    </xf>
    <xf numFmtId="168" fontId="5" fillId="0" borderId="3" xfId="0" applyNumberFormat="1" applyFont="1" applyBorder="1"/>
    <xf numFmtId="7" fontId="6" fillId="0" borderId="3" xfId="0" applyNumberFormat="1" applyFont="1" applyBorder="1"/>
    <xf numFmtId="7" fontId="5" fillId="0" borderId="3" xfId="0" applyNumberFormat="1" applyFont="1" applyBorder="1"/>
    <xf numFmtId="170" fontId="5" fillId="0" borderId="26" xfId="3" applyNumberFormat="1" applyFont="1" applyBorder="1"/>
    <xf numFmtId="170" fontId="5" fillId="0" borderId="26" xfId="3" applyNumberFormat="1" applyFont="1" applyFill="1" applyBorder="1"/>
    <xf numFmtId="37" fontId="5" fillId="0" borderId="0" xfId="0" applyNumberFormat="1" applyFont="1" applyAlignment="1">
      <alignment horizontal="center"/>
    </xf>
    <xf numFmtId="168" fontId="5" fillId="0" borderId="0" xfId="0" applyNumberFormat="1" applyFont="1"/>
    <xf numFmtId="7" fontId="6" fillId="0" borderId="0" xfId="0" applyNumberFormat="1" applyFont="1"/>
    <xf numFmtId="170" fontId="5" fillId="0" borderId="24" xfId="3" applyNumberFormat="1" applyFont="1" applyBorder="1"/>
    <xf numFmtId="165" fontId="4" fillId="0" borderId="3" xfId="0" applyNumberFormat="1" applyFont="1" applyBorder="1" applyAlignment="1">
      <alignment horizontal="center"/>
    </xf>
    <xf numFmtId="37" fontId="4" fillId="0" borderId="3" xfId="0" applyNumberFormat="1" applyFont="1" applyBorder="1"/>
    <xf numFmtId="37" fontId="4" fillId="0" borderId="3" xfId="0" applyNumberFormat="1" applyFont="1" applyBorder="1" applyAlignment="1">
      <alignment horizontal="center"/>
    </xf>
    <xf numFmtId="168" fontId="4" fillId="0" borderId="3" xfId="0" applyNumberFormat="1" applyFont="1" applyBorder="1"/>
    <xf numFmtId="7" fontId="12" fillId="0" borderId="3" xfId="0" applyNumberFormat="1" applyFont="1" applyBorder="1"/>
    <xf numFmtId="166" fontId="4" fillId="0" borderId="3" xfId="0" applyNumberFormat="1" applyFont="1" applyBorder="1"/>
    <xf numFmtId="7" fontId="4" fillId="0" borderId="3" xfId="0" applyNumberFormat="1" applyFont="1" applyBorder="1"/>
    <xf numFmtId="170" fontId="4" fillId="0" borderId="26" xfId="3" applyNumberFormat="1" applyFont="1" applyFill="1" applyBorder="1"/>
    <xf numFmtId="168" fontId="4" fillId="0" borderId="0" xfId="0" applyNumberFormat="1" applyFont="1"/>
    <xf numFmtId="7" fontId="12" fillId="0" borderId="0" xfId="0" applyNumberFormat="1" applyFont="1"/>
    <xf numFmtId="170" fontId="4" fillId="0" borderId="26" xfId="3" applyNumberFormat="1" applyFont="1" applyBorder="1"/>
    <xf numFmtId="170" fontId="5" fillId="0" borderId="24" xfId="3" applyNumberFormat="1" applyFont="1" applyFill="1" applyBorder="1"/>
    <xf numFmtId="166" fontId="4" fillId="0" borderId="0" xfId="0" applyNumberFormat="1" applyFont="1"/>
    <xf numFmtId="170" fontId="4" fillId="0" borderId="24" xfId="3" applyNumberFormat="1" applyFont="1" applyBorder="1"/>
    <xf numFmtId="37" fontId="5" fillId="0" borderId="4" xfId="0" applyNumberFormat="1" applyFont="1" applyBorder="1"/>
    <xf numFmtId="164" fontId="5" fillId="0" borderId="4" xfId="0" applyNumberFormat="1" applyFont="1" applyBorder="1" applyAlignment="1">
      <alignment horizontal="center"/>
    </xf>
    <xf numFmtId="168" fontId="5" fillId="0" borderId="4" xfId="0" applyNumberFormat="1" applyFont="1" applyBorder="1"/>
    <xf numFmtId="7" fontId="6" fillId="0" borderId="4" xfId="0" applyNumberFormat="1" applyFont="1" applyBorder="1"/>
    <xf numFmtId="166" fontId="5" fillId="0" borderId="4" xfId="0" applyNumberFormat="1" applyFont="1" applyBorder="1"/>
    <xf numFmtId="170" fontId="5" fillId="0" borderId="27" xfId="3" applyNumberFormat="1" applyFont="1" applyBorder="1"/>
    <xf numFmtId="39" fontId="6" fillId="0" borderId="3" xfId="0" applyNumberFormat="1" applyFont="1" applyBorder="1"/>
    <xf numFmtId="39" fontId="5" fillId="0" borderId="3" xfId="0" applyNumberFormat="1" applyFont="1" applyBorder="1"/>
    <xf numFmtId="39" fontId="5" fillId="0" borderId="25" xfId="0" applyNumberFormat="1" applyFont="1" applyBorder="1"/>
    <xf numFmtId="0" fontId="5" fillId="0" borderId="5" xfId="0" applyFont="1" applyBorder="1"/>
    <xf numFmtId="0" fontId="6" fillId="2" borderId="6" xfId="0" applyFont="1" applyFill="1" applyBorder="1" applyAlignment="1">
      <alignment horizontal="center"/>
    </xf>
    <xf numFmtId="0" fontId="5" fillId="2" borderId="6" xfId="0" applyFont="1" applyFill="1" applyBorder="1" applyAlignment="1">
      <alignment horizontal="center"/>
    </xf>
    <xf numFmtId="171" fontId="14" fillId="0" borderId="0" xfId="4" applyFont="1"/>
    <xf numFmtId="171" fontId="15" fillId="0" borderId="0" xfId="4" applyFont="1"/>
    <xf numFmtId="171" fontId="16" fillId="0" borderId="0" xfId="4" applyFont="1"/>
    <xf numFmtId="15" fontId="15" fillId="0" borderId="0" xfId="4" applyNumberFormat="1" applyFont="1"/>
    <xf numFmtId="10" fontId="16" fillId="0" borderId="0" xfId="4" applyNumberFormat="1" applyFont="1" applyAlignment="1">
      <alignment horizontal="center"/>
    </xf>
    <xf numFmtId="171" fontId="15" fillId="0" borderId="0" xfId="4" applyFont="1" applyAlignment="1">
      <alignment horizontal="center"/>
    </xf>
    <xf numFmtId="15" fontId="15" fillId="0" borderId="0" xfId="4" quotePrefix="1" applyNumberFormat="1" applyFont="1"/>
    <xf numFmtId="171" fontId="15" fillId="0" borderId="0" xfId="4" quotePrefix="1" applyFont="1" applyAlignment="1">
      <alignment horizontal="center"/>
    </xf>
    <xf numFmtId="171" fontId="15" fillId="0" borderId="3" xfId="4" applyFont="1" applyBorder="1" applyAlignment="1">
      <alignment horizontal="center"/>
    </xf>
    <xf numFmtId="14" fontId="15" fillId="0" borderId="3" xfId="4" quotePrefix="1" applyNumberFormat="1" applyFont="1" applyBorder="1" applyAlignment="1">
      <alignment horizontal="center"/>
    </xf>
    <xf numFmtId="14" fontId="15" fillId="0" borderId="3" xfId="4" applyNumberFormat="1" applyFont="1" applyBorder="1" applyAlignment="1">
      <alignment horizontal="center"/>
    </xf>
    <xf numFmtId="37" fontId="16" fillId="0" borderId="0" xfId="4" applyNumberFormat="1" applyFont="1"/>
    <xf numFmtId="14" fontId="15" fillId="0" borderId="0" xfId="4" applyNumberFormat="1" applyFont="1" applyAlignment="1">
      <alignment horizontal="center"/>
    </xf>
    <xf numFmtId="171" fontId="17" fillId="0" borderId="0" xfId="4" applyFont="1" applyAlignment="1">
      <alignment horizontal="center"/>
    </xf>
    <xf numFmtId="10" fontId="18" fillId="3" borderId="28" xfId="3" applyNumberFormat="1" applyFont="1" applyFill="1" applyBorder="1" applyAlignment="1">
      <alignment horizontal="center"/>
    </xf>
    <xf numFmtId="37" fontId="17" fillId="0" borderId="0" xfId="4" applyNumberFormat="1" applyFont="1" applyAlignment="1">
      <alignment horizontal="center"/>
    </xf>
    <xf numFmtId="171" fontId="15" fillId="4" borderId="4" xfId="4" applyFont="1" applyFill="1" applyBorder="1" applyAlignment="1">
      <alignment horizontal="left" indent="1"/>
    </xf>
    <xf numFmtId="37" fontId="19" fillId="3" borderId="0" xfId="4" quotePrefix="1" applyNumberFormat="1" applyFont="1" applyFill="1"/>
    <xf numFmtId="37" fontId="16" fillId="3" borderId="0" xfId="4" applyNumberFormat="1" applyFont="1" applyFill="1"/>
    <xf numFmtId="37" fontId="16" fillId="0" borderId="0" xfId="5" applyNumberFormat="1" applyFont="1">
      <alignment vertical="top"/>
    </xf>
    <xf numFmtId="37" fontId="16" fillId="0" borderId="3" xfId="4" applyNumberFormat="1" applyFont="1" applyBorder="1"/>
    <xf numFmtId="37" fontId="16" fillId="3" borderId="3" xfId="4" applyNumberFormat="1" applyFont="1" applyFill="1" applyBorder="1"/>
    <xf numFmtId="37" fontId="16" fillId="3" borderId="0" xfId="4" quotePrefix="1" applyNumberFormat="1" applyFont="1" applyFill="1"/>
    <xf numFmtId="37" fontId="19" fillId="0" borderId="3" xfId="4" applyNumberFormat="1" applyFont="1" applyBorder="1"/>
    <xf numFmtId="37" fontId="20" fillId="0" borderId="0" xfId="4" applyNumberFormat="1" applyFont="1"/>
    <xf numFmtId="37" fontId="16" fillId="3" borderId="3" xfId="4" quotePrefix="1" applyNumberFormat="1" applyFont="1" applyFill="1" applyBorder="1"/>
    <xf numFmtId="171" fontId="16" fillId="0" borderId="0" xfId="4" applyFont="1" applyAlignment="1">
      <alignment horizontal="left" indent="1"/>
    </xf>
    <xf numFmtId="37" fontId="16" fillId="0" borderId="0" xfId="5" applyNumberFormat="1" applyFont="1" applyAlignment="1">
      <alignment horizontal="right" vertical="top"/>
    </xf>
    <xf numFmtId="37" fontId="17" fillId="0" borderId="0" xfId="6" applyNumberFormat="1" applyFont="1"/>
    <xf numFmtId="171" fontId="16" fillId="0" borderId="0" xfId="6" applyFont="1"/>
    <xf numFmtId="39" fontId="16" fillId="0" borderId="0" xfId="6" applyNumberFormat="1" applyFont="1"/>
    <xf numFmtId="39" fontId="16" fillId="0" borderId="0" xfId="6" applyNumberFormat="1" applyFont="1" applyAlignment="1">
      <alignment horizontal="left"/>
    </xf>
    <xf numFmtId="0" fontId="16" fillId="0" borderId="0" xfId="6" applyNumberFormat="1" applyFont="1" applyAlignment="1">
      <alignment horizontal="left"/>
    </xf>
    <xf numFmtId="37" fontId="17" fillId="0" borderId="0" xfId="6" applyNumberFormat="1" applyFont="1" applyAlignment="1">
      <alignment horizontal="center"/>
    </xf>
    <xf numFmtId="39" fontId="16" fillId="0" borderId="0" xfId="6" applyNumberFormat="1" applyFont="1" applyAlignment="1">
      <alignment horizontal="center"/>
    </xf>
    <xf numFmtId="171" fontId="16" fillId="0" borderId="0" xfId="6" applyFont="1" applyAlignment="1">
      <alignment horizontal="center"/>
    </xf>
    <xf numFmtId="171" fontId="16" fillId="0" borderId="3" xfId="6" applyFont="1" applyBorder="1" applyAlignment="1">
      <alignment horizontal="center"/>
    </xf>
    <xf numFmtId="39" fontId="16" fillId="0" borderId="3" xfId="6" applyNumberFormat="1" applyFont="1" applyBorder="1" applyAlignment="1">
      <alignment horizontal="center"/>
    </xf>
    <xf numFmtId="171" fontId="16" fillId="0" borderId="0" xfId="7" applyNumberFormat="1" applyFont="1"/>
    <xf numFmtId="171" fontId="15" fillId="0" borderId="0" xfId="6" quotePrefix="1" applyFont="1" applyAlignment="1">
      <alignment horizontal="center"/>
    </xf>
    <xf numFmtId="39" fontId="20" fillId="0" borderId="0" xfId="6" applyNumberFormat="1" applyFont="1"/>
    <xf numFmtId="43" fontId="16" fillId="0" borderId="0" xfId="1" applyFont="1" applyFill="1" applyBorder="1"/>
    <xf numFmtId="10" fontId="16" fillId="0" borderId="0" xfId="1" applyNumberFormat="1" applyFont="1" applyFill="1" applyBorder="1"/>
    <xf numFmtId="39" fontId="16" fillId="0" borderId="0" xfId="1" applyNumberFormat="1" applyFont="1" applyFill="1" applyBorder="1"/>
    <xf numFmtId="39" fontId="16" fillId="0" borderId="0" xfId="1" applyNumberFormat="1" applyFont="1" applyFill="1"/>
    <xf numFmtId="10" fontId="20" fillId="0" borderId="0" xfId="6" applyNumberFormat="1" applyFont="1"/>
    <xf numFmtId="171" fontId="15" fillId="0" borderId="0" xfId="6" applyFont="1"/>
    <xf numFmtId="171" fontId="22" fillId="0" borderId="0" xfId="6" applyFont="1"/>
    <xf numFmtId="171" fontId="23" fillId="0" borderId="0" xfId="6" applyFont="1"/>
    <xf numFmtId="171" fontId="16" fillId="0" borderId="0" xfId="6" applyFont="1" applyAlignment="1">
      <alignment horizontal="left"/>
    </xf>
    <xf numFmtId="171" fontId="24" fillId="0" borderId="0" xfId="6" applyFont="1"/>
    <xf numFmtId="43" fontId="19" fillId="0" borderId="0" xfId="8" quotePrefix="1" applyFont="1" applyFill="1"/>
    <xf numFmtId="43" fontId="16" fillId="0" borderId="0" xfId="8" applyFont="1" applyFill="1"/>
    <xf numFmtId="10" fontId="16" fillId="0" borderId="0" xfId="9" applyNumberFormat="1" applyFont="1" applyFill="1" applyBorder="1"/>
    <xf numFmtId="39" fontId="16" fillId="0" borderId="0" xfId="8" applyNumberFormat="1" applyFont="1" applyFill="1" applyBorder="1"/>
    <xf numFmtId="39" fontId="16" fillId="0" borderId="0" xfId="7" applyNumberFormat="1" applyFont="1"/>
    <xf numFmtId="39" fontId="16" fillId="0" borderId="0" xfId="8" applyNumberFormat="1" applyFont="1" applyFill="1"/>
    <xf numFmtId="0" fontId="25" fillId="0" borderId="0" xfId="7" applyFont="1"/>
    <xf numFmtId="43" fontId="26" fillId="0" borderId="0" xfId="8" quotePrefix="1" applyFont="1" applyFill="1"/>
    <xf numFmtId="171" fontId="27" fillId="0" borderId="0" xfId="6" applyFont="1"/>
    <xf numFmtId="10" fontId="16" fillId="0" borderId="0" xfId="6" applyNumberFormat="1" applyFont="1"/>
    <xf numFmtId="39" fontId="16" fillId="0" borderId="0" xfId="1" applyNumberFormat="1" applyFont="1" applyBorder="1"/>
    <xf numFmtId="171" fontId="15" fillId="0" borderId="0" xfId="6" applyFont="1" applyAlignment="1">
      <alignment horizontal="left"/>
    </xf>
    <xf numFmtId="39" fontId="28" fillId="0" borderId="0" xfId="6" applyNumberFormat="1" applyFont="1"/>
    <xf numFmtId="39" fontId="29" fillId="0" borderId="0" xfId="0" applyNumberFormat="1" applyFont="1"/>
    <xf numFmtId="39" fontId="16" fillId="0" borderId="0" xfId="0" applyNumberFormat="1" applyFont="1"/>
    <xf numFmtId="4" fontId="16" fillId="0" borderId="0" xfId="6" applyNumberFormat="1" applyFont="1"/>
    <xf numFmtId="171" fontId="15" fillId="0" borderId="0" xfId="6" quotePrefix="1" applyFont="1"/>
    <xf numFmtId="171" fontId="25" fillId="0" borderId="0" xfId="6" applyFont="1"/>
    <xf numFmtId="39" fontId="30" fillId="0" borderId="0" xfId="6" applyNumberFormat="1" applyFont="1"/>
    <xf numFmtId="39" fontId="31" fillId="0" borderId="0" xfId="6" applyNumberFormat="1" applyFont="1"/>
    <xf numFmtId="39" fontId="16" fillId="0" borderId="0" xfId="1" applyNumberFormat="1" applyFont="1"/>
    <xf numFmtId="0" fontId="16" fillId="0" borderId="0" xfId="0" applyFont="1"/>
    <xf numFmtId="39" fontId="16" fillId="0" borderId="0" xfId="6" quotePrefix="1" applyNumberFormat="1" applyFont="1"/>
    <xf numFmtId="39" fontId="20" fillId="0" borderId="0" xfId="0" applyNumberFormat="1" applyFont="1"/>
    <xf numFmtId="0" fontId="15" fillId="0" borderId="0" xfId="0" quotePrefix="1" applyFont="1" applyAlignment="1">
      <alignment horizontal="center"/>
    </xf>
    <xf numFmtId="9" fontId="5" fillId="0" borderId="0" xfId="3" applyFont="1" applyBorder="1"/>
    <xf numFmtId="5" fontId="5" fillId="0" borderId="0" xfId="0" applyNumberFormat="1" applyFont="1"/>
    <xf numFmtId="44" fontId="5" fillId="0" borderId="0" xfId="0" applyNumberFormat="1" applyFont="1"/>
    <xf numFmtId="0" fontId="6" fillId="0" borderId="0" xfId="0" quotePrefix="1" applyFont="1"/>
    <xf numFmtId="0" fontId="5" fillId="0" borderId="29" xfId="0" applyFont="1" applyBorder="1"/>
    <xf numFmtId="0" fontId="6" fillId="0" borderId="0" xfId="0" quotePrefix="1" applyFont="1" applyAlignment="1">
      <alignment horizontal="center"/>
    </xf>
    <xf numFmtId="0" fontId="6" fillId="0" borderId="23" xfId="0" quotePrefix="1" applyFont="1" applyBorder="1" applyAlignment="1">
      <alignment horizontal="center"/>
    </xf>
    <xf numFmtId="172" fontId="5" fillId="0" borderId="0" xfId="10" applyFont="1"/>
    <xf numFmtId="0" fontId="5" fillId="0" borderId="26" xfId="0" applyFont="1" applyBorder="1" applyAlignment="1">
      <alignment horizontal="center"/>
    </xf>
    <xf numFmtId="0" fontId="5" fillId="0" borderId="24" xfId="0" applyFont="1" applyBorder="1" applyAlignment="1">
      <alignment horizontal="center"/>
    </xf>
    <xf numFmtId="172" fontId="10" fillId="0" borderId="0" xfId="10" applyFont="1"/>
    <xf numFmtId="172" fontId="4" fillId="0" borderId="0" xfId="10" applyFont="1"/>
    <xf numFmtId="172" fontId="33" fillId="0" borderId="0" xfId="10" applyFont="1"/>
    <xf numFmtId="173" fontId="5" fillId="0" borderId="0" xfId="2" applyNumberFormat="1" applyFont="1" applyFill="1" applyBorder="1" applyAlignment="1"/>
    <xf numFmtId="5" fontId="5" fillId="0" borderId="0" xfId="10" applyNumberFormat="1" applyFont="1"/>
    <xf numFmtId="5" fontId="5" fillId="0" borderId="24" xfId="10" applyNumberFormat="1" applyFont="1" applyBorder="1"/>
    <xf numFmtId="172" fontId="5" fillId="0" borderId="0" xfId="0" applyNumberFormat="1" applyFont="1" applyAlignment="1">
      <alignment horizontal="center"/>
    </xf>
    <xf numFmtId="5" fontId="5" fillId="0" borderId="24" xfId="0" applyNumberFormat="1" applyFont="1" applyBorder="1"/>
    <xf numFmtId="5" fontId="6" fillId="0" borderId="0" xfId="0" applyNumberFormat="1" applyFont="1"/>
    <xf numFmtId="172" fontId="3" fillId="0" borderId="0" xfId="10" applyFont="1"/>
    <xf numFmtId="5" fontId="9" fillId="0" borderId="0" xfId="10" applyNumberFormat="1" applyFont="1"/>
    <xf numFmtId="172" fontId="4" fillId="0" borderId="30" xfId="10" applyFont="1" applyBorder="1"/>
    <xf numFmtId="172" fontId="5" fillId="0" borderId="30" xfId="10" applyFont="1" applyBorder="1"/>
    <xf numFmtId="5" fontId="5" fillId="0" borderId="30" xfId="10" applyNumberFormat="1" applyFont="1" applyBorder="1"/>
    <xf numFmtId="5" fontId="5" fillId="0" borderId="31" xfId="10" applyNumberFormat="1" applyFont="1" applyBorder="1"/>
    <xf numFmtId="174" fontId="5" fillId="0" borderId="0" xfId="10" applyNumberFormat="1" applyFont="1"/>
    <xf numFmtId="37" fontId="5" fillId="0" borderId="24" xfId="0" applyNumberFormat="1" applyFont="1" applyBorder="1"/>
    <xf numFmtId="37" fontId="5" fillId="0" borderId="24" xfId="10" applyNumberFormat="1" applyFont="1" applyBorder="1"/>
    <xf numFmtId="37" fontId="5" fillId="0" borderId="0" xfId="10" applyNumberFormat="1" applyFont="1"/>
    <xf numFmtId="172" fontId="5" fillId="0" borderId="3" xfId="10" applyFont="1" applyBorder="1"/>
    <xf numFmtId="37" fontId="5" fillId="0" borderId="3" xfId="10" applyNumberFormat="1" applyFont="1" applyBorder="1"/>
    <xf numFmtId="37" fontId="5" fillId="0" borderId="26" xfId="10" applyNumberFormat="1" applyFont="1" applyBorder="1"/>
    <xf numFmtId="169" fontId="5" fillId="0" borderId="0" xfId="1" applyNumberFormat="1" applyFont="1" applyBorder="1" applyAlignment="1"/>
    <xf numFmtId="175" fontId="5" fillId="0" borderId="0" xfId="10" applyNumberFormat="1" applyFont="1"/>
    <xf numFmtId="167" fontId="5" fillId="0" borderId="0" xfId="3" applyNumberFormat="1" applyFont="1" applyBorder="1" applyAlignment="1"/>
    <xf numFmtId="167" fontId="5" fillId="0" borderId="24" xfId="3" applyNumberFormat="1" applyFont="1" applyFill="1" applyBorder="1" applyAlignment="1"/>
    <xf numFmtId="172" fontId="5" fillId="0" borderId="32" xfId="10" applyFont="1" applyBorder="1"/>
    <xf numFmtId="37" fontId="5" fillId="0" borderId="32" xfId="10" applyNumberFormat="1" applyFont="1" applyBorder="1"/>
    <xf numFmtId="37" fontId="5" fillId="0" borderId="33" xfId="10" applyNumberFormat="1" applyFont="1" applyBorder="1"/>
    <xf numFmtId="172" fontId="5" fillId="0" borderId="1" xfId="10" applyFont="1" applyBorder="1"/>
    <xf numFmtId="37" fontId="5" fillId="0" borderId="1" xfId="10" applyNumberFormat="1" applyFont="1" applyBorder="1"/>
    <xf numFmtId="37" fontId="3" fillId="0" borderId="34" xfId="10" applyNumberFormat="1" applyFont="1" applyBorder="1"/>
    <xf numFmtId="37" fontId="9" fillId="0" borderId="0" xfId="10" applyNumberFormat="1" applyFont="1"/>
    <xf numFmtId="169" fontId="5" fillId="0" borderId="0" xfId="1" applyNumberFormat="1" applyFont="1" applyBorder="1" applyAlignment="1" applyProtection="1">
      <alignment horizontal="center"/>
    </xf>
    <xf numFmtId="169" fontId="19" fillId="0" borderId="0" xfId="1" applyNumberFormat="1" applyFont="1"/>
    <xf numFmtId="172" fontId="5" fillId="0" borderId="2" xfId="10" applyFont="1" applyBorder="1"/>
    <xf numFmtId="37" fontId="5" fillId="0" borderId="2" xfId="10" applyNumberFormat="1" applyFont="1" applyBorder="1"/>
    <xf numFmtId="37" fontId="5" fillId="0" borderId="35" xfId="10" applyNumberFormat="1" applyFont="1" applyBorder="1"/>
    <xf numFmtId="172" fontId="4" fillId="5" borderId="36" xfId="10" applyFont="1" applyFill="1" applyBorder="1"/>
    <xf numFmtId="167" fontId="6" fillId="5" borderId="37" xfId="10" applyNumberFormat="1" applyFont="1" applyFill="1" applyBorder="1"/>
    <xf numFmtId="176" fontId="5" fillId="0" borderId="0" xfId="10" applyNumberFormat="1" applyFont="1"/>
    <xf numFmtId="176" fontId="5" fillId="0" borderId="24" xfId="10" applyNumberFormat="1" applyFont="1" applyBorder="1"/>
    <xf numFmtId="167" fontId="6" fillId="0" borderId="0" xfId="10" applyNumberFormat="1" applyFont="1"/>
    <xf numFmtId="0" fontId="5" fillId="0" borderId="2" xfId="0" applyFont="1" applyBorder="1"/>
    <xf numFmtId="167" fontId="6" fillId="0" borderId="2" xfId="10" applyNumberFormat="1" applyFont="1" applyBorder="1"/>
    <xf numFmtId="5" fontId="5" fillId="0" borderId="2" xfId="10" applyNumberFormat="1" applyFont="1" applyBorder="1"/>
    <xf numFmtId="5" fontId="5" fillId="0" borderId="35" xfId="10" applyNumberFormat="1" applyFont="1" applyBorder="1"/>
    <xf numFmtId="0" fontId="5" fillId="0" borderId="24" xfId="0" applyFont="1" applyBorder="1"/>
    <xf numFmtId="0" fontId="4" fillId="0" borderId="32" xfId="0" applyFont="1" applyBorder="1"/>
    <xf numFmtId="0" fontId="5" fillId="0" borderId="32" xfId="0" applyFont="1" applyBorder="1"/>
    <xf numFmtId="176" fontId="5" fillId="0" borderId="32" xfId="10" applyNumberFormat="1" applyFont="1" applyBorder="1"/>
    <xf numFmtId="176" fontId="5" fillId="0" borderId="33" xfId="10" applyNumberFormat="1" applyFont="1" applyBorder="1"/>
    <xf numFmtId="174" fontId="5" fillId="0" borderId="0" xfId="10" applyNumberFormat="1" applyFont="1" applyAlignment="1">
      <alignment horizontal="left"/>
    </xf>
    <xf numFmtId="5" fontId="5" fillId="0" borderId="0" xfId="0" applyNumberFormat="1" applyFont="1" applyAlignment="1">
      <alignment horizontal="right"/>
    </xf>
    <xf numFmtId="0" fontId="9" fillId="0" borderId="0" xfId="0" applyFont="1"/>
    <xf numFmtId="0" fontId="2" fillId="0" borderId="0" xfId="0" applyFont="1"/>
    <xf numFmtId="0" fontId="5" fillId="0" borderId="0" xfId="0" quotePrefix="1" applyFont="1" applyAlignment="1">
      <alignment horizontal="center"/>
    </xf>
    <xf numFmtId="172" fontId="4" fillId="0" borderId="0" xfId="0" applyNumberFormat="1" applyFont="1" applyAlignment="1">
      <alignment horizontal="center"/>
    </xf>
    <xf numFmtId="169" fontId="9" fillId="0" borderId="0" xfId="1" applyNumberFormat="1" applyFont="1" applyFill="1" applyBorder="1" applyAlignment="1"/>
    <xf numFmtId="10" fontId="5" fillId="0" borderId="0" xfId="3" applyNumberFormat="1" applyFont="1" applyBorder="1" applyAlignment="1" applyProtection="1"/>
    <xf numFmtId="37" fontId="9" fillId="0" borderId="0" xfId="0" applyNumberFormat="1" applyFont="1"/>
    <xf numFmtId="174" fontId="6" fillId="0" borderId="0" xfId="10" applyNumberFormat="1" applyFont="1"/>
    <xf numFmtId="37" fontId="6" fillId="0" borderId="0" xfId="10" applyNumberFormat="1" applyFont="1"/>
    <xf numFmtId="176" fontId="6" fillId="0" borderId="0" xfId="10" applyNumberFormat="1" applyFont="1"/>
    <xf numFmtId="169" fontId="5" fillId="0" borderId="0" xfId="1" applyNumberFormat="1" applyFont="1" applyFill="1" applyBorder="1"/>
    <xf numFmtId="169" fontId="5" fillId="0" borderId="0" xfId="1" applyNumberFormat="1" applyFont="1" applyFill="1" applyBorder="1" applyAlignment="1"/>
    <xf numFmtId="37" fontId="4" fillId="0" borderId="0" xfId="0" applyNumberFormat="1" applyFont="1"/>
    <xf numFmtId="10" fontId="5" fillId="0" borderId="0" xfId="3" applyNumberFormat="1" applyFont="1" applyBorder="1" applyAlignment="1"/>
    <xf numFmtId="0" fontId="35" fillId="0" borderId="0" xfId="0" applyFont="1"/>
    <xf numFmtId="10" fontId="5" fillId="0" borderId="0" xfId="0" applyNumberFormat="1" applyFont="1"/>
    <xf numFmtId="10" fontId="5" fillId="0" borderId="0" xfId="3" applyNumberFormat="1" applyFont="1" applyFill="1" applyBorder="1"/>
    <xf numFmtId="10" fontId="5" fillId="0" borderId="0" xfId="3" applyNumberFormat="1" applyFont="1" applyBorder="1"/>
    <xf numFmtId="0" fontId="34" fillId="0" borderId="0" xfId="0" applyFont="1" applyAlignment="1">
      <alignment horizontal="center"/>
    </xf>
    <xf numFmtId="177" fontId="9" fillId="0" borderId="0" xfId="0" applyNumberFormat="1" applyFont="1"/>
    <xf numFmtId="5" fontId="5" fillId="0" borderId="3" xfId="0" applyNumberFormat="1" applyFont="1" applyBorder="1"/>
    <xf numFmtId="167" fontId="5" fillId="0" borderId="0" xfId="0" applyNumberFormat="1" applyFont="1" applyAlignment="1">
      <alignment horizontal="center"/>
    </xf>
    <xf numFmtId="0" fontId="5" fillId="0" borderId="0" xfId="0" applyFont="1" applyAlignment="1">
      <alignment horizontal="right"/>
    </xf>
    <xf numFmtId="178" fontId="5" fillId="0" borderId="0" xfId="0" applyNumberFormat="1" applyFont="1" applyAlignment="1">
      <alignment horizontal="center"/>
    </xf>
    <xf numFmtId="0" fontId="36" fillId="0" borderId="0" xfId="0" applyFont="1" applyFill="1"/>
    <xf numFmtId="0" fontId="16" fillId="0" borderId="0" xfId="0" applyFont="1" applyFill="1"/>
    <xf numFmtId="0" fontId="37" fillId="0" borderId="0" xfId="0" applyFont="1" applyFill="1"/>
    <xf numFmtId="0" fontId="16" fillId="0" borderId="0" xfId="0" applyFont="1" applyFill="1" applyAlignment="1">
      <alignment horizontal="center"/>
    </xf>
    <xf numFmtId="0" fontId="23" fillId="0" borderId="0" xfId="0" applyFont="1" applyFill="1" applyAlignment="1">
      <alignment horizontal="center"/>
    </xf>
    <xf numFmtId="0" fontId="23" fillId="0" borderId="0" xfId="0" applyFont="1" applyFill="1"/>
    <xf numFmtId="0" fontId="17" fillId="0" borderId="0" xfId="0" applyFont="1" applyFill="1"/>
    <xf numFmtId="5" fontId="16" fillId="0" borderId="0" xfId="0" applyNumberFormat="1" applyFont="1" applyFill="1"/>
    <xf numFmtId="37" fontId="16" fillId="0" borderId="0" xfId="0" applyNumberFormat="1" applyFont="1" applyFill="1"/>
    <xf numFmtId="37" fontId="20" fillId="0" borderId="0" xfId="0" applyNumberFormat="1" applyFont="1" applyFill="1"/>
    <xf numFmtId="37" fontId="16" fillId="0" borderId="3" xfId="0" applyNumberFormat="1" applyFont="1" applyFill="1" applyBorder="1"/>
    <xf numFmtId="37" fontId="20" fillId="0" borderId="3" xfId="0" applyNumberFormat="1" applyFont="1" applyFill="1" applyBorder="1"/>
    <xf numFmtId="0" fontId="15" fillId="0" borderId="0" xfId="0" applyFont="1" applyFill="1" applyAlignment="1">
      <alignment horizontal="left" indent="2"/>
    </xf>
    <xf numFmtId="0" fontId="15" fillId="0" borderId="0" xfId="0" applyFont="1" applyFill="1"/>
    <xf numFmtId="5" fontId="15" fillId="0" borderId="32" xfId="0" applyNumberFormat="1" applyFont="1" applyFill="1" applyBorder="1"/>
    <xf numFmtId="0" fontId="15" fillId="0" borderId="0" xfId="0" quotePrefix="1" applyFont="1" applyFill="1"/>
    <xf numFmtId="0" fontId="16" fillId="0" borderId="0" xfId="0" quotePrefix="1" applyFont="1" applyFill="1"/>
    <xf numFmtId="5" fontId="15" fillId="0" borderId="0" xfId="2" applyNumberFormat="1" applyFont="1" applyFill="1"/>
    <xf numFmtId="37" fontId="15" fillId="0" borderId="0" xfId="0" applyNumberFormat="1" applyFont="1" applyFill="1"/>
    <xf numFmtId="10" fontId="15" fillId="0" borderId="0" xfId="9" applyNumberFormat="1" applyFont="1" applyFill="1"/>
    <xf numFmtId="0" fontId="16" fillId="0" borderId="0" xfId="0" applyFont="1" applyFill="1" applyBorder="1"/>
    <xf numFmtId="0" fontId="23" fillId="0" borderId="0" xfId="0" applyFont="1" applyFill="1" applyBorder="1" applyAlignment="1">
      <alignment horizontal="center"/>
    </xf>
    <xf numFmtId="5" fontId="20" fillId="0" borderId="0" xfId="0" applyNumberFormat="1" applyFont="1" applyFill="1" applyBorder="1"/>
    <xf numFmtId="37" fontId="20" fillId="0" borderId="0" xfId="0" applyNumberFormat="1" applyFont="1" applyFill="1" applyBorder="1"/>
    <xf numFmtId="37" fontId="16" fillId="0" borderId="0" xfId="0" applyNumberFormat="1" applyFont="1" applyFill="1" applyBorder="1"/>
    <xf numFmtId="5" fontId="15" fillId="0" borderId="0" xfId="0" applyNumberFormat="1" applyFont="1" applyFill="1" applyBorder="1"/>
    <xf numFmtId="5" fontId="15" fillId="0" borderId="0" xfId="2" applyNumberFormat="1" applyFont="1" applyFill="1" applyBorder="1"/>
    <xf numFmtId="37" fontId="15" fillId="0" borderId="0" xfId="0" applyNumberFormat="1" applyFont="1" applyFill="1" applyBorder="1"/>
    <xf numFmtId="10" fontId="15" fillId="0" borderId="0" xfId="9" applyNumberFormat="1" applyFont="1" applyFill="1" applyBorder="1"/>
    <xf numFmtId="0" fontId="0" fillId="0" borderId="0" xfId="0" applyFill="1" applyBorder="1"/>
    <xf numFmtId="37" fontId="4" fillId="0" borderId="0" xfId="0" applyNumberFormat="1" applyFont="1" applyAlignment="1">
      <alignment horizontal="left" wrapText="1"/>
    </xf>
    <xf numFmtId="0" fontId="5" fillId="0" borderId="0" xfId="0" applyFont="1" applyAlignment="1">
      <alignment wrapText="1"/>
    </xf>
    <xf numFmtId="0" fontId="4" fillId="0" borderId="0" xfId="0" applyFont="1" applyAlignment="1">
      <alignment wrapText="1"/>
    </xf>
    <xf numFmtId="0" fontId="4" fillId="0" borderId="0" xfId="0" applyFont="1" applyAlignment="1">
      <alignment horizontal="center"/>
    </xf>
    <xf numFmtId="37" fontId="5" fillId="0" borderId="0" xfId="0" applyNumberFormat="1" applyFont="1" applyAlignment="1">
      <alignment horizontal="center"/>
    </xf>
    <xf numFmtId="0" fontId="5" fillId="0" borderId="0" xfId="0" applyFont="1" applyAlignment="1">
      <alignment horizontal="center"/>
    </xf>
  </cellXfs>
  <cellStyles count="13">
    <cellStyle name="Comma" xfId="1" builtinId="3"/>
    <cellStyle name="Comma 10 2" xfId="8" xr:uid="{E5E32E3D-83CE-4212-918E-C73F55D49EE9}"/>
    <cellStyle name="Currency" xfId="2" builtinId="4"/>
    <cellStyle name="Normal" xfId="0" builtinId="0"/>
    <cellStyle name="Normal 32" xfId="11" xr:uid="{552B5B03-D7B7-4B5B-9C5B-1447B1DCB627}"/>
    <cellStyle name="Normal 33" xfId="12" xr:uid="{58EE2F40-09BA-4605-B47C-930E8001456E}"/>
    <cellStyle name="Normal_2007-08 Flowing dispatch" xfId="10" xr:uid="{9FF0BC81-368E-4E8D-9C60-7CF650187991}"/>
    <cellStyle name="Normal_4th quarter corrections with staff expanded" xfId="6" xr:uid="{64C70AA6-8C99-4BC7-89F9-5338FDF986CE}"/>
    <cellStyle name="Normal_4th quarter corrections with staff expanded 2 3" xfId="7" xr:uid="{8CD0DAEC-8AA6-4A24-9D83-F5A10ADD04F6}"/>
    <cellStyle name="Normal_Deferred Accounts Summary 02qtr06" xfId="4" xr:uid="{E11F9325-0C9C-445D-83DB-49158F65BBC8}"/>
    <cellStyle name="Normal_oregon technical incr for August 2002 filing" xfId="5" xr:uid="{722936A9-0D8C-4753-8894-D6E45AFEF29F}"/>
    <cellStyle name="Percent" xfId="3" builtinId="5"/>
    <cellStyle name="Percent 3" xfId="9" xr:uid="{04967C3B-A99E-48AA-8FB8-C8DE527A2420}"/>
  </cellStyles>
  <dxfs count="8">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22/3_Rate%20Development/NWN%202022-23%20PGA%20WA%20Rate%20Development_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22/2_Gas%20Cost%20Development/NWN%202022-23%20PGA%20Gas%20Cost%20Development_September%20Filing_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_Affairs/PGA%20-%20WASHINGTON/2022/3_Rate%20Development/NWN%202022-23%20PGA%20Summary%20Effects%20September%20filing_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llocation equal ¢ per therm"/>
      <sheetName val="Allocation = % of margin"/>
      <sheetName val="Temporaries"/>
      <sheetName val="Permanents"/>
      <sheetName val="Avg Bill by RS"/>
      <sheetName val="Rates in summary"/>
      <sheetName val="Rates in detail"/>
      <sheetName val="Margin Model"/>
      <sheetName val="Amortization"/>
      <sheetName val="Margin Model + UG200994"/>
      <sheetName val="F Goldenrod"/>
      <sheetName val="F Goldenrod+Rate Case"/>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4.3568999999999997E-2</v>
          </cell>
        </row>
        <row r="36">
          <cell r="B36">
            <v>10556330</v>
          </cell>
          <cell r="C36" t="str">
            <v>WACOG Deferral</v>
          </cell>
        </row>
        <row r="38">
          <cell r="B38">
            <v>-641351</v>
          </cell>
          <cell r="C38" t="str">
            <v>Demand Deferral - FIRM</v>
          </cell>
        </row>
        <row r="40">
          <cell r="B40">
            <v>-9304</v>
          </cell>
          <cell r="C40" t="str">
            <v>Demand Deferral - INTERRUPTIBLE</v>
          </cell>
        </row>
      </sheetData>
      <sheetData sheetId="2">
        <row r="1">
          <cell r="A1" t="str">
            <v>NW Natural</v>
          </cell>
        </row>
        <row r="2">
          <cell r="A2" t="str">
            <v>Rates &amp; Regulatory Affairs</v>
          </cell>
        </row>
        <row r="3">
          <cell r="A3" t="str">
            <v>2022-2023 PGA Filing - Washington: September Filing</v>
          </cell>
        </row>
        <row r="13">
          <cell r="J13">
            <v>271947.40000000002</v>
          </cell>
          <cell r="M13">
            <v>16</v>
          </cell>
        </row>
        <row r="14">
          <cell r="J14">
            <v>26595.599999999999</v>
          </cell>
          <cell r="M14">
            <v>58</v>
          </cell>
        </row>
        <row r="15">
          <cell r="J15">
            <v>59339066.200000003</v>
          </cell>
          <cell r="M15">
            <v>57</v>
          </cell>
        </row>
        <row r="16">
          <cell r="J16">
            <v>18510467.399999999</v>
          </cell>
          <cell r="M16">
            <v>242</v>
          </cell>
        </row>
        <row r="17">
          <cell r="J17">
            <v>468493</v>
          </cell>
          <cell r="M17">
            <v>2297</v>
          </cell>
        </row>
        <row r="18">
          <cell r="J18">
            <v>220539.3</v>
          </cell>
          <cell r="M18">
            <v>47</v>
          </cell>
        </row>
        <row r="19">
          <cell r="J19">
            <v>1710730.7</v>
          </cell>
          <cell r="M19">
            <v>3550</v>
          </cell>
        </row>
        <row r="20">
          <cell r="J20">
            <v>2037786.1</v>
          </cell>
        </row>
        <row r="21">
          <cell r="J21">
            <v>1054</v>
          </cell>
          <cell r="M21">
            <v>4</v>
          </cell>
        </row>
        <row r="22">
          <cell r="J22">
            <v>0</v>
          </cell>
        </row>
        <row r="23">
          <cell r="J23">
            <v>0</v>
          </cell>
          <cell r="M23">
            <v>0</v>
          </cell>
        </row>
        <row r="24">
          <cell r="J24">
            <v>0</v>
          </cell>
        </row>
        <row r="25">
          <cell r="J25">
            <v>0</v>
          </cell>
          <cell r="M25">
            <v>0</v>
          </cell>
        </row>
        <row r="26">
          <cell r="J26">
            <v>0</v>
          </cell>
        </row>
        <row r="27">
          <cell r="J27">
            <v>163493</v>
          </cell>
          <cell r="M27">
            <v>4629</v>
          </cell>
        </row>
        <row r="28">
          <cell r="J28">
            <v>280928</v>
          </cell>
        </row>
        <row r="29">
          <cell r="J29">
            <v>0</v>
          </cell>
          <cell r="M29">
            <v>0</v>
          </cell>
        </row>
        <row r="30">
          <cell r="J30">
            <v>0</v>
          </cell>
        </row>
        <row r="31">
          <cell r="J31">
            <v>672391.7</v>
          </cell>
          <cell r="M31">
            <v>18979</v>
          </cell>
        </row>
        <row r="32">
          <cell r="J32">
            <v>721397.8</v>
          </cell>
        </row>
        <row r="33">
          <cell r="J33">
            <v>191980.4</v>
          </cell>
        </row>
        <row r="34">
          <cell r="J34">
            <v>8502.1</v>
          </cell>
        </row>
        <row r="35">
          <cell r="J35">
            <v>0</v>
          </cell>
        </row>
        <row r="36">
          <cell r="J36">
            <v>0</v>
          </cell>
        </row>
        <row r="37">
          <cell r="J37">
            <v>1685063</v>
          </cell>
          <cell r="M37">
            <v>26013</v>
          </cell>
        </row>
        <row r="38">
          <cell r="J38">
            <v>1177850</v>
          </cell>
        </row>
        <row r="39">
          <cell r="J39">
            <v>242671</v>
          </cell>
        </row>
        <row r="40">
          <cell r="J40">
            <v>15978</v>
          </cell>
        </row>
        <row r="41">
          <cell r="J41">
            <v>0</v>
          </cell>
        </row>
        <row r="42">
          <cell r="J42">
            <v>0</v>
          </cell>
        </row>
        <row r="43">
          <cell r="J43">
            <v>240000</v>
          </cell>
          <cell r="M43">
            <v>74536</v>
          </cell>
        </row>
        <row r="44">
          <cell r="J44">
            <v>480000</v>
          </cell>
        </row>
        <row r="45">
          <cell r="J45">
            <v>463625</v>
          </cell>
        </row>
        <row r="46">
          <cell r="J46">
            <v>605238</v>
          </cell>
        </row>
        <row r="47">
          <cell r="J47">
            <v>0</v>
          </cell>
        </row>
        <row r="48">
          <cell r="J48">
            <v>0</v>
          </cell>
        </row>
        <row r="49">
          <cell r="J49">
            <v>831868</v>
          </cell>
          <cell r="M49">
            <v>69138</v>
          </cell>
        </row>
        <row r="50">
          <cell r="J50">
            <v>1048771</v>
          </cell>
        </row>
        <row r="51">
          <cell r="J51">
            <v>923544</v>
          </cell>
        </row>
        <row r="52">
          <cell r="J52">
            <v>2446349</v>
          </cell>
        </row>
        <row r="53">
          <cell r="J53">
            <v>1386714</v>
          </cell>
        </row>
        <row r="54">
          <cell r="J54">
            <v>0</v>
          </cell>
        </row>
        <row r="55">
          <cell r="J55">
            <v>235603</v>
          </cell>
          <cell r="M55">
            <v>25874</v>
          </cell>
        </row>
        <row r="56">
          <cell r="J56">
            <v>440807</v>
          </cell>
        </row>
        <row r="57">
          <cell r="J57">
            <v>191593</v>
          </cell>
        </row>
        <row r="58">
          <cell r="J58">
            <v>63452</v>
          </cell>
        </row>
        <row r="59">
          <cell r="J59">
            <v>0</v>
          </cell>
        </row>
        <row r="60">
          <cell r="J60">
            <v>0</v>
          </cell>
        </row>
        <row r="61">
          <cell r="J61">
            <v>138034</v>
          </cell>
          <cell r="M61">
            <v>19743</v>
          </cell>
        </row>
        <row r="62">
          <cell r="J62">
            <v>98885</v>
          </cell>
        </row>
        <row r="63">
          <cell r="J63">
            <v>0</v>
          </cell>
        </row>
        <row r="64">
          <cell r="J64">
            <v>0</v>
          </cell>
        </row>
        <row r="65">
          <cell r="J65">
            <v>0</v>
          </cell>
        </row>
        <row r="66">
          <cell r="J66">
            <v>0</v>
          </cell>
        </row>
        <row r="67">
          <cell r="J67">
            <v>0</v>
          </cell>
          <cell r="M67">
            <v>0</v>
          </cell>
        </row>
        <row r="68">
          <cell r="J68">
            <v>0</v>
          </cell>
        </row>
        <row r="69">
          <cell r="J69">
            <v>0</v>
          </cell>
        </row>
        <row r="70">
          <cell r="J70">
            <v>0</v>
          </cell>
        </row>
        <row r="71">
          <cell r="J71">
            <v>0</v>
          </cell>
        </row>
        <row r="72">
          <cell r="J72">
            <v>0</v>
          </cell>
        </row>
        <row r="73">
          <cell r="J73">
            <v>762322</v>
          </cell>
        </row>
        <row r="74">
          <cell r="J74">
            <v>1416561</v>
          </cell>
        </row>
        <row r="75">
          <cell r="J75">
            <v>1182116</v>
          </cell>
        </row>
        <row r="76">
          <cell r="J76">
            <v>3080777</v>
          </cell>
        </row>
        <row r="77">
          <cell r="J77">
            <v>1407909</v>
          </cell>
        </row>
        <row r="78">
          <cell r="J78">
            <v>0</v>
          </cell>
        </row>
        <row r="79">
          <cell r="J79">
            <v>0</v>
          </cell>
          <cell r="M79">
            <v>0</v>
          </cell>
        </row>
        <row r="80">
          <cell r="J80">
            <v>0</v>
          </cell>
          <cell r="M80">
            <v>0</v>
          </cell>
        </row>
        <row r="82">
          <cell r="J82">
            <v>105191102.69999999</v>
          </cell>
        </row>
      </sheetData>
      <sheetData sheetId="3">
        <row r="10">
          <cell r="F10">
            <v>11037210</v>
          </cell>
          <cell r="I10">
            <v>-670567</v>
          </cell>
          <cell r="L10">
            <v>-9728</v>
          </cell>
        </row>
        <row r="13">
          <cell r="H13">
            <v>0.12476</v>
          </cell>
          <cell r="K13">
            <v>-7.6800000000000002E-3</v>
          </cell>
          <cell r="N13">
            <v>0</v>
          </cell>
        </row>
        <row r="14">
          <cell r="H14">
            <v>0.12476</v>
          </cell>
          <cell r="K14">
            <v>-7.6800000000000002E-3</v>
          </cell>
          <cell r="N14">
            <v>0</v>
          </cell>
        </row>
        <row r="15">
          <cell r="H15">
            <v>0.12476</v>
          </cell>
          <cell r="K15">
            <v>-7.6800000000000002E-3</v>
          </cell>
          <cell r="N15">
            <v>0</v>
          </cell>
        </row>
        <row r="16">
          <cell r="H16">
            <v>0.12476</v>
          </cell>
          <cell r="K16">
            <v>-7.6800000000000002E-3</v>
          </cell>
          <cell r="N16">
            <v>0</v>
          </cell>
        </row>
        <row r="17">
          <cell r="H17">
            <v>0.12476</v>
          </cell>
          <cell r="K17">
            <v>-7.6800000000000002E-3</v>
          </cell>
          <cell r="N17">
            <v>0</v>
          </cell>
        </row>
        <row r="18">
          <cell r="H18">
            <v>0.12476</v>
          </cell>
          <cell r="K18">
            <v>-7.6800000000000002E-3</v>
          </cell>
          <cell r="N18">
            <v>0</v>
          </cell>
        </row>
        <row r="19">
          <cell r="H19">
            <v>0.12476</v>
          </cell>
          <cell r="K19">
            <v>-7.6800000000000002E-3</v>
          </cell>
          <cell r="N19">
            <v>0</v>
          </cell>
        </row>
        <row r="20">
          <cell r="H20">
            <v>0.12476</v>
          </cell>
          <cell r="K20">
            <v>-7.6800000000000002E-3</v>
          </cell>
          <cell r="N20">
            <v>0</v>
          </cell>
        </row>
        <row r="21">
          <cell r="H21">
            <v>0.12476</v>
          </cell>
          <cell r="K21">
            <v>0</v>
          </cell>
          <cell r="N21">
            <v>-8.3300000000000006E-3</v>
          </cell>
        </row>
        <row r="22">
          <cell r="H22">
            <v>0.12476</v>
          </cell>
          <cell r="K22">
            <v>0</v>
          </cell>
          <cell r="N22">
            <v>-8.3300000000000006E-3</v>
          </cell>
        </row>
        <row r="23">
          <cell r="H23">
            <v>0</v>
          </cell>
          <cell r="K23">
            <v>0</v>
          </cell>
          <cell r="N23">
            <v>0</v>
          </cell>
        </row>
        <row r="24">
          <cell r="H24">
            <v>0</v>
          </cell>
          <cell r="K24">
            <v>0</v>
          </cell>
          <cell r="N24">
            <v>0</v>
          </cell>
        </row>
        <row r="25">
          <cell r="H25">
            <v>0</v>
          </cell>
          <cell r="K25">
            <v>0</v>
          </cell>
          <cell r="N25">
            <v>0</v>
          </cell>
        </row>
        <row r="26">
          <cell r="H26">
            <v>0</v>
          </cell>
          <cell r="K26">
            <v>0</v>
          </cell>
          <cell r="N26">
            <v>0</v>
          </cell>
        </row>
        <row r="27">
          <cell r="H27">
            <v>0.12476</v>
          </cell>
          <cell r="K27">
            <v>-7.6800000000000002E-3</v>
          </cell>
          <cell r="N27">
            <v>0</v>
          </cell>
        </row>
        <row r="28">
          <cell r="H28">
            <v>0.12476</v>
          </cell>
          <cell r="K28">
            <v>-7.6800000000000002E-3</v>
          </cell>
          <cell r="N28">
            <v>0</v>
          </cell>
        </row>
        <row r="29">
          <cell r="H29">
            <v>0.12476</v>
          </cell>
          <cell r="K29">
            <v>0</v>
          </cell>
          <cell r="N29">
            <v>-8.3300000000000006E-3</v>
          </cell>
        </row>
        <row r="30">
          <cell r="H30">
            <v>0.12476</v>
          </cell>
          <cell r="K30">
            <v>0</v>
          </cell>
          <cell r="N30">
            <v>-8.3300000000000006E-3</v>
          </cell>
        </row>
        <row r="31">
          <cell r="H31">
            <v>0.12476</v>
          </cell>
          <cell r="K31">
            <v>-7.6800000000000002E-3</v>
          </cell>
          <cell r="N31">
            <v>0</v>
          </cell>
        </row>
        <row r="32">
          <cell r="H32">
            <v>0.12476</v>
          </cell>
          <cell r="K32">
            <v>-7.6800000000000002E-3</v>
          </cell>
          <cell r="N32">
            <v>0</v>
          </cell>
        </row>
        <row r="33">
          <cell r="H33">
            <v>0.12476</v>
          </cell>
          <cell r="K33">
            <v>-7.6800000000000002E-3</v>
          </cell>
          <cell r="N33">
            <v>0</v>
          </cell>
        </row>
        <row r="34">
          <cell r="H34">
            <v>0.12476</v>
          </cell>
          <cell r="K34">
            <v>-7.6800000000000002E-3</v>
          </cell>
          <cell r="N34">
            <v>0</v>
          </cell>
        </row>
        <row r="35">
          <cell r="H35">
            <v>0.12476</v>
          </cell>
          <cell r="K35">
            <v>-7.6800000000000002E-3</v>
          </cell>
          <cell r="N35">
            <v>0</v>
          </cell>
        </row>
        <row r="36">
          <cell r="H36">
            <v>0.12476</v>
          </cell>
          <cell r="K36">
            <v>-7.6800000000000002E-3</v>
          </cell>
          <cell r="N36">
            <v>0</v>
          </cell>
        </row>
        <row r="37">
          <cell r="H37">
            <v>0.12476</v>
          </cell>
          <cell r="K37">
            <v>-7.6800000000000002E-3</v>
          </cell>
          <cell r="N37">
            <v>0</v>
          </cell>
        </row>
        <row r="38">
          <cell r="H38">
            <v>0.12476</v>
          </cell>
          <cell r="K38">
            <v>-7.6800000000000002E-3</v>
          </cell>
          <cell r="N38">
            <v>0</v>
          </cell>
        </row>
        <row r="39">
          <cell r="H39">
            <v>0.12476</v>
          </cell>
          <cell r="K39">
            <v>-7.6800000000000002E-3</v>
          </cell>
          <cell r="N39">
            <v>0</v>
          </cell>
        </row>
        <row r="40">
          <cell r="H40">
            <v>0.12476</v>
          </cell>
          <cell r="K40">
            <v>-7.6800000000000002E-3</v>
          </cell>
          <cell r="N40">
            <v>0</v>
          </cell>
        </row>
        <row r="41">
          <cell r="H41">
            <v>0.12476</v>
          </cell>
          <cell r="K41">
            <v>-7.6800000000000002E-3</v>
          </cell>
          <cell r="N41">
            <v>0</v>
          </cell>
        </row>
        <row r="42">
          <cell r="H42">
            <v>0.12476</v>
          </cell>
          <cell r="K42">
            <v>-7.6800000000000002E-3</v>
          </cell>
          <cell r="N42">
            <v>0</v>
          </cell>
        </row>
        <row r="43">
          <cell r="H43">
            <v>0</v>
          </cell>
          <cell r="K43">
            <v>0</v>
          </cell>
          <cell r="N43">
            <v>0</v>
          </cell>
        </row>
        <row r="44">
          <cell r="H44">
            <v>0</v>
          </cell>
          <cell r="K44">
            <v>0</v>
          </cell>
          <cell r="N44">
            <v>0</v>
          </cell>
        </row>
        <row r="45">
          <cell r="H45">
            <v>0</v>
          </cell>
          <cell r="K45">
            <v>0</v>
          </cell>
          <cell r="N45">
            <v>0</v>
          </cell>
        </row>
        <row r="46">
          <cell r="H46">
            <v>0</v>
          </cell>
          <cell r="K46">
            <v>0</v>
          </cell>
          <cell r="N46">
            <v>0</v>
          </cell>
        </row>
        <row r="47">
          <cell r="H47">
            <v>0</v>
          </cell>
          <cell r="K47">
            <v>0</v>
          </cell>
          <cell r="N47">
            <v>0</v>
          </cell>
        </row>
        <row r="48">
          <cell r="H48">
            <v>0</v>
          </cell>
          <cell r="K48">
            <v>0</v>
          </cell>
          <cell r="N48">
            <v>0</v>
          </cell>
        </row>
        <row r="49">
          <cell r="H49">
            <v>0</v>
          </cell>
          <cell r="K49">
            <v>0</v>
          </cell>
          <cell r="N49">
            <v>0</v>
          </cell>
        </row>
        <row r="50">
          <cell r="H50">
            <v>0</v>
          </cell>
          <cell r="K50">
            <v>0</v>
          </cell>
          <cell r="N50">
            <v>0</v>
          </cell>
        </row>
        <row r="51">
          <cell r="H51">
            <v>0</v>
          </cell>
          <cell r="K51">
            <v>0</v>
          </cell>
          <cell r="N51">
            <v>0</v>
          </cell>
        </row>
        <row r="52">
          <cell r="H52">
            <v>0</v>
          </cell>
          <cell r="K52">
            <v>0</v>
          </cell>
          <cell r="N52">
            <v>0</v>
          </cell>
        </row>
        <row r="53">
          <cell r="H53">
            <v>0</v>
          </cell>
          <cell r="K53">
            <v>0</v>
          </cell>
          <cell r="N53">
            <v>0</v>
          </cell>
        </row>
        <row r="54">
          <cell r="H54">
            <v>0</v>
          </cell>
          <cell r="K54">
            <v>0</v>
          </cell>
          <cell r="N54">
            <v>0</v>
          </cell>
        </row>
        <row r="55">
          <cell r="H55">
            <v>0.12476</v>
          </cell>
          <cell r="K55">
            <v>0</v>
          </cell>
          <cell r="N55">
            <v>-8.3300000000000006E-3</v>
          </cell>
        </row>
        <row r="56">
          <cell r="H56">
            <v>0.12476</v>
          </cell>
          <cell r="K56">
            <v>0</v>
          </cell>
          <cell r="N56">
            <v>-8.3300000000000006E-3</v>
          </cell>
        </row>
        <row r="57">
          <cell r="H57">
            <v>0.12476</v>
          </cell>
          <cell r="K57">
            <v>0</v>
          </cell>
          <cell r="N57">
            <v>-8.3300000000000006E-3</v>
          </cell>
        </row>
        <row r="58">
          <cell r="H58">
            <v>0.12476</v>
          </cell>
          <cell r="K58">
            <v>0</v>
          </cell>
          <cell r="N58">
            <v>-8.3300000000000006E-3</v>
          </cell>
        </row>
        <row r="59">
          <cell r="H59">
            <v>0.12476</v>
          </cell>
          <cell r="K59">
            <v>0</v>
          </cell>
          <cell r="N59">
            <v>-8.3300000000000006E-3</v>
          </cell>
        </row>
        <row r="60">
          <cell r="H60">
            <v>0.12476</v>
          </cell>
          <cell r="K60">
            <v>0</v>
          </cell>
          <cell r="N60">
            <v>-8.3300000000000006E-3</v>
          </cell>
        </row>
        <row r="61">
          <cell r="H61">
            <v>0.12476</v>
          </cell>
          <cell r="K61">
            <v>0</v>
          </cell>
          <cell r="N61">
            <v>-8.3300000000000006E-3</v>
          </cell>
        </row>
        <row r="62">
          <cell r="H62">
            <v>0.12476</v>
          </cell>
          <cell r="K62">
            <v>0</v>
          </cell>
          <cell r="N62">
            <v>-8.3300000000000006E-3</v>
          </cell>
        </row>
        <row r="63">
          <cell r="H63">
            <v>0.12476</v>
          </cell>
          <cell r="K63">
            <v>0</v>
          </cell>
          <cell r="N63">
            <v>-8.3300000000000006E-3</v>
          </cell>
        </row>
        <row r="64">
          <cell r="H64">
            <v>0.12476</v>
          </cell>
          <cell r="K64">
            <v>0</v>
          </cell>
          <cell r="N64">
            <v>-8.3300000000000006E-3</v>
          </cell>
        </row>
        <row r="65">
          <cell r="H65">
            <v>0.12476</v>
          </cell>
          <cell r="K65">
            <v>0</v>
          </cell>
          <cell r="N65">
            <v>-8.3300000000000006E-3</v>
          </cell>
        </row>
        <row r="66">
          <cell r="H66">
            <v>0.12476</v>
          </cell>
          <cell r="K66">
            <v>0</v>
          </cell>
          <cell r="N66">
            <v>-8.3300000000000006E-3</v>
          </cell>
        </row>
        <row r="67">
          <cell r="H67">
            <v>0</v>
          </cell>
          <cell r="K67">
            <v>0</v>
          </cell>
          <cell r="N67">
            <v>0</v>
          </cell>
        </row>
        <row r="68">
          <cell r="H68">
            <v>0</v>
          </cell>
          <cell r="K68">
            <v>0</v>
          </cell>
          <cell r="N68">
            <v>0</v>
          </cell>
        </row>
        <row r="69">
          <cell r="H69">
            <v>0</v>
          </cell>
          <cell r="K69">
            <v>0</v>
          </cell>
          <cell r="N69">
            <v>0</v>
          </cell>
        </row>
        <row r="70">
          <cell r="H70">
            <v>0</v>
          </cell>
          <cell r="K70">
            <v>0</v>
          </cell>
          <cell r="N70">
            <v>0</v>
          </cell>
        </row>
        <row r="71">
          <cell r="H71">
            <v>0</v>
          </cell>
          <cell r="K71">
            <v>0</v>
          </cell>
          <cell r="N71">
            <v>0</v>
          </cell>
        </row>
        <row r="72">
          <cell r="H72">
            <v>0</v>
          </cell>
          <cell r="K72">
            <v>0</v>
          </cell>
          <cell r="N72">
            <v>0</v>
          </cell>
        </row>
        <row r="73">
          <cell r="H73">
            <v>0</v>
          </cell>
          <cell r="I73">
            <v>0</v>
          </cell>
          <cell r="J73">
            <v>0</v>
          </cell>
        </row>
        <row r="74">
          <cell r="H74">
            <v>0</v>
          </cell>
          <cell r="I74">
            <v>0</v>
          </cell>
          <cell r="J74">
            <v>0</v>
          </cell>
        </row>
        <row r="75">
          <cell r="H75">
            <v>0</v>
          </cell>
          <cell r="I75">
            <v>0</v>
          </cell>
          <cell r="J75">
            <v>0</v>
          </cell>
        </row>
        <row r="76">
          <cell r="H76">
            <v>0</v>
          </cell>
          <cell r="I76">
            <v>0</v>
          </cell>
          <cell r="J76">
            <v>0</v>
          </cell>
        </row>
        <row r="77">
          <cell r="H77">
            <v>0</v>
          </cell>
          <cell r="I77">
            <v>0</v>
          </cell>
          <cell r="J77">
            <v>0</v>
          </cell>
        </row>
        <row r="78">
          <cell r="H78">
            <v>0</v>
          </cell>
          <cell r="I78">
            <v>0</v>
          </cell>
          <cell r="J78">
            <v>0</v>
          </cell>
        </row>
        <row r="79">
          <cell r="H79">
            <v>0</v>
          </cell>
          <cell r="I79">
            <v>0</v>
          </cell>
          <cell r="J79">
            <v>0</v>
          </cell>
        </row>
        <row r="80">
          <cell r="H80">
            <v>0</v>
          </cell>
          <cell r="K80">
            <v>0</v>
          </cell>
          <cell r="N80">
            <v>0</v>
          </cell>
        </row>
        <row r="88">
          <cell r="F88" t="str">
            <v>Sched 201</v>
          </cell>
          <cell r="I88" t="str">
            <v>Sched 201</v>
          </cell>
          <cell r="L88" t="str">
            <v>Sched 201</v>
          </cell>
        </row>
      </sheetData>
      <sheetData sheetId="4"/>
      <sheetData sheetId="5"/>
      <sheetData sheetId="6"/>
      <sheetData sheetId="7"/>
      <sheetData sheetId="8">
        <row r="13">
          <cell r="D13">
            <v>1.3474700000000002</v>
          </cell>
        </row>
        <row r="14">
          <cell r="D14">
            <v>1.3682899999999996</v>
          </cell>
        </row>
        <row r="15">
          <cell r="D15">
            <v>1.0514699999999999</v>
          </cell>
        </row>
        <row r="16">
          <cell r="D16">
            <v>1.0228200000000003</v>
          </cell>
        </row>
        <row r="17">
          <cell r="D17">
            <v>0.97857999999999967</v>
          </cell>
        </row>
        <row r="18">
          <cell r="D18">
            <v>0.78956999999999988</v>
          </cell>
        </row>
        <row r="19">
          <cell r="D19">
            <v>0.79066000000000003</v>
          </cell>
        </row>
        <row r="20">
          <cell r="D20">
            <v>0.7381899999999999</v>
          </cell>
        </row>
        <row r="21">
          <cell r="D21">
            <v>0.81381000000000003</v>
          </cell>
        </row>
        <row r="22">
          <cell r="D22">
            <v>0.76286999999999994</v>
          </cell>
        </row>
        <row r="23">
          <cell r="D23">
            <v>0.37099999999999994</v>
          </cell>
        </row>
        <row r="24">
          <cell r="D24">
            <v>0.32688000000000006</v>
          </cell>
        </row>
        <row r="25">
          <cell r="D25">
            <v>0.36337000000000003</v>
          </cell>
        </row>
        <row r="26">
          <cell r="D26">
            <v>0.3201500000000001</v>
          </cell>
        </row>
        <row r="27">
          <cell r="D27">
            <v>0.71891000000000027</v>
          </cell>
        </row>
        <row r="28">
          <cell r="D28">
            <v>0.67495999999999989</v>
          </cell>
        </row>
        <row r="29">
          <cell r="D29">
            <v>0.7495799999999998</v>
          </cell>
        </row>
        <row r="30">
          <cell r="D30">
            <v>0.70628000000000002</v>
          </cell>
        </row>
        <row r="31">
          <cell r="D31">
            <v>0.56288999999999989</v>
          </cell>
        </row>
        <row r="32">
          <cell r="D32">
            <v>0.54045999999999961</v>
          </cell>
        </row>
        <row r="33">
          <cell r="D33">
            <v>0.49585999999999991</v>
          </cell>
        </row>
        <row r="34">
          <cell r="D34">
            <v>0.4665100000000002</v>
          </cell>
        </row>
        <row r="35">
          <cell r="D35">
            <v>0.42738999999999994</v>
          </cell>
        </row>
        <row r="36">
          <cell r="D36">
            <v>0.37846000000000007</v>
          </cell>
        </row>
        <row r="37">
          <cell r="D37">
            <v>0.51346999999999987</v>
          </cell>
        </row>
        <row r="38">
          <cell r="D38">
            <v>0.49624000000000001</v>
          </cell>
        </row>
        <row r="39">
          <cell r="D39">
            <v>0.4619399999999998</v>
          </cell>
        </row>
        <row r="40">
          <cell r="D40">
            <v>0.4393800000000001</v>
          </cell>
        </row>
        <row r="41">
          <cell r="D41">
            <v>0.40932000000000018</v>
          </cell>
        </row>
        <row r="42">
          <cell r="D42">
            <v>0.37169999999999986</v>
          </cell>
        </row>
        <row r="43">
          <cell r="D43">
            <v>0.14960999999999997</v>
          </cell>
        </row>
        <row r="44">
          <cell r="D44">
            <v>0.13392000000000001</v>
          </cell>
        </row>
        <row r="45">
          <cell r="D45">
            <v>0.10269999999999999</v>
          </cell>
        </row>
        <row r="46">
          <cell r="D46">
            <v>8.2170000000000021E-2</v>
          </cell>
        </row>
        <row r="47">
          <cell r="D47">
            <v>5.4790000000000005E-2</v>
          </cell>
        </row>
        <row r="48">
          <cell r="D48">
            <v>2.0539999999999999E-2</v>
          </cell>
        </row>
        <row r="49">
          <cell r="D49">
            <v>0.14867000000000002</v>
          </cell>
        </row>
        <row r="50">
          <cell r="D50">
            <v>0.13306999999999994</v>
          </cell>
        </row>
        <row r="51">
          <cell r="D51">
            <v>0.10205</v>
          </cell>
        </row>
        <row r="52">
          <cell r="D52">
            <v>8.1650000000000014E-2</v>
          </cell>
        </row>
        <row r="53">
          <cell r="D53">
            <v>5.4429999999999999E-2</v>
          </cell>
        </row>
        <row r="54">
          <cell r="D54">
            <v>2.0410000000000001E-2</v>
          </cell>
        </row>
        <row r="55">
          <cell r="D55">
            <v>0.56372000000000011</v>
          </cell>
        </row>
        <row r="56">
          <cell r="D56">
            <v>0.54502999999999979</v>
          </cell>
        </row>
        <row r="57">
          <cell r="D57">
            <v>0.50781000000000009</v>
          </cell>
        </row>
        <row r="58">
          <cell r="D58">
            <v>0.48334000000000005</v>
          </cell>
        </row>
        <row r="59">
          <cell r="D59">
            <v>0.45072999999999996</v>
          </cell>
        </row>
        <row r="60">
          <cell r="D60">
            <v>0.40994999999999993</v>
          </cell>
        </row>
        <row r="61">
          <cell r="D61">
            <v>0.54884999999999984</v>
          </cell>
        </row>
        <row r="62">
          <cell r="D62">
            <v>0.53171999999999986</v>
          </cell>
        </row>
        <row r="63">
          <cell r="D63">
            <v>0.49762000000000001</v>
          </cell>
        </row>
        <row r="64">
          <cell r="D64">
            <v>0.47519999999999979</v>
          </cell>
        </row>
        <row r="65">
          <cell r="D65">
            <v>0.44528000000000001</v>
          </cell>
        </row>
        <row r="66">
          <cell r="D66">
            <v>0.40789999999999993</v>
          </cell>
        </row>
        <row r="67">
          <cell r="D67">
            <v>0.13989999999999997</v>
          </cell>
        </row>
        <row r="68">
          <cell r="D68">
            <v>0.12523999999999999</v>
          </cell>
        </row>
        <row r="69">
          <cell r="D69">
            <v>9.604E-2</v>
          </cell>
        </row>
        <row r="70">
          <cell r="D70">
            <v>7.6839999999999992E-2</v>
          </cell>
        </row>
        <row r="71">
          <cell r="D71">
            <v>5.1240000000000001E-2</v>
          </cell>
        </row>
        <row r="72">
          <cell r="D72">
            <v>1.9200000000000002E-2</v>
          </cell>
        </row>
        <row r="73">
          <cell r="D73">
            <v>0.14205999999999999</v>
          </cell>
        </row>
        <row r="74">
          <cell r="D74">
            <v>0.12716</v>
          </cell>
        </row>
        <row r="75">
          <cell r="D75">
            <v>9.7509999999999986E-2</v>
          </cell>
        </row>
        <row r="76">
          <cell r="D76">
            <v>7.8019999999999992E-2</v>
          </cell>
        </row>
        <row r="77">
          <cell r="D77">
            <v>5.2019999999999997E-2</v>
          </cell>
        </row>
        <row r="78">
          <cell r="D78">
            <v>1.95E-2</v>
          </cell>
        </row>
        <row r="79">
          <cell r="D79">
            <v>4.9499999999999995E-3</v>
          </cell>
        </row>
        <row r="80">
          <cell r="D80">
            <v>4.9499999999999995E-3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Winter WACOG WA"/>
      <sheetName val="Derivation of Demand rates WA"/>
      <sheetName val="Demand Charges"/>
      <sheetName val="Total Commodity Summary"/>
      <sheetName val="Commodity Cost from Vol Pipe"/>
      <sheetName val="Hedged Spot Dispatch &amp; Cost"/>
      <sheetName val="Commodity Cost from Supply"/>
      <sheetName val="Commodity Supply Dispatch"/>
      <sheetName val="download for JV28A"/>
      <sheetName val="Commodity Cost from Supply VERT"/>
      <sheetName val="Commodity Cost from RNG"/>
      <sheetName val="RNG Dispatch"/>
      <sheetName val="Commodity Cost from Storage"/>
      <sheetName val="Storage Dispatch"/>
      <sheetName val="Index Prices"/>
      <sheetName val="Line loss"/>
      <sheetName val="Fuel factors"/>
      <sheetName val="General Inputs"/>
      <sheetName val="Spot contracts"/>
      <sheetName val="Supply Contracts"/>
    </sheetNames>
    <sheetDataSet>
      <sheetData sheetId="0"/>
      <sheetData sheetId="1"/>
      <sheetData sheetId="2"/>
      <sheetData sheetId="3">
        <row r="30">
          <cell r="P30">
            <v>64503333.25688</v>
          </cell>
        </row>
      </sheetData>
      <sheetData sheetId="4">
        <row r="2">
          <cell r="A2" t="str">
            <v>2022-2023 PGA - SYSTEM: September Filing</v>
          </cell>
        </row>
        <row r="9">
          <cell r="D9">
            <v>1</v>
          </cell>
          <cell r="E9">
            <v>2</v>
          </cell>
          <cell r="F9">
            <v>3</v>
          </cell>
          <cell r="G9">
            <v>4</v>
          </cell>
          <cell r="H9">
            <v>5</v>
          </cell>
          <cell r="I9">
            <v>6</v>
          </cell>
          <cell r="J9">
            <v>7</v>
          </cell>
          <cell r="K9">
            <v>8</v>
          </cell>
          <cell r="L9">
            <v>9</v>
          </cell>
          <cell r="M9">
            <v>10</v>
          </cell>
          <cell r="N9">
            <v>11</v>
          </cell>
          <cell r="O9">
            <v>12</v>
          </cell>
        </row>
        <row r="57">
          <cell r="P57">
            <v>0.44924999999999998</v>
          </cell>
        </row>
        <row r="59">
          <cell r="P59">
            <v>0.46972000000000003</v>
          </cell>
        </row>
      </sheetData>
      <sheetData sheetId="5">
        <row r="89">
          <cell r="F89">
            <v>10420</v>
          </cell>
        </row>
        <row r="90">
          <cell r="F90">
            <v>12080</v>
          </cell>
        </row>
        <row r="91">
          <cell r="F91">
            <v>12752</v>
          </cell>
        </row>
        <row r="92">
          <cell r="F92">
            <v>10265</v>
          </cell>
        </row>
        <row r="93">
          <cell r="F93">
            <v>10367</v>
          </cell>
        </row>
        <row r="94">
          <cell r="F94">
            <v>8154</v>
          </cell>
        </row>
        <row r="95">
          <cell r="F95">
            <v>5156</v>
          </cell>
        </row>
        <row r="96">
          <cell r="F96">
            <v>3745</v>
          </cell>
        </row>
        <row r="97">
          <cell r="F97">
            <v>3094</v>
          </cell>
        </row>
        <row r="98">
          <cell r="F98">
            <v>2700</v>
          </cell>
        </row>
        <row r="99">
          <cell r="F99">
            <v>3117</v>
          </cell>
        </row>
        <row r="100">
          <cell r="F100">
            <v>6600</v>
          </cell>
        </row>
      </sheetData>
      <sheetData sheetId="6">
        <row r="20">
          <cell r="D20">
            <v>30</v>
          </cell>
        </row>
        <row r="21">
          <cell r="D21">
            <v>31</v>
          </cell>
        </row>
        <row r="22">
          <cell r="D22">
            <v>31</v>
          </cell>
        </row>
        <row r="23">
          <cell r="D23">
            <v>28</v>
          </cell>
        </row>
        <row r="24">
          <cell r="D24">
            <v>31</v>
          </cell>
        </row>
        <row r="25">
          <cell r="D25">
            <v>30</v>
          </cell>
        </row>
        <row r="26">
          <cell r="D26">
            <v>31</v>
          </cell>
        </row>
        <row r="27">
          <cell r="D27">
            <v>30</v>
          </cell>
        </row>
        <row r="28">
          <cell r="D28">
            <v>31</v>
          </cell>
        </row>
        <row r="29">
          <cell r="D29">
            <v>31</v>
          </cell>
        </row>
        <row r="30">
          <cell r="D30">
            <v>30</v>
          </cell>
        </row>
        <row r="31">
          <cell r="D31">
            <v>31</v>
          </cell>
        </row>
      </sheetData>
      <sheetData sheetId="7">
        <row r="17">
          <cell r="CG17">
            <v>9218099.418045966</v>
          </cell>
        </row>
        <row r="18">
          <cell r="CG18">
            <v>10573997.289917069</v>
          </cell>
        </row>
        <row r="19">
          <cell r="CG19">
            <v>10990452.553799424</v>
          </cell>
        </row>
        <row r="20">
          <cell r="CG20">
            <v>9152436.8444495536</v>
          </cell>
        </row>
        <row r="21">
          <cell r="CG21">
            <v>8606333.8335022405</v>
          </cell>
        </row>
        <row r="22">
          <cell r="CG22">
            <v>7095718.3219224596</v>
          </cell>
        </row>
        <row r="23">
          <cell r="CG23">
            <v>4578070.9019891517</v>
          </cell>
        </row>
        <row r="24">
          <cell r="CG24">
            <v>3349077.7844300591</v>
          </cell>
        </row>
        <row r="25">
          <cell r="CG25">
            <v>2862410.9082945031</v>
          </cell>
        </row>
        <row r="26">
          <cell r="CG26">
            <v>2460841.6067674654</v>
          </cell>
        </row>
        <row r="27">
          <cell r="CG27">
            <v>2801999.1072868472</v>
          </cell>
        </row>
        <row r="28">
          <cell r="CG28">
            <v>5761713.8051290102</v>
          </cell>
        </row>
        <row r="35">
          <cell r="CG35">
            <v>9459277.7106899992</v>
          </cell>
        </row>
        <row r="36">
          <cell r="CG36">
            <v>10829390.467713</v>
          </cell>
        </row>
        <row r="37">
          <cell r="CG37">
            <v>11256795.467713</v>
          </cell>
        </row>
        <row r="38">
          <cell r="CG38">
            <v>9377850.1966440007</v>
          </cell>
        </row>
        <row r="39">
          <cell r="CG39">
            <v>8831386.4677130003</v>
          </cell>
        </row>
        <row r="40">
          <cell r="CG40">
            <v>7280191.3415836394</v>
          </cell>
        </row>
        <row r="41">
          <cell r="CG41">
            <v>4691829.2846767027</v>
          </cell>
        </row>
        <row r="42">
          <cell r="CG42">
            <v>3430227.2307493938</v>
          </cell>
        </row>
        <row r="43">
          <cell r="CG43">
            <v>2929967.4677130003</v>
          </cell>
        </row>
        <row r="44">
          <cell r="CG44">
            <v>2517839.4677130003</v>
          </cell>
        </row>
        <row r="45">
          <cell r="CG45">
            <v>2869142.4438240519</v>
          </cell>
        </row>
        <row r="46">
          <cell r="CG46">
            <v>5911115.7098839916</v>
          </cell>
        </row>
        <row r="101">
          <cell r="CG101">
            <v>4142014.5842678975</v>
          </cell>
        </row>
        <row r="102">
          <cell r="CG102">
            <v>4584475.1535012461</v>
          </cell>
        </row>
        <row r="103">
          <cell r="CG103">
            <v>4936553.7536926102</v>
          </cell>
        </row>
        <row r="104">
          <cell r="CG104">
            <v>4288917.4897184744</v>
          </cell>
        </row>
        <row r="105">
          <cell r="CG105">
            <v>3594698.1006079637</v>
          </cell>
        </row>
        <row r="106">
          <cell r="CG106">
            <v>2793076.7352082981</v>
          </cell>
        </row>
        <row r="107">
          <cell r="CG107">
            <v>1686612.6665847988</v>
          </cell>
        </row>
        <row r="108">
          <cell r="CG108">
            <v>1231806.6217081484</v>
          </cell>
        </row>
        <row r="109">
          <cell r="CG109">
            <v>1107793.961992918</v>
          </cell>
        </row>
        <row r="110">
          <cell r="CG110">
            <v>933279.00716382731</v>
          </cell>
        </row>
        <row r="111">
          <cell r="CG111">
            <v>1164553.5897125795</v>
          </cell>
        </row>
        <row r="112">
          <cell r="CG112">
            <v>2401077.1780106537</v>
          </cell>
        </row>
      </sheetData>
      <sheetData sheetId="8"/>
      <sheetData sheetId="9"/>
      <sheetData sheetId="10"/>
      <sheetData sheetId="11">
        <row r="69">
          <cell r="J69">
            <v>0</v>
          </cell>
        </row>
        <row r="70">
          <cell r="J70">
            <v>0</v>
          </cell>
        </row>
        <row r="71">
          <cell r="J71">
            <v>0</v>
          </cell>
        </row>
        <row r="72">
          <cell r="J72">
            <v>0</v>
          </cell>
        </row>
        <row r="73">
          <cell r="J73">
            <v>0</v>
          </cell>
        </row>
        <row r="74">
          <cell r="J74">
            <v>0</v>
          </cell>
        </row>
        <row r="75">
          <cell r="J75">
            <v>0</v>
          </cell>
        </row>
        <row r="76">
          <cell r="J76">
            <v>0</v>
          </cell>
        </row>
        <row r="77">
          <cell r="J77">
            <v>0</v>
          </cell>
        </row>
        <row r="78">
          <cell r="J78">
            <v>0</v>
          </cell>
        </row>
        <row r="79">
          <cell r="J79">
            <v>0</v>
          </cell>
        </row>
        <row r="80">
          <cell r="J80">
            <v>0</v>
          </cell>
        </row>
      </sheetData>
      <sheetData sheetId="12">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K43">
            <v>0</v>
          </cell>
        </row>
        <row r="44">
          <cell r="K44">
            <v>0</v>
          </cell>
        </row>
        <row r="45">
          <cell r="K45">
            <v>0</v>
          </cell>
        </row>
      </sheetData>
      <sheetData sheetId="13">
        <row r="69">
          <cell r="J69">
            <v>336843</v>
          </cell>
        </row>
        <row r="70">
          <cell r="J70">
            <v>1598113</v>
          </cell>
        </row>
        <row r="71">
          <cell r="J71">
            <v>1774503</v>
          </cell>
        </row>
        <row r="72">
          <cell r="J72">
            <v>1458731</v>
          </cell>
        </row>
        <row r="73">
          <cell r="J73">
            <v>974114</v>
          </cell>
        </row>
        <row r="74">
          <cell r="J74">
            <v>186876</v>
          </cell>
        </row>
        <row r="75">
          <cell r="J75">
            <v>0</v>
          </cell>
        </row>
        <row r="76">
          <cell r="J76">
            <v>0</v>
          </cell>
        </row>
        <row r="77">
          <cell r="J77">
            <v>0</v>
          </cell>
        </row>
        <row r="78">
          <cell r="J78">
            <v>0</v>
          </cell>
        </row>
        <row r="79">
          <cell r="J79">
            <v>0</v>
          </cell>
        </row>
        <row r="80">
          <cell r="J80">
            <v>0</v>
          </cell>
        </row>
      </sheetData>
      <sheetData sheetId="14">
        <row r="16">
          <cell r="F16">
            <v>0</v>
          </cell>
          <cell r="I16">
            <v>0</v>
          </cell>
          <cell r="J16">
            <v>0</v>
          </cell>
          <cell r="L16">
            <v>9146541.2707782965</v>
          </cell>
          <cell r="M16">
            <v>9218099.4180459641</v>
          </cell>
        </row>
        <row r="17">
          <cell r="F17">
            <v>0</v>
          </cell>
          <cell r="I17">
            <v>0</v>
          </cell>
          <cell r="J17">
            <v>0</v>
          </cell>
          <cell r="L17">
            <v>10491913.595549602</v>
          </cell>
          <cell r="M17">
            <v>10573997.289917069</v>
          </cell>
        </row>
        <row r="18">
          <cell r="F18">
            <v>315563.86159485386</v>
          </cell>
          <cell r="I18">
            <v>0</v>
          </cell>
          <cell r="J18">
            <v>0</v>
          </cell>
          <cell r="L18">
            <v>10905136.005700201</v>
          </cell>
          <cell r="M18">
            <v>10990452.553799419</v>
          </cell>
        </row>
        <row r="19">
          <cell r="F19">
            <v>0</v>
          </cell>
          <cell r="I19">
            <v>0</v>
          </cell>
          <cell r="J19">
            <v>0</v>
          </cell>
          <cell r="L19">
            <v>9081388.4217897728</v>
          </cell>
          <cell r="M19">
            <v>9152436.8444495481</v>
          </cell>
        </row>
        <row r="20">
          <cell r="F20">
            <v>603671.78900025401</v>
          </cell>
          <cell r="I20">
            <v>0</v>
          </cell>
          <cell r="J20">
            <v>0</v>
          </cell>
          <cell r="L20">
            <v>8539524.6924891956</v>
          </cell>
          <cell r="M20">
            <v>8606333.8335022368</v>
          </cell>
        </row>
        <row r="21">
          <cell r="F21">
            <v>0</v>
          </cell>
          <cell r="I21">
            <v>0</v>
          </cell>
          <cell r="J21">
            <v>0</v>
          </cell>
          <cell r="L21">
            <v>7040635.7681743391</v>
          </cell>
          <cell r="M21">
            <v>7095718.3219224578</v>
          </cell>
        </row>
        <row r="22">
          <cell r="F22">
            <v>0</v>
          </cell>
          <cell r="I22">
            <v>0</v>
          </cell>
          <cell r="J22">
            <v>0</v>
          </cell>
          <cell r="L22">
            <v>4542532.3102524383</v>
          </cell>
          <cell r="M22">
            <v>4578070.9019891508</v>
          </cell>
        </row>
        <row r="23">
          <cell r="F23">
            <v>0</v>
          </cell>
          <cell r="I23">
            <v>0</v>
          </cell>
          <cell r="J23">
            <v>0</v>
          </cell>
          <cell r="L23">
            <v>3323079.605148118</v>
          </cell>
          <cell r="M23">
            <v>3349077.7844300596</v>
          </cell>
        </row>
        <row r="24">
          <cell r="F24">
            <v>0</v>
          </cell>
          <cell r="I24">
            <v>0</v>
          </cell>
          <cell r="J24">
            <v>0</v>
          </cell>
          <cell r="L24">
            <v>2840190.6205727914</v>
          </cell>
          <cell r="M24">
            <v>2862410.9082945026</v>
          </cell>
        </row>
        <row r="25">
          <cell r="F25">
            <v>0</v>
          </cell>
          <cell r="I25">
            <v>0</v>
          </cell>
          <cell r="J25">
            <v>0</v>
          </cell>
          <cell r="L25">
            <v>2441738.6162144733</v>
          </cell>
          <cell r="M25">
            <v>2460841.6067674649</v>
          </cell>
        </row>
        <row r="26">
          <cell r="F26">
            <v>0</v>
          </cell>
          <cell r="I26">
            <v>0</v>
          </cell>
          <cell r="J26">
            <v>0</v>
          </cell>
          <cell r="L26">
            <v>2780247.7835410247</v>
          </cell>
          <cell r="M26">
            <v>2801999.1072868486</v>
          </cell>
        </row>
        <row r="27">
          <cell r="F27">
            <v>0</v>
          </cell>
          <cell r="I27">
            <v>0</v>
          </cell>
          <cell r="J27">
            <v>0</v>
          </cell>
          <cell r="L27">
            <v>5716986.8450167738</v>
          </cell>
          <cell r="M27">
            <v>5761713.8051290112</v>
          </cell>
        </row>
        <row r="34">
          <cell r="F34">
            <v>0</v>
          </cell>
          <cell r="I34">
            <v>0</v>
          </cell>
          <cell r="J34">
            <v>0</v>
          </cell>
          <cell r="K34">
            <v>623382.65950982319</v>
          </cell>
        </row>
        <row r="35">
          <cell r="F35">
            <v>0</v>
          </cell>
          <cell r="I35">
            <v>0</v>
          </cell>
          <cell r="J35">
            <v>0</v>
          </cell>
          <cell r="K35">
            <v>2947070.5932011334</v>
          </cell>
        </row>
        <row r="36">
          <cell r="F36">
            <v>318783.57570952002</v>
          </cell>
          <cell r="I36">
            <v>0</v>
          </cell>
          <cell r="J36">
            <v>0</v>
          </cell>
          <cell r="K36">
            <v>3231265.178798038</v>
          </cell>
        </row>
        <row r="37">
          <cell r="F37">
            <v>0</v>
          </cell>
          <cell r="I37">
            <v>0</v>
          </cell>
          <cell r="J37">
            <v>0</v>
          </cell>
          <cell r="K37">
            <v>2762159.8358083623</v>
          </cell>
        </row>
        <row r="38">
          <cell r="F38">
            <v>609831.0829379271</v>
          </cell>
          <cell r="I38">
            <v>0</v>
          </cell>
          <cell r="J38">
            <v>0</v>
          </cell>
          <cell r="K38">
            <v>1719369.4902996768</v>
          </cell>
        </row>
        <row r="39">
          <cell r="F39">
            <v>0</v>
          </cell>
          <cell r="I39">
            <v>0</v>
          </cell>
          <cell r="J39">
            <v>0</v>
          </cell>
          <cell r="K39">
            <v>347103.36478173995</v>
          </cell>
        </row>
        <row r="40">
          <cell r="F40">
            <v>0</v>
          </cell>
          <cell r="I40">
            <v>0</v>
          </cell>
          <cell r="J40">
            <v>0</v>
          </cell>
          <cell r="K40">
            <v>0</v>
          </cell>
        </row>
        <row r="41">
          <cell r="F41">
            <v>0</v>
          </cell>
          <cell r="I41">
            <v>0</v>
          </cell>
          <cell r="J41">
            <v>0</v>
          </cell>
          <cell r="K41">
            <v>0</v>
          </cell>
        </row>
        <row r="42">
          <cell r="F42">
            <v>0</v>
          </cell>
          <cell r="I42">
            <v>0</v>
          </cell>
          <cell r="J42">
            <v>0</v>
          </cell>
          <cell r="K42">
            <v>0</v>
          </cell>
        </row>
        <row r="43">
          <cell r="F43">
            <v>0</v>
          </cell>
          <cell r="I43">
            <v>0</v>
          </cell>
          <cell r="J43">
            <v>0</v>
          </cell>
          <cell r="K43">
            <v>0</v>
          </cell>
        </row>
        <row r="44">
          <cell r="F44">
            <v>0</v>
          </cell>
          <cell r="I44">
            <v>0</v>
          </cell>
          <cell r="J44">
            <v>0</v>
          </cell>
          <cell r="K44">
            <v>0</v>
          </cell>
        </row>
        <row r="45">
          <cell r="F45">
            <v>0</v>
          </cell>
          <cell r="I45">
            <v>0</v>
          </cell>
          <cell r="J45">
            <v>0</v>
          </cell>
          <cell r="K45">
            <v>0</v>
          </cell>
        </row>
        <row r="418">
          <cell r="D418">
            <v>88470888</v>
          </cell>
        </row>
      </sheetData>
      <sheetData sheetId="15">
        <row r="13">
          <cell r="E13">
            <v>0.49861704545454549</v>
          </cell>
        </row>
        <row r="14">
          <cell r="E14">
            <v>0.53559204545454542</v>
          </cell>
        </row>
        <row r="15">
          <cell r="E15">
            <v>0.54386931818181816</v>
          </cell>
        </row>
        <row r="16">
          <cell r="E16">
            <v>0.54032159090909104</v>
          </cell>
        </row>
        <row r="17">
          <cell r="E17">
            <v>0.46861704545454563</v>
          </cell>
        </row>
        <row r="18">
          <cell r="E18">
            <v>0.38261250000000002</v>
          </cell>
        </row>
        <row r="19">
          <cell r="E19">
            <v>0.3666011363636365</v>
          </cell>
        </row>
        <row r="20">
          <cell r="E20">
            <v>0.35948636363636371</v>
          </cell>
        </row>
        <row r="21">
          <cell r="E21">
            <v>0.35444431818181815</v>
          </cell>
        </row>
        <row r="22">
          <cell r="E22">
            <v>0.35081477272727268</v>
          </cell>
        </row>
        <row r="23">
          <cell r="E23">
            <v>0.35274204545454552</v>
          </cell>
        </row>
        <row r="24">
          <cell r="E24">
            <v>0.36587613636363631</v>
          </cell>
        </row>
      </sheetData>
      <sheetData sheetId="16"/>
      <sheetData sheetId="17"/>
      <sheetData sheetId="18">
        <row r="10">
          <cell r="E10">
            <v>4.3568999999999997E-2</v>
          </cell>
        </row>
        <row r="68">
          <cell r="D68">
            <v>684781417.60758531</v>
          </cell>
          <cell r="E68">
            <v>87302513.64957346</v>
          </cell>
        </row>
        <row r="69">
          <cell r="E69">
            <v>1168374</v>
          </cell>
        </row>
        <row r="77">
          <cell r="D77">
            <v>0.10245</v>
          </cell>
          <cell r="E77">
            <v>0.10689</v>
          </cell>
        </row>
        <row r="78">
          <cell r="D78">
            <v>3.5790000000000002E-2</v>
          </cell>
          <cell r="E78">
            <v>3.7339999999999998E-2</v>
          </cell>
        </row>
        <row r="79">
          <cell r="D79">
            <v>1.53</v>
          </cell>
          <cell r="E79">
            <v>1.6</v>
          </cell>
        </row>
        <row r="91">
          <cell r="E91">
            <v>20923.5</v>
          </cell>
        </row>
        <row r="96">
          <cell r="D96">
            <v>25113.72</v>
          </cell>
          <cell r="E96">
            <v>33796.447999999997</v>
          </cell>
          <cell r="F96">
            <v>33796.447999999997</v>
          </cell>
          <cell r="G96">
            <v>27255.199999999997</v>
          </cell>
          <cell r="H96">
            <v>25950.843999999997</v>
          </cell>
          <cell r="I96">
            <v>18105.240000000002</v>
          </cell>
          <cell r="J96">
            <v>11466.652</v>
          </cell>
          <cell r="K96">
            <v>8760.6</v>
          </cell>
          <cell r="L96">
            <v>4828.0640000000003</v>
          </cell>
          <cell r="M96">
            <v>4828.0640000000003</v>
          </cell>
          <cell r="N96">
            <v>6424.4400000000014</v>
          </cell>
          <cell r="O96">
            <v>12070.16</v>
          </cell>
        </row>
      </sheetData>
      <sheetData sheetId="19"/>
      <sheetData sheetId="20">
        <row r="1">
          <cell r="A1" t="str">
            <v>NW Natural</v>
          </cell>
        </row>
        <row r="2">
          <cell r="A2" t="str">
            <v>2022-2023 PGA - SYSTEM: September Filing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5 R&amp;C Eng. Effic."/>
      <sheetName val="21-06 GREAT &amp; WA-LIEE"/>
      <sheetName val="21-04 ECRM"/>
      <sheetName val="20-8 Interim Tax Deferral"/>
      <sheetName val="20-XX Sch. 201 &amp; 203 (PGA)"/>
      <sheetName val="21-08 PGA"/>
      <sheetName val="21-09 Combined"/>
      <sheetName val="Revenue Senstive"/>
      <sheetName val="22-05 R&amp;C Eng. Effic."/>
      <sheetName val="22-06 GREAT &amp; WA-LIEE"/>
      <sheetName val="22-04 ECRM"/>
      <sheetName val="22-07 PGA"/>
    </sheetNames>
    <sheetDataSet>
      <sheetData sheetId="0"/>
      <sheetData sheetId="1"/>
      <sheetData sheetId="2"/>
      <sheetData sheetId="3"/>
      <sheetData sheetId="4"/>
      <sheetData sheetId="5">
        <row r="14">
          <cell r="F14">
            <v>9163150</v>
          </cell>
        </row>
      </sheetData>
      <sheetData sheetId="6">
        <row r="10">
          <cell r="F10">
            <v>10639473</v>
          </cell>
          <cell r="H10" t="str">
            <v>NWN PGA gas cost development file September filing_WA.xls</v>
          </cell>
        </row>
        <row r="12">
          <cell r="F12">
            <v>-1476323</v>
          </cell>
        </row>
        <row r="32">
          <cell r="B32" t="str">
            <v>2021 Washington CBR Normalized Total Revenues</v>
          </cell>
          <cell r="F32">
            <v>83232692.878956497</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3926F-8151-49DD-A0B0-CE271E914AE6}">
  <dimension ref="A1:J89"/>
  <sheetViews>
    <sheetView view="pageLayout" topLeftCell="A13" zoomScaleNormal="100" workbookViewId="0">
      <selection activeCell="C13" sqref="C13"/>
    </sheetView>
  </sheetViews>
  <sheetFormatPr defaultColWidth="17" defaultRowHeight="15" x14ac:dyDescent="0.25"/>
  <sheetData>
    <row r="1" spans="1:10" x14ac:dyDescent="0.25">
      <c r="A1" s="21" t="str">
        <f>+'[1]Washington volumes'!A1</f>
        <v>NW Natural</v>
      </c>
      <c r="B1" s="22"/>
      <c r="C1" s="22"/>
      <c r="D1" s="23"/>
      <c r="E1" s="23"/>
      <c r="F1" s="22"/>
      <c r="G1" s="22"/>
      <c r="H1" s="22"/>
      <c r="I1" s="22"/>
      <c r="J1" s="22"/>
    </row>
    <row r="2" spans="1:10" x14ac:dyDescent="0.25">
      <c r="A2" s="21" t="str">
        <f>+'[1]Washington volumes'!A2</f>
        <v>Rates &amp; Regulatory Affairs</v>
      </c>
      <c r="B2" s="22"/>
      <c r="C2" s="22"/>
      <c r="D2" s="23"/>
      <c r="E2" s="23"/>
      <c r="F2" s="22"/>
      <c r="G2" s="22"/>
      <c r="H2" s="22"/>
      <c r="I2" s="22"/>
      <c r="J2" s="22"/>
    </row>
    <row r="3" spans="1:10" x14ac:dyDescent="0.25">
      <c r="A3" s="21" t="str">
        <f>+'[1]Washington volumes'!A3</f>
        <v>2022-2023 PGA Filing - Washington: September Filing</v>
      </c>
      <c r="B3" s="22"/>
      <c r="C3" s="22"/>
      <c r="D3" s="23"/>
      <c r="E3" s="23"/>
      <c r="F3" s="22"/>
      <c r="G3" s="22"/>
      <c r="H3" s="22"/>
      <c r="I3" s="22"/>
      <c r="J3" s="22"/>
    </row>
    <row r="4" spans="1:10" x14ac:dyDescent="0.25">
      <c r="A4" s="21" t="s">
        <v>3</v>
      </c>
      <c r="B4" s="22"/>
      <c r="C4" s="22"/>
      <c r="D4" s="23"/>
      <c r="E4" s="23"/>
      <c r="F4" s="22"/>
      <c r="G4" s="22"/>
      <c r="H4" s="22"/>
      <c r="I4" s="22"/>
      <c r="J4" s="22"/>
    </row>
    <row r="5" spans="1:10" x14ac:dyDescent="0.25">
      <c r="A5" s="22"/>
      <c r="B5" s="22"/>
      <c r="C5" s="22"/>
      <c r="D5" s="22"/>
      <c r="E5" s="22"/>
      <c r="F5" s="22"/>
      <c r="G5" s="22"/>
      <c r="H5" s="22"/>
      <c r="I5" s="22"/>
      <c r="J5" s="22"/>
    </row>
    <row r="6" spans="1:10" x14ac:dyDescent="0.25">
      <c r="A6" s="24"/>
      <c r="B6" s="24"/>
      <c r="C6" s="24"/>
      <c r="D6" s="24"/>
      <c r="E6" s="24"/>
      <c r="F6" s="25"/>
      <c r="G6" s="22"/>
      <c r="H6" s="25"/>
      <c r="I6" s="22"/>
      <c r="J6" s="22"/>
    </row>
    <row r="7" spans="1:10" x14ac:dyDescent="0.25">
      <c r="A7" s="26">
        <v>1</v>
      </c>
      <c r="B7" s="22"/>
      <c r="C7" s="22"/>
      <c r="D7" s="22"/>
      <c r="E7" s="22"/>
      <c r="F7" s="25"/>
      <c r="G7" s="25"/>
      <c r="H7" s="22"/>
      <c r="I7" s="22"/>
      <c r="J7" s="22"/>
    </row>
    <row r="8" spans="1:10" ht="34.5" customHeight="1" x14ac:dyDescent="0.25">
      <c r="A8" s="26">
        <f t="shared" ref="A8:A71" si="0">+A7+1</f>
        <v>2</v>
      </c>
      <c r="B8" s="22"/>
      <c r="C8" s="22"/>
      <c r="D8" s="27" t="s">
        <v>4</v>
      </c>
      <c r="E8" s="28" t="s">
        <v>5</v>
      </c>
      <c r="F8" s="25"/>
      <c r="G8" s="22"/>
      <c r="H8" s="22"/>
      <c r="I8" s="22"/>
      <c r="J8" s="22"/>
    </row>
    <row r="9" spans="1:10" x14ac:dyDescent="0.25">
      <c r="A9" s="26">
        <f t="shared" si="0"/>
        <v>3</v>
      </c>
      <c r="B9" s="22"/>
      <c r="C9" s="22"/>
      <c r="D9" s="29" t="s">
        <v>6</v>
      </c>
      <c r="E9" s="29" t="s">
        <v>6</v>
      </c>
      <c r="F9" s="29" t="s">
        <v>7</v>
      </c>
      <c r="G9" s="29" t="s">
        <v>7</v>
      </c>
      <c r="H9" s="29" t="s">
        <v>7</v>
      </c>
      <c r="I9" s="29"/>
      <c r="J9" s="29"/>
    </row>
    <row r="10" spans="1:10" ht="34.5" customHeight="1" thickBot="1" x14ac:dyDescent="0.3">
      <c r="A10" s="26">
        <f t="shared" si="0"/>
        <v>4</v>
      </c>
      <c r="B10" s="22"/>
      <c r="C10" s="22"/>
      <c r="D10" s="30" t="s">
        <v>8</v>
      </c>
      <c r="E10" s="30" t="s">
        <v>9</v>
      </c>
      <c r="F10" s="30" t="s">
        <v>10</v>
      </c>
      <c r="G10" s="30" t="s">
        <v>11</v>
      </c>
      <c r="H10" s="30" t="s">
        <v>12</v>
      </c>
      <c r="I10" s="30" t="s">
        <v>13</v>
      </c>
      <c r="J10" s="30" t="s">
        <v>14</v>
      </c>
    </row>
    <row r="11" spans="1:10" x14ac:dyDescent="0.25">
      <c r="A11" s="26">
        <f t="shared" si="0"/>
        <v>5</v>
      </c>
      <c r="B11" s="22"/>
      <c r="C11" s="22"/>
      <c r="D11" s="31"/>
      <c r="E11" s="31"/>
      <c r="F11" s="31"/>
      <c r="G11" s="31"/>
      <c r="H11" s="29"/>
      <c r="I11" s="29" t="s">
        <v>15</v>
      </c>
      <c r="J11" s="29" t="s">
        <v>16</v>
      </c>
    </row>
    <row r="12" spans="1:10" x14ac:dyDescent="0.25">
      <c r="A12" s="26">
        <f t="shared" si="0"/>
        <v>6</v>
      </c>
      <c r="B12" s="32" t="s">
        <v>17</v>
      </c>
      <c r="C12" s="32" t="s">
        <v>18</v>
      </c>
      <c r="D12" s="33" t="s">
        <v>19</v>
      </c>
      <c r="E12" s="33" t="s">
        <v>20</v>
      </c>
      <c r="F12" s="33" t="s">
        <v>21</v>
      </c>
      <c r="G12" s="33" t="s">
        <v>22</v>
      </c>
      <c r="H12" s="33" t="s">
        <v>23</v>
      </c>
      <c r="I12" s="33" t="s">
        <v>24</v>
      </c>
      <c r="J12" s="33" t="s">
        <v>25</v>
      </c>
    </row>
    <row r="13" spans="1:10" x14ac:dyDescent="0.25">
      <c r="A13" s="26">
        <f t="shared" si="0"/>
        <v>7</v>
      </c>
      <c r="B13" s="34" t="s">
        <v>26</v>
      </c>
      <c r="C13" s="34"/>
      <c r="D13" s="35">
        <v>0.11328000000000001</v>
      </c>
      <c r="E13" s="36">
        <v>4.099999999999937E-4</v>
      </c>
      <c r="F13" s="37">
        <f>+'[1]Allocation equal ¢ per therm'!H13</f>
        <v>0.12476</v>
      </c>
      <c r="G13" s="37">
        <f>+'[1]Allocation equal ¢ per therm'!K13</f>
        <v>-7.6800000000000002E-3</v>
      </c>
      <c r="H13" s="37">
        <f>+'[1]Allocation equal ¢ per therm'!N13</f>
        <v>0</v>
      </c>
      <c r="I13" s="37">
        <f>SUM(F13:H13)</f>
        <v>0.11707999999999999</v>
      </c>
      <c r="J13" s="37">
        <f>I13-E13</f>
        <v>0.11667</v>
      </c>
    </row>
    <row r="14" spans="1:10" x14ac:dyDescent="0.25">
      <c r="A14" s="26">
        <f t="shared" si="0"/>
        <v>8</v>
      </c>
      <c r="B14" s="34" t="s">
        <v>27</v>
      </c>
      <c r="C14" s="34"/>
      <c r="D14" s="35">
        <v>9.6329999999999999E-2</v>
      </c>
      <c r="E14" s="35">
        <v>4.099999999999937E-4</v>
      </c>
      <c r="F14" s="37">
        <f>+'[1]Allocation equal ¢ per therm'!H14</f>
        <v>0.12476</v>
      </c>
      <c r="G14" s="37">
        <f>+'[1]Allocation equal ¢ per therm'!K14</f>
        <v>-7.6800000000000002E-3</v>
      </c>
      <c r="H14" s="37">
        <f>+'[1]Allocation equal ¢ per therm'!N14</f>
        <v>0</v>
      </c>
      <c r="I14" s="37">
        <f t="shared" ref="I14:I80" si="1">SUM(F14:H14)</f>
        <v>0.11707999999999999</v>
      </c>
      <c r="J14" s="37">
        <f t="shared" ref="J14:J80" si="2">I14-E14</f>
        <v>0.11667</v>
      </c>
    </row>
    <row r="15" spans="1:10" x14ac:dyDescent="0.25">
      <c r="A15" s="26">
        <f t="shared" si="0"/>
        <v>9</v>
      </c>
      <c r="B15" s="34" t="s">
        <v>28</v>
      </c>
      <c r="C15" s="34"/>
      <c r="D15" s="35">
        <v>7.3109999999999981E-2</v>
      </c>
      <c r="E15" s="35">
        <v>4.099999999999937E-4</v>
      </c>
      <c r="F15" s="37">
        <f>+'[1]Allocation equal ¢ per therm'!H15</f>
        <v>0.12476</v>
      </c>
      <c r="G15" s="37">
        <f>+'[1]Allocation equal ¢ per therm'!K15</f>
        <v>-7.6800000000000002E-3</v>
      </c>
      <c r="H15" s="37">
        <f>+'[1]Allocation equal ¢ per therm'!N15</f>
        <v>0</v>
      </c>
      <c r="I15" s="37">
        <f t="shared" si="1"/>
        <v>0.11707999999999999</v>
      </c>
      <c r="J15" s="37">
        <f>I15-E15</f>
        <v>0.11667</v>
      </c>
    </row>
    <row r="16" spans="1:10" x14ac:dyDescent="0.25">
      <c r="A16" s="26">
        <f t="shared" si="0"/>
        <v>10</v>
      </c>
      <c r="B16" s="34" t="s">
        <v>29</v>
      </c>
      <c r="C16" s="34"/>
      <c r="D16" s="35">
        <v>6.5529999999999991E-2</v>
      </c>
      <c r="E16" s="35">
        <v>4.099999999999937E-4</v>
      </c>
      <c r="F16" s="37">
        <f>+'[1]Allocation equal ¢ per therm'!H16</f>
        <v>0.12476</v>
      </c>
      <c r="G16" s="37">
        <f>+'[1]Allocation equal ¢ per therm'!K16</f>
        <v>-7.6800000000000002E-3</v>
      </c>
      <c r="H16" s="37">
        <f>+'[1]Allocation equal ¢ per therm'!N16</f>
        <v>0</v>
      </c>
      <c r="I16" s="37">
        <f t="shared" si="1"/>
        <v>0.11707999999999999</v>
      </c>
      <c r="J16" s="37">
        <f t="shared" si="2"/>
        <v>0.11667</v>
      </c>
    </row>
    <row r="17" spans="1:10" x14ac:dyDescent="0.25">
      <c r="A17" s="26">
        <f t="shared" si="0"/>
        <v>11</v>
      </c>
      <c r="B17" s="34" t="s">
        <v>30</v>
      </c>
      <c r="C17" s="34"/>
      <c r="D17" s="35">
        <v>7.9499999999999935E-3</v>
      </c>
      <c r="E17" s="35">
        <v>4.099999999999937E-4</v>
      </c>
      <c r="F17" s="37">
        <f>+'[1]Allocation equal ¢ per therm'!H17</f>
        <v>0.12476</v>
      </c>
      <c r="G17" s="37">
        <f>+'[1]Allocation equal ¢ per therm'!K17</f>
        <v>-7.6800000000000002E-3</v>
      </c>
      <c r="H17" s="37">
        <f>+'[1]Allocation equal ¢ per therm'!N17</f>
        <v>0</v>
      </c>
      <c r="I17" s="37">
        <f t="shared" si="1"/>
        <v>0.11707999999999999</v>
      </c>
      <c r="J17" s="37">
        <f>I17-E17</f>
        <v>0.11667</v>
      </c>
    </row>
    <row r="18" spans="1:10" x14ac:dyDescent="0.25">
      <c r="A18" s="26">
        <f t="shared" si="0"/>
        <v>12</v>
      </c>
      <c r="B18" s="38">
        <v>27</v>
      </c>
      <c r="C18" s="38"/>
      <c r="D18" s="35">
        <v>4.7109999999999999E-2</v>
      </c>
      <c r="E18" s="35">
        <v>4.099999999999937E-4</v>
      </c>
      <c r="F18" s="37">
        <f>+'[1]Allocation equal ¢ per therm'!H18</f>
        <v>0.12476</v>
      </c>
      <c r="G18" s="37">
        <f>+'[1]Allocation equal ¢ per therm'!K18</f>
        <v>-7.6800000000000002E-3</v>
      </c>
      <c r="H18" s="37">
        <f>+'[1]Allocation equal ¢ per therm'!N18</f>
        <v>0</v>
      </c>
      <c r="I18" s="37">
        <f t="shared" si="1"/>
        <v>0.11707999999999999</v>
      </c>
      <c r="J18" s="37">
        <f t="shared" si="2"/>
        <v>0.11667</v>
      </c>
    </row>
    <row r="19" spans="1:10" x14ac:dyDescent="0.25">
      <c r="A19" s="26">
        <f t="shared" si="0"/>
        <v>13</v>
      </c>
      <c r="B19" s="26" t="s">
        <v>31</v>
      </c>
      <c r="C19" s="39" t="s">
        <v>32</v>
      </c>
      <c r="D19" s="40">
        <v>5.1139999999999991E-2</v>
      </c>
      <c r="E19" s="40">
        <v>4.099999999999937E-4</v>
      </c>
      <c r="F19" s="25">
        <f>+'[1]Allocation equal ¢ per therm'!H19</f>
        <v>0.12476</v>
      </c>
      <c r="G19" s="25">
        <f>+'[1]Allocation equal ¢ per therm'!K19</f>
        <v>-7.6800000000000002E-3</v>
      </c>
      <c r="H19" s="25">
        <f>+'[1]Allocation equal ¢ per therm'!N19</f>
        <v>0</v>
      </c>
      <c r="I19" s="25">
        <f t="shared" si="1"/>
        <v>0.11707999999999999</v>
      </c>
      <c r="J19" s="25">
        <f t="shared" si="2"/>
        <v>0.11667</v>
      </c>
    </row>
    <row r="20" spans="1:10" x14ac:dyDescent="0.25">
      <c r="A20" s="26">
        <f t="shared" si="0"/>
        <v>14</v>
      </c>
      <c r="B20" s="38"/>
      <c r="C20" s="41" t="s">
        <v>33</v>
      </c>
      <c r="D20" s="35">
        <v>4.5110000000000011E-2</v>
      </c>
      <c r="E20" s="35">
        <v>4.099999999999937E-4</v>
      </c>
      <c r="F20" s="37">
        <f>+'[1]Allocation equal ¢ per therm'!H20</f>
        <v>0.12476</v>
      </c>
      <c r="G20" s="37">
        <f>+'[1]Allocation equal ¢ per therm'!K20</f>
        <v>-7.6800000000000002E-3</v>
      </c>
      <c r="H20" s="37">
        <f>+'[1]Allocation equal ¢ per therm'!N20</f>
        <v>0</v>
      </c>
      <c r="I20" s="37">
        <f t="shared" si="1"/>
        <v>0.11707999999999999</v>
      </c>
      <c r="J20" s="37">
        <f t="shared" si="2"/>
        <v>0.11667</v>
      </c>
    </row>
    <row r="21" spans="1:10" x14ac:dyDescent="0.25">
      <c r="A21" s="26">
        <f t="shared" si="0"/>
        <v>15</v>
      </c>
      <c r="B21" s="26" t="s">
        <v>34</v>
      </c>
      <c r="C21" s="39" t="s">
        <v>32</v>
      </c>
      <c r="D21" s="40">
        <v>8.8479999999999989E-2</v>
      </c>
      <c r="E21" s="40">
        <v>3.6739999999999995E-2</v>
      </c>
      <c r="F21" s="25">
        <f>+'[1]Allocation equal ¢ per therm'!H21</f>
        <v>0.12476</v>
      </c>
      <c r="G21" s="25">
        <f>+'[1]Allocation equal ¢ per therm'!K21</f>
        <v>0</v>
      </c>
      <c r="H21" s="25">
        <f>+'[1]Allocation equal ¢ per therm'!N21</f>
        <v>-8.3300000000000006E-3</v>
      </c>
      <c r="I21" s="25">
        <f t="shared" si="1"/>
        <v>0.11642999999999999</v>
      </c>
      <c r="J21" s="25">
        <f t="shared" si="2"/>
        <v>7.9689999999999997E-2</v>
      </c>
    </row>
    <row r="22" spans="1:10" x14ac:dyDescent="0.25">
      <c r="A22" s="26">
        <f t="shared" si="0"/>
        <v>16</v>
      </c>
      <c r="B22" s="38"/>
      <c r="C22" s="41" t="s">
        <v>33</v>
      </c>
      <c r="D22" s="35">
        <v>8.2329999999999987E-2</v>
      </c>
      <c r="E22" s="35">
        <v>3.6739999999999995E-2</v>
      </c>
      <c r="F22" s="37">
        <f>+'[1]Allocation equal ¢ per therm'!H22</f>
        <v>0.12476</v>
      </c>
      <c r="G22" s="37">
        <f>+'[1]Allocation equal ¢ per therm'!K22</f>
        <v>0</v>
      </c>
      <c r="H22" s="37">
        <f>+'[1]Allocation equal ¢ per therm'!N22</f>
        <v>-8.3300000000000006E-3</v>
      </c>
      <c r="I22" s="37">
        <f t="shared" si="1"/>
        <v>0.11642999999999999</v>
      </c>
      <c r="J22" s="37">
        <f t="shared" si="2"/>
        <v>7.9689999999999997E-2</v>
      </c>
    </row>
    <row r="23" spans="1:10" x14ac:dyDescent="0.25">
      <c r="A23" s="26">
        <f t="shared" si="0"/>
        <v>17</v>
      </c>
      <c r="B23" s="26" t="s">
        <v>35</v>
      </c>
      <c r="C23" s="39" t="s">
        <v>32</v>
      </c>
      <c r="D23" s="40">
        <v>1.8199999999999994E-3</v>
      </c>
      <c r="E23" s="40">
        <v>0</v>
      </c>
      <c r="F23" s="25">
        <f>+'[1]Allocation equal ¢ per therm'!H23</f>
        <v>0</v>
      </c>
      <c r="G23" s="25">
        <f>+'[1]Allocation equal ¢ per therm'!K23</f>
        <v>0</v>
      </c>
      <c r="H23" s="25">
        <f>+'[1]Allocation equal ¢ per therm'!N23</f>
        <v>0</v>
      </c>
      <c r="I23" s="25">
        <f t="shared" si="1"/>
        <v>0</v>
      </c>
      <c r="J23" s="25">
        <f t="shared" si="2"/>
        <v>0</v>
      </c>
    </row>
    <row r="24" spans="1:10" x14ac:dyDescent="0.25">
      <c r="A24" s="26">
        <f t="shared" si="0"/>
        <v>18</v>
      </c>
      <c r="B24" s="38"/>
      <c r="C24" s="41" t="s">
        <v>33</v>
      </c>
      <c r="D24" s="35">
        <v>1.6100000000000001E-3</v>
      </c>
      <c r="E24" s="35">
        <v>0</v>
      </c>
      <c r="F24" s="37">
        <f>+'[1]Allocation equal ¢ per therm'!H24</f>
        <v>0</v>
      </c>
      <c r="G24" s="37">
        <f>+'[1]Allocation equal ¢ per therm'!K24</f>
        <v>0</v>
      </c>
      <c r="H24" s="37">
        <f>+'[1]Allocation equal ¢ per therm'!N24</f>
        <v>0</v>
      </c>
      <c r="I24" s="37">
        <f t="shared" si="1"/>
        <v>0</v>
      </c>
      <c r="J24" s="37">
        <f t="shared" si="2"/>
        <v>0</v>
      </c>
    </row>
    <row r="25" spans="1:10" x14ac:dyDescent="0.25">
      <c r="A25" s="26">
        <f t="shared" si="0"/>
        <v>19</v>
      </c>
      <c r="B25" s="32" t="s">
        <v>36</v>
      </c>
      <c r="C25" s="39" t="s">
        <v>32</v>
      </c>
      <c r="D25" s="42">
        <v>2.7699999999999999E-3</v>
      </c>
      <c r="E25" s="42">
        <v>0</v>
      </c>
      <c r="F25" s="25">
        <f>+'[1]Allocation equal ¢ per therm'!H25</f>
        <v>0</v>
      </c>
      <c r="G25" s="25">
        <f>+'[1]Allocation equal ¢ per therm'!K25</f>
        <v>0</v>
      </c>
      <c r="H25" s="25">
        <f>+'[1]Allocation equal ¢ per therm'!N25</f>
        <v>0</v>
      </c>
      <c r="I25" s="25">
        <f t="shared" ref="I25:I26" si="3">SUM(F25:H25)</f>
        <v>0</v>
      </c>
      <c r="J25" s="25">
        <f t="shared" si="2"/>
        <v>0</v>
      </c>
    </row>
    <row r="26" spans="1:10" x14ac:dyDescent="0.25">
      <c r="A26" s="26">
        <f t="shared" si="0"/>
        <v>20</v>
      </c>
      <c r="B26" s="38"/>
      <c r="C26" s="41" t="s">
        <v>33</v>
      </c>
      <c r="D26" s="35">
        <v>2.4399999999999999E-3</v>
      </c>
      <c r="E26" s="35">
        <v>0</v>
      </c>
      <c r="F26" s="37">
        <f>+'[1]Allocation equal ¢ per therm'!H26</f>
        <v>0</v>
      </c>
      <c r="G26" s="37">
        <f>+'[1]Allocation equal ¢ per therm'!K26</f>
        <v>0</v>
      </c>
      <c r="H26" s="37">
        <f>+'[1]Allocation equal ¢ per therm'!N26</f>
        <v>0</v>
      </c>
      <c r="I26" s="37">
        <f t="shared" si="3"/>
        <v>0</v>
      </c>
      <c r="J26" s="37">
        <f t="shared" si="2"/>
        <v>0</v>
      </c>
    </row>
    <row r="27" spans="1:10" x14ac:dyDescent="0.25">
      <c r="A27" s="26">
        <f t="shared" si="0"/>
        <v>21</v>
      </c>
      <c r="B27" s="26" t="s">
        <v>37</v>
      </c>
      <c r="C27" s="39" t="s">
        <v>32</v>
      </c>
      <c r="D27" s="40">
        <v>6.8899999999999934E-3</v>
      </c>
      <c r="E27" s="40">
        <v>4.099999999999937E-4</v>
      </c>
      <c r="F27" s="25">
        <f>+'[1]Allocation equal ¢ per therm'!H27</f>
        <v>0.12476</v>
      </c>
      <c r="G27" s="25">
        <f>+'[1]Allocation equal ¢ per therm'!K27</f>
        <v>-7.6800000000000002E-3</v>
      </c>
      <c r="H27" s="25">
        <f>+'[1]Allocation equal ¢ per therm'!N27</f>
        <v>0</v>
      </c>
      <c r="I27" s="25">
        <f t="shared" si="1"/>
        <v>0.11707999999999999</v>
      </c>
      <c r="J27" s="25">
        <f t="shared" si="2"/>
        <v>0.11667</v>
      </c>
    </row>
    <row r="28" spans="1:10" x14ac:dyDescent="0.25">
      <c r="A28" s="26">
        <f t="shared" si="0"/>
        <v>22</v>
      </c>
      <c r="B28" s="38"/>
      <c r="C28" s="41" t="s">
        <v>33</v>
      </c>
      <c r="D28" s="35">
        <v>6.1199999999999926E-3</v>
      </c>
      <c r="E28" s="35">
        <v>4.099999999999937E-4</v>
      </c>
      <c r="F28" s="37">
        <f>+'[1]Allocation equal ¢ per therm'!H28</f>
        <v>0.12476</v>
      </c>
      <c r="G28" s="37">
        <f>+'[1]Allocation equal ¢ per therm'!K28</f>
        <v>-7.6800000000000002E-3</v>
      </c>
      <c r="H28" s="37">
        <f>+'[1]Allocation equal ¢ per therm'!N28</f>
        <v>0</v>
      </c>
      <c r="I28" s="37">
        <f t="shared" si="1"/>
        <v>0.11707999999999999</v>
      </c>
      <c r="J28" s="37">
        <f t="shared" si="2"/>
        <v>0.11667</v>
      </c>
    </row>
    <row r="29" spans="1:10" x14ac:dyDescent="0.25">
      <c r="A29" s="26">
        <f t="shared" si="0"/>
        <v>23</v>
      </c>
      <c r="B29" s="26" t="s">
        <v>38</v>
      </c>
      <c r="C29" s="39" t="s">
        <v>32</v>
      </c>
      <c r="D29" s="40">
        <v>4.4580000000000002E-2</v>
      </c>
      <c r="E29" s="40">
        <v>3.6739999999999995E-2</v>
      </c>
      <c r="F29" s="25">
        <f>+'[1]Allocation equal ¢ per therm'!H29</f>
        <v>0.12476</v>
      </c>
      <c r="G29" s="25">
        <f>+'[1]Allocation equal ¢ per therm'!K29</f>
        <v>0</v>
      </c>
      <c r="H29" s="25">
        <f>+'[1]Allocation equal ¢ per therm'!N29</f>
        <v>-8.3300000000000006E-3</v>
      </c>
      <c r="I29" s="25">
        <f t="shared" si="1"/>
        <v>0.11642999999999999</v>
      </c>
      <c r="J29" s="25">
        <f t="shared" si="2"/>
        <v>7.9689999999999997E-2</v>
      </c>
    </row>
    <row r="30" spans="1:10" x14ac:dyDescent="0.25">
      <c r="A30" s="26">
        <f t="shared" si="0"/>
        <v>24</v>
      </c>
      <c r="B30" s="38"/>
      <c r="C30" s="41" t="s">
        <v>33</v>
      </c>
      <c r="D30" s="35">
        <v>4.3659999999999997E-2</v>
      </c>
      <c r="E30" s="35">
        <v>3.6739999999999995E-2</v>
      </c>
      <c r="F30" s="37">
        <f>+'[1]Allocation equal ¢ per therm'!H30</f>
        <v>0.12476</v>
      </c>
      <c r="G30" s="37">
        <f>+'[1]Allocation equal ¢ per therm'!K30</f>
        <v>0</v>
      </c>
      <c r="H30" s="37">
        <f>+'[1]Allocation equal ¢ per therm'!N30</f>
        <v>-8.3300000000000006E-3</v>
      </c>
      <c r="I30" s="37">
        <f t="shared" si="1"/>
        <v>0.11642999999999999</v>
      </c>
      <c r="J30" s="37">
        <f t="shared" si="2"/>
        <v>7.9689999999999997E-2</v>
      </c>
    </row>
    <row r="31" spans="1:10" x14ac:dyDescent="0.25">
      <c r="A31" s="26">
        <f t="shared" si="0"/>
        <v>25</v>
      </c>
      <c r="B31" s="26" t="s">
        <v>39</v>
      </c>
      <c r="C31" s="39" t="s">
        <v>32</v>
      </c>
      <c r="D31" s="40">
        <v>2.7019999999999995E-2</v>
      </c>
      <c r="E31" s="40">
        <v>4.099999999999937E-4</v>
      </c>
      <c r="F31" s="25">
        <f>+'[1]Allocation equal ¢ per therm'!H31</f>
        <v>0.12476</v>
      </c>
      <c r="G31" s="25">
        <f>+'[1]Allocation equal ¢ per therm'!K31</f>
        <v>-7.6800000000000002E-3</v>
      </c>
      <c r="H31" s="25">
        <f>+'[1]Allocation equal ¢ per therm'!N31</f>
        <v>0</v>
      </c>
      <c r="I31" s="25">
        <f t="shared" si="1"/>
        <v>0.11707999999999999</v>
      </c>
      <c r="J31" s="25">
        <f t="shared" si="2"/>
        <v>0.11667</v>
      </c>
    </row>
    <row r="32" spans="1:10" x14ac:dyDescent="0.25">
      <c r="A32" s="26">
        <f t="shared" si="0"/>
        <v>26</v>
      </c>
      <c r="B32" s="26"/>
      <c r="C32" s="39" t="s">
        <v>33</v>
      </c>
      <c r="D32" s="40">
        <v>2.4219999999999995E-2</v>
      </c>
      <c r="E32" s="40">
        <v>4.099999999999937E-4</v>
      </c>
      <c r="F32" s="25">
        <f>+'[1]Allocation equal ¢ per therm'!H32</f>
        <v>0.12476</v>
      </c>
      <c r="G32" s="25">
        <f>+'[1]Allocation equal ¢ per therm'!K32</f>
        <v>-7.6800000000000002E-3</v>
      </c>
      <c r="H32" s="25">
        <f>+'[1]Allocation equal ¢ per therm'!N32</f>
        <v>0</v>
      </c>
      <c r="I32" s="25">
        <f t="shared" si="1"/>
        <v>0.11707999999999999</v>
      </c>
      <c r="J32" s="25">
        <f t="shared" si="2"/>
        <v>0.11667</v>
      </c>
    </row>
    <row r="33" spans="1:10" x14ac:dyDescent="0.25">
      <c r="A33" s="26">
        <f t="shared" si="0"/>
        <v>27</v>
      </c>
      <c r="B33" s="26"/>
      <c r="C33" s="39" t="s">
        <v>40</v>
      </c>
      <c r="D33" s="40">
        <v>1.8649999999999993E-2</v>
      </c>
      <c r="E33" s="40">
        <v>4.099999999999937E-4</v>
      </c>
      <c r="F33" s="25">
        <f>+'[1]Allocation equal ¢ per therm'!H33</f>
        <v>0.12476</v>
      </c>
      <c r="G33" s="25">
        <f>+'[1]Allocation equal ¢ per therm'!K33</f>
        <v>-7.6800000000000002E-3</v>
      </c>
      <c r="H33" s="25">
        <f>+'[1]Allocation equal ¢ per therm'!N33</f>
        <v>0</v>
      </c>
      <c r="I33" s="25">
        <f t="shared" si="1"/>
        <v>0.11707999999999999</v>
      </c>
      <c r="J33" s="25">
        <f t="shared" si="2"/>
        <v>0.11667</v>
      </c>
    </row>
    <row r="34" spans="1:10" x14ac:dyDescent="0.25">
      <c r="A34" s="26">
        <f t="shared" si="0"/>
        <v>28</v>
      </c>
      <c r="B34" s="26"/>
      <c r="C34" s="39" t="s">
        <v>41</v>
      </c>
      <c r="D34" s="40">
        <v>1.500999999999999E-2</v>
      </c>
      <c r="E34" s="40">
        <v>4.099999999999937E-4</v>
      </c>
      <c r="F34" s="25">
        <f>+'[1]Allocation equal ¢ per therm'!H34</f>
        <v>0.12476</v>
      </c>
      <c r="G34" s="25">
        <f>+'[1]Allocation equal ¢ per therm'!K34</f>
        <v>-7.6800000000000002E-3</v>
      </c>
      <c r="H34" s="25">
        <f>+'[1]Allocation equal ¢ per therm'!N34</f>
        <v>0</v>
      </c>
      <c r="I34" s="25">
        <f t="shared" si="1"/>
        <v>0.11707999999999999</v>
      </c>
      <c r="J34" s="25">
        <f t="shared" si="2"/>
        <v>0.11667</v>
      </c>
    </row>
    <row r="35" spans="1:10" x14ac:dyDescent="0.25">
      <c r="A35" s="26">
        <f t="shared" si="0"/>
        <v>29</v>
      </c>
      <c r="B35" s="26"/>
      <c r="C35" s="39" t="s">
        <v>42</v>
      </c>
      <c r="D35" s="40">
        <v>1.0149999999999996E-2</v>
      </c>
      <c r="E35" s="40">
        <v>4.099999999999937E-4</v>
      </c>
      <c r="F35" s="25">
        <f>+'[1]Allocation equal ¢ per therm'!H35</f>
        <v>0.12476</v>
      </c>
      <c r="G35" s="25">
        <f>+'[1]Allocation equal ¢ per therm'!K35</f>
        <v>-7.6800000000000002E-3</v>
      </c>
      <c r="H35" s="25">
        <f>+'[1]Allocation equal ¢ per therm'!N35</f>
        <v>0</v>
      </c>
      <c r="I35" s="25">
        <f t="shared" si="1"/>
        <v>0.11707999999999999</v>
      </c>
      <c r="J35" s="25">
        <f t="shared" si="2"/>
        <v>0.11667</v>
      </c>
    </row>
    <row r="36" spans="1:10" x14ac:dyDescent="0.25">
      <c r="A36" s="26">
        <f t="shared" si="0"/>
        <v>30</v>
      </c>
      <c r="B36" s="38"/>
      <c r="C36" s="41" t="s">
        <v>43</v>
      </c>
      <c r="D36" s="35">
        <v>4.0499999999999928E-3</v>
      </c>
      <c r="E36" s="35">
        <v>4.099999999999937E-4</v>
      </c>
      <c r="F36" s="37">
        <f>+'[1]Allocation equal ¢ per therm'!H36</f>
        <v>0.12476</v>
      </c>
      <c r="G36" s="37">
        <f>+'[1]Allocation equal ¢ per therm'!K36</f>
        <v>-7.6800000000000002E-3</v>
      </c>
      <c r="H36" s="37">
        <f>+'[1]Allocation equal ¢ per therm'!N36</f>
        <v>0</v>
      </c>
      <c r="I36" s="37">
        <f t="shared" si="1"/>
        <v>0.11707999999999999</v>
      </c>
      <c r="J36" s="37">
        <f t="shared" si="2"/>
        <v>0.11667</v>
      </c>
    </row>
    <row r="37" spans="1:10" x14ac:dyDescent="0.25">
      <c r="A37" s="26">
        <f t="shared" si="0"/>
        <v>31</v>
      </c>
      <c r="B37" s="26" t="s">
        <v>44</v>
      </c>
      <c r="C37" s="39" t="s">
        <v>32</v>
      </c>
      <c r="D37" s="40">
        <v>4.0599999999999933E-3</v>
      </c>
      <c r="E37" s="40">
        <v>4.099999999999937E-4</v>
      </c>
      <c r="F37" s="25">
        <f>+'[1]Allocation equal ¢ per therm'!H37</f>
        <v>0.12476</v>
      </c>
      <c r="G37" s="25">
        <f>+'[1]Allocation equal ¢ per therm'!K37</f>
        <v>-7.6800000000000002E-3</v>
      </c>
      <c r="H37" s="25">
        <f>+'[1]Allocation equal ¢ per therm'!N37</f>
        <v>0</v>
      </c>
      <c r="I37" s="25">
        <f t="shared" si="1"/>
        <v>0.11707999999999999</v>
      </c>
      <c r="J37" s="25">
        <f t="shared" si="2"/>
        <v>0.11667</v>
      </c>
    </row>
    <row r="38" spans="1:10" x14ac:dyDescent="0.25">
      <c r="A38" s="26">
        <f t="shared" si="0"/>
        <v>32</v>
      </c>
      <c r="B38" s="26"/>
      <c r="C38" s="39" t="s">
        <v>33</v>
      </c>
      <c r="D38" s="40">
        <v>3.679999999999994E-3</v>
      </c>
      <c r="E38" s="40">
        <v>4.099999999999937E-4</v>
      </c>
      <c r="F38" s="25">
        <f>+'[1]Allocation equal ¢ per therm'!H38</f>
        <v>0.12476</v>
      </c>
      <c r="G38" s="25">
        <f>+'[1]Allocation equal ¢ per therm'!K38</f>
        <v>-7.6800000000000002E-3</v>
      </c>
      <c r="H38" s="25">
        <f>+'[1]Allocation equal ¢ per therm'!N38</f>
        <v>0</v>
      </c>
      <c r="I38" s="25">
        <f t="shared" si="1"/>
        <v>0.11707999999999999</v>
      </c>
      <c r="J38" s="25">
        <f t="shared" si="2"/>
        <v>0.11667</v>
      </c>
    </row>
    <row r="39" spans="1:10" x14ac:dyDescent="0.25">
      <c r="A39" s="26">
        <f t="shared" si="0"/>
        <v>33</v>
      </c>
      <c r="B39" s="26"/>
      <c r="C39" s="39" t="s">
        <v>40</v>
      </c>
      <c r="D39" s="40">
        <v>2.9199999999999929E-3</v>
      </c>
      <c r="E39" s="40">
        <v>4.099999999999937E-4</v>
      </c>
      <c r="F39" s="25">
        <f>+'[1]Allocation equal ¢ per therm'!H39</f>
        <v>0.12476</v>
      </c>
      <c r="G39" s="25">
        <f>+'[1]Allocation equal ¢ per therm'!K39</f>
        <v>-7.6800000000000002E-3</v>
      </c>
      <c r="H39" s="25">
        <f>+'[1]Allocation equal ¢ per therm'!N39</f>
        <v>0</v>
      </c>
      <c r="I39" s="25">
        <f t="shared" si="1"/>
        <v>0.11707999999999999</v>
      </c>
      <c r="J39" s="25">
        <f t="shared" si="2"/>
        <v>0.11667</v>
      </c>
    </row>
    <row r="40" spans="1:10" x14ac:dyDescent="0.25">
      <c r="A40" s="26">
        <f t="shared" si="0"/>
        <v>34</v>
      </c>
      <c r="B40" s="26"/>
      <c r="C40" s="39" t="s">
        <v>41</v>
      </c>
      <c r="D40" s="40">
        <v>2.4099999999999933E-3</v>
      </c>
      <c r="E40" s="40">
        <v>4.099999999999937E-4</v>
      </c>
      <c r="F40" s="25">
        <f>+'[1]Allocation equal ¢ per therm'!H40</f>
        <v>0.12476</v>
      </c>
      <c r="G40" s="25">
        <f>+'[1]Allocation equal ¢ per therm'!K40</f>
        <v>-7.6800000000000002E-3</v>
      </c>
      <c r="H40" s="25">
        <f>+'[1]Allocation equal ¢ per therm'!N40</f>
        <v>0</v>
      </c>
      <c r="I40" s="25">
        <f t="shared" si="1"/>
        <v>0.11707999999999999</v>
      </c>
      <c r="J40" s="25">
        <f t="shared" si="2"/>
        <v>0.11667</v>
      </c>
    </row>
    <row r="41" spans="1:10" x14ac:dyDescent="0.25">
      <c r="A41" s="26">
        <f t="shared" si="0"/>
        <v>35</v>
      </c>
      <c r="B41" s="26"/>
      <c r="C41" s="39" t="s">
        <v>42</v>
      </c>
      <c r="D41" s="40">
        <v>1.749999999999994E-3</v>
      </c>
      <c r="E41" s="40">
        <v>4.099999999999937E-4</v>
      </c>
      <c r="F41" s="25">
        <f>+'[1]Allocation equal ¢ per therm'!H41</f>
        <v>0.12476</v>
      </c>
      <c r="G41" s="25">
        <f>+'[1]Allocation equal ¢ per therm'!K41</f>
        <v>-7.6800000000000002E-3</v>
      </c>
      <c r="H41" s="25">
        <f>+'[1]Allocation equal ¢ per therm'!N41</f>
        <v>0</v>
      </c>
      <c r="I41" s="25">
        <f t="shared" si="1"/>
        <v>0.11707999999999999</v>
      </c>
      <c r="J41" s="25">
        <f t="shared" si="2"/>
        <v>0.11667</v>
      </c>
    </row>
    <row r="42" spans="1:10" x14ac:dyDescent="0.25">
      <c r="A42" s="26">
        <f t="shared" si="0"/>
        <v>36</v>
      </c>
      <c r="B42" s="38"/>
      <c r="C42" s="41" t="s">
        <v>43</v>
      </c>
      <c r="D42" s="35">
        <v>9.1999999999999363E-4</v>
      </c>
      <c r="E42" s="35">
        <v>4.099999999999937E-4</v>
      </c>
      <c r="F42" s="37">
        <f>+'[1]Allocation equal ¢ per therm'!H42</f>
        <v>0.12476</v>
      </c>
      <c r="G42" s="37">
        <f>+'[1]Allocation equal ¢ per therm'!K42</f>
        <v>-7.6800000000000002E-3</v>
      </c>
      <c r="H42" s="37">
        <f>+'[1]Allocation equal ¢ per therm'!N42</f>
        <v>0</v>
      </c>
      <c r="I42" s="37">
        <f t="shared" si="1"/>
        <v>0.11707999999999999</v>
      </c>
      <c r="J42" s="37">
        <f t="shared" si="2"/>
        <v>0.11667</v>
      </c>
    </row>
    <row r="43" spans="1:10" x14ac:dyDescent="0.25">
      <c r="A43" s="26">
        <f t="shared" si="0"/>
        <v>37</v>
      </c>
      <c r="B43" s="26" t="s">
        <v>45</v>
      </c>
      <c r="C43" s="39" t="s">
        <v>32</v>
      </c>
      <c r="D43" s="40">
        <v>4.8999999999999998E-4</v>
      </c>
      <c r="E43" s="40">
        <v>0</v>
      </c>
      <c r="F43" s="25">
        <f>+'[1]Allocation equal ¢ per therm'!H43</f>
        <v>0</v>
      </c>
      <c r="G43" s="25">
        <f>+'[1]Allocation equal ¢ per therm'!K43</f>
        <v>0</v>
      </c>
      <c r="H43" s="25">
        <f>+'[1]Allocation equal ¢ per therm'!N43</f>
        <v>0</v>
      </c>
      <c r="I43" s="25">
        <f t="shared" si="1"/>
        <v>0</v>
      </c>
      <c r="J43" s="25">
        <f t="shared" si="2"/>
        <v>0</v>
      </c>
    </row>
    <row r="44" spans="1:10" x14ac:dyDescent="0.25">
      <c r="A44" s="26">
        <f t="shared" si="0"/>
        <v>38</v>
      </c>
      <c r="B44" s="26"/>
      <c r="C44" s="39" t="s">
        <v>33</v>
      </c>
      <c r="D44" s="40">
        <v>4.3000000000000004E-4</v>
      </c>
      <c r="E44" s="40">
        <v>0</v>
      </c>
      <c r="F44" s="25">
        <f>+'[1]Allocation equal ¢ per therm'!H44</f>
        <v>0</v>
      </c>
      <c r="G44" s="25">
        <f>+'[1]Allocation equal ¢ per therm'!K44</f>
        <v>0</v>
      </c>
      <c r="H44" s="25">
        <f>+'[1]Allocation equal ¢ per therm'!N44</f>
        <v>0</v>
      </c>
      <c r="I44" s="25">
        <f t="shared" si="1"/>
        <v>0</v>
      </c>
      <c r="J44" s="25">
        <f t="shared" si="2"/>
        <v>0</v>
      </c>
    </row>
    <row r="45" spans="1:10" x14ac:dyDescent="0.25">
      <c r="A45" s="26">
        <f t="shared" si="0"/>
        <v>39</v>
      </c>
      <c r="B45" s="26"/>
      <c r="C45" s="39" t="s">
        <v>40</v>
      </c>
      <c r="D45" s="40">
        <v>3.3999999999999986E-4</v>
      </c>
      <c r="E45" s="40">
        <v>0</v>
      </c>
      <c r="F45" s="25">
        <f>+'[1]Allocation equal ¢ per therm'!H45</f>
        <v>0</v>
      </c>
      <c r="G45" s="25">
        <f>+'[1]Allocation equal ¢ per therm'!K45</f>
        <v>0</v>
      </c>
      <c r="H45" s="25">
        <f>+'[1]Allocation equal ¢ per therm'!N45</f>
        <v>0</v>
      </c>
      <c r="I45" s="25">
        <f t="shared" si="1"/>
        <v>0</v>
      </c>
      <c r="J45" s="25">
        <f t="shared" si="2"/>
        <v>0</v>
      </c>
    </row>
    <row r="46" spans="1:10" x14ac:dyDescent="0.25">
      <c r="A46" s="26">
        <f t="shared" si="0"/>
        <v>40</v>
      </c>
      <c r="B46" s="26"/>
      <c r="C46" s="39" t="s">
        <v>41</v>
      </c>
      <c r="D46" s="40">
        <v>2.7E-4</v>
      </c>
      <c r="E46" s="40">
        <v>0</v>
      </c>
      <c r="F46" s="25">
        <f>+'[1]Allocation equal ¢ per therm'!H46</f>
        <v>0</v>
      </c>
      <c r="G46" s="25">
        <f>+'[1]Allocation equal ¢ per therm'!K46</f>
        <v>0</v>
      </c>
      <c r="H46" s="25">
        <f>+'[1]Allocation equal ¢ per therm'!N46</f>
        <v>0</v>
      </c>
      <c r="I46" s="25">
        <f t="shared" si="1"/>
        <v>0</v>
      </c>
      <c r="J46" s="25">
        <f t="shared" si="2"/>
        <v>0</v>
      </c>
    </row>
    <row r="47" spans="1:10" x14ac:dyDescent="0.25">
      <c r="A47" s="26">
        <f t="shared" si="0"/>
        <v>41</v>
      </c>
      <c r="B47" s="26"/>
      <c r="C47" s="39" t="s">
        <v>42</v>
      </c>
      <c r="D47" s="40">
        <v>1.8999999999999996E-4</v>
      </c>
      <c r="E47" s="40">
        <v>0</v>
      </c>
      <c r="F47" s="25">
        <f>+'[1]Allocation equal ¢ per therm'!H47</f>
        <v>0</v>
      </c>
      <c r="G47" s="25">
        <f>+'[1]Allocation equal ¢ per therm'!K47</f>
        <v>0</v>
      </c>
      <c r="H47" s="25">
        <f>+'[1]Allocation equal ¢ per therm'!N47</f>
        <v>0</v>
      </c>
      <c r="I47" s="25">
        <f t="shared" si="1"/>
        <v>0</v>
      </c>
      <c r="J47" s="25">
        <f t="shared" si="2"/>
        <v>0</v>
      </c>
    </row>
    <row r="48" spans="1:10" x14ac:dyDescent="0.25">
      <c r="A48" s="26">
        <f t="shared" si="0"/>
        <v>42</v>
      </c>
      <c r="B48" s="38"/>
      <c r="C48" s="41" t="s">
        <v>43</v>
      </c>
      <c r="D48" s="35">
        <v>7.0000000000000007E-5</v>
      </c>
      <c r="E48" s="35">
        <v>0</v>
      </c>
      <c r="F48" s="37">
        <f>+'[1]Allocation equal ¢ per therm'!H48</f>
        <v>0</v>
      </c>
      <c r="G48" s="37">
        <f>+'[1]Allocation equal ¢ per therm'!K48</f>
        <v>0</v>
      </c>
      <c r="H48" s="37">
        <f>+'[1]Allocation equal ¢ per therm'!N48</f>
        <v>0</v>
      </c>
      <c r="I48" s="37">
        <f t="shared" si="1"/>
        <v>0</v>
      </c>
      <c r="J48" s="37">
        <f t="shared" si="2"/>
        <v>0</v>
      </c>
    </row>
    <row r="49" spans="1:10" x14ac:dyDescent="0.25">
      <c r="A49" s="26">
        <f t="shared" si="0"/>
        <v>43</v>
      </c>
      <c r="B49" s="26" t="s">
        <v>46</v>
      </c>
      <c r="C49" s="39" t="s">
        <v>32</v>
      </c>
      <c r="D49" s="40">
        <v>5.8999999999999981E-4</v>
      </c>
      <c r="E49" s="40">
        <v>0</v>
      </c>
      <c r="F49" s="25">
        <f>+'[1]Allocation equal ¢ per therm'!H49</f>
        <v>0</v>
      </c>
      <c r="G49" s="43">
        <f>+'[1]Allocation equal ¢ per therm'!K49</f>
        <v>0</v>
      </c>
      <c r="H49" s="43">
        <f>+'[1]Allocation equal ¢ per therm'!N49</f>
        <v>0</v>
      </c>
      <c r="I49" s="25">
        <f t="shared" ref="I49:I54" si="4">SUM(F49:H49)</f>
        <v>0</v>
      </c>
      <c r="J49" s="25">
        <f t="shared" si="2"/>
        <v>0</v>
      </c>
    </row>
    <row r="50" spans="1:10" x14ac:dyDescent="0.25">
      <c r="A50" s="26">
        <f t="shared" si="0"/>
        <v>44</v>
      </c>
      <c r="B50" s="26"/>
      <c r="C50" s="39" t="s">
        <v>33</v>
      </c>
      <c r="D50" s="40">
        <v>5.1999999999999985E-4</v>
      </c>
      <c r="E50" s="40">
        <v>0</v>
      </c>
      <c r="F50" s="25">
        <f>+'[1]Allocation equal ¢ per therm'!H50</f>
        <v>0</v>
      </c>
      <c r="G50" s="25">
        <f>+'[1]Allocation equal ¢ per therm'!K50</f>
        <v>0</v>
      </c>
      <c r="H50" s="25">
        <f>+'[1]Allocation equal ¢ per therm'!N50</f>
        <v>0</v>
      </c>
      <c r="I50" s="25">
        <f t="shared" si="4"/>
        <v>0</v>
      </c>
      <c r="J50" s="25">
        <f t="shared" si="2"/>
        <v>0</v>
      </c>
    </row>
    <row r="51" spans="1:10" x14ac:dyDescent="0.25">
      <c r="A51" s="26">
        <f t="shared" si="0"/>
        <v>45</v>
      </c>
      <c r="B51" s="26"/>
      <c r="C51" s="39" t="s">
        <v>40</v>
      </c>
      <c r="D51" s="40">
        <v>4.1000000000000005E-4</v>
      </c>
      <c r="E51" s="40">
        <v>0</v>
      </c>
      <c r="F51" s="25">
        <f>+'[1]Allocation equal ¢ per therm'!H51</f>
        <v>0</v>
      </c>
      <c r="G51" s="25">
        <f>+'[1]Allocation equal ¢ per therm'!K51</f>
        <v>0</v>
      </c>
      <c r="H51" s="25">
        <f>+'[1]Allocation equal ¢ per therm'!N51</f>
        <v>0</v>
      </c>
      <c r="I51" s="25">
        <f t="shared" si="4"/>
        <v>0</v>
      </c>
      <c r="J51" s="25">
        <f t="shared" si="2"/>
        <v>0</v>
      </c>
    </row>
    <row r="52" spans="1:10" x14ac:dyDescent="0.25">
      <c r="A52" s="26">
        <f t="shared" si="0"/>
        <v>46</v>
      </c>
      <c r="B52" s="26"/>
      <c r="C52" s="39" t="s">
        <v>41</v>
      </c>
      <c r="D52" s="40">
        <v>3.2999999999999994E-4</v>
      </c>
      <c r="E52" s="40">
        <v>0</v>
      </c>
      <c r="F52" s="25">
        <f>+'[1]Allocation equal ¢ per therm'!H52</f>
        <v>0</v>
      </c>
      <c r="G52" s="25">
        <f>+'[1]Allocation equal ¢ per therm'!K52</f>
        <v>0</v>
      </c>
      <c r="H52" s="25">
        <f>+'[1]Allocation equal ¢ per therm'!N52</f>
        <v>0</v>
      </c>
      <c r="I52" s="25">
        <f t="shared" si="4"/>
        <v>0</v>
      </c>
      <c r="J52" s="25">
        <f t="shared" si="2"/>
        <v>0</v>
      </c>
    </row>
    <row r="53" spans="1:10" x14ac:dyDescent="0.25">
      <c r="A53" s="26">
        <f t="shared" si="0"/>
        <v>47</v>
      </c>
      <c r="B53" s="26"/>
      <c r="C53" s="39" t="s">
        <v>42</v>
      </c>
      <c r="D53" s="40">
        <v>2.2000000000000003E-4</v>
      </c>
      <c r="E53" s="40">
        <v>0</v>
      </c>
      <c r="F53" s="25">
        <f>+'[1]Allocation equal ¢ per therm'!H53</f>
        <v>0</v>
      </c>
      <c r="G53" s="25">
        <f>+'[1]Allocation equal ¢ per therm'!K53</f>
        <v>0</v>
      </c>
      <c r="H53" s="25">
        <f>+'[1]Allocation equal ¢ per therm'!N53</f>
        <v>0</v>
      </c>
      <c r="I53" s="25">
        <f t="shared" si="4"/>
        <v>0</v>
      </c>
      <c r="J53" s="25">
        <f t="shared" si="2"/>
        <v>0</v>
      </c>
    </row>
    <row r="54" spans="1:10" x14ac:dyDescent="0.25">
      <c r="A54" s="26">
        <f t="shared" si="0"/>
        <v>48</v>
      </c>
      <c r="B54" s="38"/>
      <c r="C54" s="41" t="s">
        <v>43</v>
      </c>
      <c r="D54" s="35">
        <v>8.0000000000000007E-5</v>
      </c>
      <c r="E54" s="35">
        <v>0</v>
      </c>
      <c r="F54" s="37">
        <f>+'[1]Allocation equal ¢ per therm'!H54</f>
        <v>0</v>
      </c>
      <c r="G54" s="37">
        <f>+'[1]Allocation equal ¢ per therm'!K54</f>
        <v>0</v>
      </c>
      <c r="H54" s="37">
        <f>+'[1]Allocation equal ¢ per therm'!N54</f>
        <v>0</v>
      </c>
      <c r="I54" s="37">
        <f t="shared" si="4"/>
        <v>0</v>
      </c>
      <c r="J54" s="37">
        <f t="shared" si="2"/>
        <v>0</v>
      </c>
    </row>
    <row r="55" spans="1:10" x14ac:dyDescent="0.25">
      <c r="A55" s="26">
        <f t="shared" si="0"/>
        <v>49</v>
      </c>
      <c r="B55" s="26" t="s">
        <v>47</v>
      </c>
      <c r="C55" s="39" t="s">
        <v>32</v>
      </c>
      <c r="D55" s="40">
        <v>5.7569999999999996E-2</v>
      </c>
      <c r="E55" s="40">
        <v>3.6739999999999995E-2</v>
      </c>
      <c r="F55" s="25">
        <f>+'[1]Allocation equal ¢ per therm'!H55</f>
        <v>0.12476</v>
      </c>
      <c r="G55" s="25">
        <f>+'[1]Allocation equal ¢ per therm'!K55</f>
        <v>0</v>
      </c>
      <c r="H55" s="25">
        <f>+'[1]Allocation equal ¢ per therm'!N55</f>
        <v>-8.3300000000000006E-3</v>
      </c>
      <c r="I55" s="25">
        <f t="shared" si="1"/>
        <v>0.11642999999999999</v>
      </c>
      <c r="J55" s="25">
        <f t="shared" si="2"/>
        <v>7.9689999999999997E-2</v>
      </c>
    </row>
    <row r="56" spans="1:10" x14ac:dyDescent="0.25">
      <c r="A56" s="26">
        <f t="shared" si="0"/>
        <v>50</v>
      </c>
      <c r="B56" s="26"/>
      <c r="C56" s="39" t="s">
        <v>33</v>
      </c>
      <c r="D56" s="40">
        <v>5.5379999999999999E-2</v>
      </c>
      <c r="E56" s="40">
        <v>3.6739999999999995E-2</v>
      </c>
      <c r="F56" s="25">
        <f>+'[1]Allocation equal ¢ per therm'!H56</f>
        <v>0.12476</v>
      </c>
      <c r="G56" s="25">
        <f>+'[1]Allocation equal ¢ per therm'!K56</f>
        <v>0</v>
      </c>
      <c r="H56" s="25">
        <f>+'[1]Allocation equal ¢ per therm'!N56</f>
        <v>-8.3300000000000006E-3</v>
      </c>
      <c r="I56" s="25">
        <f t="shared" si="1"/>
        <v>0.11642999999999999</v>
      </c>
      <c r="J56" s="25">
        <f t="shared" si="2"/>
        <v>7.9689999999999997E-2</v>
      </c>
    </row>
    <row r="57" spans="1:10" x14ac:dyDescent="0.25">
      <c r="A57" s="26">
        <f t="shared" si="0"/>
        <v>51</v>
      </c>
      <c r="B57" s="26"/>
      <c r="C57" s="39" t="s">
        <v>40</v>
      </c>
      <c r="D57" s="40">
        <v>5.1029999999999992E-2</v>
      </c>
      <c r="E57" s="40">
        <v>3.6739999999999995E-2</v>
      </c>
      <c r="F57" s="25">
        <f>+'[1]Allocation equal ¢ per therm'!H57</f>
        <v>0.12476</v>
      </c>
      <c r="G57" s="25">
        <f>+'[1]Allocation equal ¢ per therm'!K57</f>
        <v>0</v>
      </c>
      <c r="H57" s="25">
        <f>+'[1]Allocation equal ¢ per therm'!N57</f>
        <v>-8.3300000000000006E-3</v>
      </c>
      <c r="I57" s="25">
        <f t="shared" si="1"/>
        <v>0.11642999999999999</v>
      </c>
      <c r="J57" s="25">
        <f t="shared" si="2"/>
        <v>7.9689999999999997E-2</v>
      </c>
    </row>
    <row r="58" spans="1:10" x14ac:dyDescent="0.25">
      <c r="A58" s="26">
        <f t="shared" si="0"/>
        <v>52</v>
      </c>
      <c r="B58" s="26"/>
      <c r="C58" s="39" t="s">
        <v>41</v>
      </c>
      <c r="D58" s="40">
        <v>4.8169999999999991E-2</v>
      </c>
      <c r="E58" s="40">
        <v>3.6739999999999995E-2</v>
      </c>
      <c r="F58" s="25">
        <f>+'[1]Allocation equal ¢ per therm'!H58</f>
        <v>0.12476</v>
      </c>
      <c r="G58" s="25">
        <f>+'[1]Allocation equal ¢ per therm'!K58</f>
        <v>0</v>
      </c>
      <c r="H58" s="25">
        <f>+'[1]Allocation equal ¢ per therm'!N58</f>
        <v>-8.3300000000000006E-3</v>
      </c>
      <c r="I58" s="25">
        <f t="shared" si="1"/>
        <v>0.11642999999999999</v>
      </c>
      <c r="J58" s="25">
        <f t="shared" si="2"/>
        <v>7.9689999999999997E-2</v>
      </c>
    </row>
    <row r="59" spans="1:10" x14ac:dyDescent="0.25">
      <c r="A59" s="26">
        <f t="shared" si="0"/>
        <v>53</v>
      </c>
      <c r="B59" s="26"/>
      <c r="C59" s="39" t="s">
        <v>42</v>
      </c>
      <c r="D59" s="40">
        <v>4.4359999999999997E-2</v>
      </c>
      <c r="E59" s="40">
        <v>3.6739999999999995E-2</v>
      </c>
      <c r="F59" s="25">
        <f>+'[1]Allocation equal ¢ per therm'!H59</f>
        <v>0.12476</v>
      </c>
      <c r="G59" s="25">
        <f>+'[1]Allocation equal ¢ per therm'!K59</f>
        <v>0</v>
      </c>
      <c r="H59" s="25">
        <f>+'[1]Allocation equal ¢ per therm'!N59</f>
        <v>-8.3300000000000006E-3</v>
      </c>
      <c r="I59" s="25">
        <f t="shared" si="1"/>
        <v>0.11642999999999999</v>
      </c>
      <c r="J59" s="25">
        <f t="shared" si="2"/>
        <v>7.9689999999999997E-2</v>
      </c>
    </row>
    <row r="60" spans="1:10" x14ac:dyDescent="0.25">
      <c r="A60" s="26">
        <f t="shared" si="0"/>
        <v>54</v>
      </c>
      <c r="B60" s="38"/>
      <c r="C60" s="41" t="s">
        <v>43</v>
      </c>
      <c r="D60" s="35">
        <v>3.9599999999999996E-2</v>
      </c>
      <c r="E60" s="35">
        <v>3.6739999999999995E-2</v>
      </c>
      <c r="F60" s="37">
        <f>+'[1]Allocation equal ¢ per therm'!H60</f>
        <v>0.12476</v>
      </c>
      <c r="G60" s="37">
        <f>+'[1]Allocation equal ¢ per therm'!K60</f>
        <v>0</v>
      </c>
      <c r="H60" s="37">
        <f>+'[1]Allocation equal ¢ per therm'!N60</f>
        <v>-8.3300000000000006E-3</v>
      </c>
      <c r="I60" s="37">
        <f t="shared" si="1"/>
        <v>0.11642999999999999</v>
      </c>
      <c r="J60" s="37">
        <f t="shared" si="2"/>
        <v>7.9689999999999997E-2</v>
      </c>
    </row>
    <row r="61" spans="1:10" x14ac:dyDescent="0.25">
      <c r="A61" s="26">
        <f t="shared" si="0"/>
        <v>55</v>
      </c>
      <c r="B61" s="26" t="s">
        <v>48</v>
      </c>
      <c r="C61" s="39" t="s">
        <v>32</v>
      </c>
      <c r="D61" s="40">
        <v>4.1869999999999997E-2</v>
      </c>
      <c r="E61" s="40">
        <v>3.6739999999999995E-2</v>
      </c>
      <c r="F61" s="25">
        <f>+'[1]Allocation equal ¢ per therm'!H61</f>
        <v>0.12476</v>
      </c>
      <c r="G61" s="25">
        <f>+'[1]Allocation equal ¢ per therm'!K61</f>
        <v>0</v>
      </c>
      <c r="H61" s="25">
        <f>+'[1]Allocation equal ¢ per therm'!N61</f>
        <v>-8.3300000000000006E-3</v>
      </c>
      <c r="I61" s="25">
        <f t="shared" si="1"/>
        <v>0.11642999999999999</v>
      </c>
      <c r="J61" s="25">
        <f t="shared" si="2"/>
        <v>7.9689999999999997E-2</v>
      </c>
    </row>
    <row r="62" spans="1:10" x14ac:dyDescent="0.25">
      <c r="A62" s="26">
        <f t="shared" si="0"/>
        <v>56</v>
      </c>
      <c r="B62" s="26"/>
      <c r="C62" s="39" t="s">
        <v>33</v>
      </c>
      <c r="D62" s="40">
        <v>4.1329999999999992E-2</v>
      </c>
      <c r="E62" s="40">
        <v>3.6739999999999995E-2</v>
      </c>
      <c r="F62" s="25">
        <f>+'[1]Allocation equal ¢ per therm'!H62</f>
        <v>0.12476</v>
      </c>
      <c r="G62" s="25">
        <f>+'[1]Allocation equal ¢ per therm'!K62</f>
        <v>0</v>
      </c>
      <c r="H62" s="25">
        <f>+'[1]Allocation equal ¢ per therm'!N62</f>
        <v>-8.3300000000000006E-3</v>
      </c>
      <c r="I62" s="25">
        <f t="shared" si="1"/>
        <v>0.11642999999999999</v>
      </c>
      <c r="J62" s="25">
        <f t="shared" si="2"/>
        <v>7.9689999999999997E-2</v>
      </c>
    </row>
    <row r="63" spans="1:10" x14ac:dyDescent="0.25">
      <c r="A63" s="26">
        <f t="shared" si="0"/>
        <v>57</v>
      </c>
      <c r="B63" s="26"/>
      <c r="C63" s="39" t="s">
        <v>40</v>
      </c>
      <c r="D63" s="40">
        <v>4.0259999999999997E-2</v>
      </c>
      <c r="E63" s="40">
        <v>3.6739999999999995E-2</v>
      </c>
      <c r="F63" s="25">
        <f>+'[1]Allocation equal ¢ per therm'!H63</f>
        <v>0.12476</v>
      </c>
      <c r="G63" s="25">
        <f>+'[1]Allocation equal ¢ per therm'!K63</f>
        <v>0</v>
      </c>
      <c r="H63" s="25">
        <f>+'[1]Allocation equal ¢ per therm'!N63</f>
        <v>-8.3300000000000006E-3</v>
      </c>
      <c r="I63" s="25">
        <f t="shared" si="1"/>
        <v>0.11642999999999999</v>
      </c>
      <c r="J63" s="25">
        <f t="shared" si="2"/>
        <v>7.9689999999999997E-2</v>
      </c>
    </row>
    <row r="64" spans="1:10" x14ac:dyDescent="0.25">
      <c r="A64" s="26">
        <f t="shared" si="0"/>
        <v>58</v>
      </c>
      <c r="B64" s="26"/>
      <c r="C64" s="39" t="s">
        <v>41</v>
      </c>
      <c r="D64" s="40">
        <v>3.9559999999999998E-2</v>
      </c>
      <c r="E64" s="40">
        <v>3.6739999999999995E-2</v>
      </c>
      <c r="F64" s="25">
        <f>+'[1]Allocation equal ¢ per therm'!H64</f>
        <v>0.12476</v>
      </c>
      <c r="G64" s="25">
        <f>+'[1]Allocation equal ¢ per therm'!K64</f>
        <v>0</v>
      </c>
      <c r="H64" s="25">
        <f>+'[1]Allocation equal ¢ per therm'!N64</f>
        <v>-8.3300000000000006E-3</v>
      </c>
      <c r="I64" s="25">
        <f t="shared" si="1"/>
        <v>0.11642999999999999</v>
      </c>
      <c r="J64" s="25">
        <f t="shared" si="2"/>
        <v>7.9689999999999997E-2</v>
      </c>
    </row>
    <row r="65" spans="1:10" x14ac:dyDescent="0.25">
      <c r="A65" s="26">
        <f t="shared" si="0"/>
        <v>59</v>
      </c>
      <c r="B65" s="26"/>
      <c r="C65" s="39" t="s">
        <v>42</v>
      </c>
      <c r="D65" s="40">
        <v>3.8619999999999995E-2</v>
      </c>
      <c r="E65" s="40">
        <v>3.6739999999999995E-2</v>
      </c>
      <c r="F65" s="25">
        <f>+'[1]Allocation equal ¢ per therm'!H65</f>
        <v>0.12476</v>
      </c>
      <c r="G65" s="25">
        <f>+'[1]Allocation equal ¢ per therm'!K65</f>
        <v>0</v>
      </c>
      <c r="H65" s="25">
        <f>+'[1]Allocation equal ¢ per therm'!N65</f>
        <v>-8.3300000000000006E-3</v>
      </c>
      <c r="I65" s="25">
        <f t="shared" si="1"/>
        <v>0.11642999999999999</v>
      </c>
      <c r="J65" s="25">
        <f t="shared" si="2"/>
        <v>7.9689999999999997E-2</v>
      </c>
    </row>
    <row r="66" spans="1:10" x14ac:dyDescent="0.25">
      <c r="A66" s="26">
        <f t="shared" si="0"/>
        <v>60</v>
      </c>
      <c r="B66" s="38"/>
      <c r="C66" s="41" t="s">
        <v>43</v>
      </c>
      <c r="D66" s="35">
        <v>3.7449999999999997E-2</v>
      </c>
      <c r="E66" s="35">
        <v>3.6739999999999995E-2</v>
      </c>
      <c r="F66" s="37">
        <f>+'[1]Allocation equal ¢ per therm'!H66</f>
        <v>0.12476</v>
      </c>
      <c r="G66" s="37">
        <f>+'[1]Allocation equal ¢ per therm'!K66</f>
        <v>0</v>
      </c>
      <c r="H66" s="37">
        <f>+'[1]Allocation equal ¢ per therm'!N66</f>
        <v>-8.3300000000000006E-3</v>
      </c>
      <c r="I66" s="37">
        <f t="shared" si="1"/>
        <v>0.11642999999999999</v>
      </c>
      <c r="J66" s="37">
        <f t="shared" si="2"/>
        <v>7.9689999999999997E-2</v>
      </c>
    </row>
    <row r="67" spans="1:10" x14ac:dyDescent="0.25">
      <c r="A67" s="26">
        <f t="shared" si="0"/>
        <v>61</v>
      </c>
      <c r="B67" s="26" t="s">
        <v>49</v>
      </c>
      <c r="C67" s="39" t="s">
        <v>32</v>
      </c>
      <c r="D67" s="40">
        <v>9.9000000000000021E-4</v>
      </c>
      <c r="E67" s="40">
        <v>0</v>
      </c>
      <c r="F67" s="25">
        <f>+'[1]Allocation equal ¢ per therm'!H67</f>
        <v>0</v>
      </c>
      <c r="G67" s="25">
        <f>+'[1]Allocation equal ¢ per therm'!K67</f>
        <v>0</v>
      </c>
      <c r="H67" s="25">
        <f>+'[1]Allocation equal ¢ per therm'!N67</f>
        <v>0</v>
      </c>
      <c r="I67" s="25">
        <f t="shared" si="1"/>
        <v>0</v>
      </c>
      <c r="J67" s="25">
        <f t="shared" si="2"/>
        <v>0</v>
      </c>
    </row>
    <row r="68" spans="1:10" x14ac:dyDescent="0.25">
      <c r="A68" s="26">
        <f t="shared" si="0"/>
        <v>62</v>
      </c>
      <c r="B68" s="26"/>
      <c r="C68" s="39" t="s">
        <v>33</v>
      </c>
      <c r="D68" s="40">
        <v>8.8000000000000003E-4</v>
      </c>
      <c r="E68" s="40">
        <v>0</v>
      </c>
      <c r="F68" s="25">
        <f>+'[1]Allocation equal ¢ per therm'!H68</f>
        <v>0</v>
      </c>
      <c r="G68" s="25">
        <f>+'[1]Allocation equal ¢ per therm'!K68</f>
        <v>0</v>
      </c>
      <c r="H68" s="25">
        <f>+'[1]Allocation equal ¢ per therm'!N68</f>
        <v>0</v>
      </c>
      <c r="I68" s="25">
        <f t="shared" si="1"/>
        <v>0</v>
      </c>
      <c r="J68" s="25">
        <f t="shared" si="2"/>
        <v>0</v>
      </c>
    </row>
    <row r="69" spans="1:10" x14ac:dyDescent="0.25">
      <c r="A69" s="26">
        <f t="shared" si="0"/>
        <v>63</v>
      </c>
      <c r="B69" s="26"/>
      <c r="C69" s="39" t="s">
        <v>40</v>
      </c>
      <c r="D69" s="40">
        <v>6.8000000000000005E-4</v>
      </c>
      <c r="E69" s="40">
        <v>0</v>
      </c>
      <c r="F69" s="25">
        <f>+'[1]Allocation equal ¢ per therm'!H69</f>
        <v>0</v>
      </c>
      <c r="G69" s="25">
        <f>+'[1]Allocation equal ¢ per therm'!K69</f>
        <v>0</v>
      </c>
      <c r="H69" s="25">
        <f>+'[1]Allocation equal ¢ per therm'!N69</f>
        <v>0</v>
      </c>
      <c r="I69" s="25">
        <f t="shared" si="1"/>
        <v>0</v>
      </c>
      <c r="J69" s="25">
        <f t="shared" si="2"/>
        <v>0</v>
      </c>
    </row>
    <row r="70" spans="1:10" x14ac:dyDescent="0.25">
      <c r="A70" s="26">
        <f t="shared" si="0"/>
        <v>64</v>
      </c>
      <c r="B70" s="26"/>
      <c r="C70" s="39" t="s">
        <v>41</v>
      </c>
      <c r="D70" s="40">
        <v>5.5000000000000003E-4</v>
      </c>
      <c r="E70" s="40">
        <v>0</v>
      </c>
      <c r="F70" s="25">
        <f>+'[1]Allocation equal ¢ per therm'!H70</f>
        <v>0</v>
      </c>
      <c r="G70" s="25">
        <f>+'[1]Allocation equal ¢ per therm'!K70</f>
        <v>0</v>
      </c>
      <c r="H70" s="25">
        <f>+'[1]Allocation equal ¢ per therm'!N70</f>
        <v>0</v>
      </c>
      <c r="I70" s="25">
        <f t="shared" si="1"/>
        <v>0</v>
      </c>
      <c r="J70" s="25">
        <f t="shared" si="2"/>
        <v>0</v>
      </c>
    </row>
    <row r="71" spans="1:10" x14ac:dyDescent="0.25">
      <c r="A71" s="26">
        <f t="shared" si="0"/>
        <v>65</v>
      </c>
      <c r="B71" s="26"/>
      <c r="C71" s="39" t="s">
        <v>42</v>
      </c>
      <c r="D71" s="40">
        <v>3.7000000000000005E-4</v>
      </c>
      <c r="E71" s="40">
        <v>0</v>
      </c>
      <c r="F71" s="25">
        <f>+'[1]Allocation equal ¢ per therm'!H71</f>
        <v>0</v>
      </c>
      <c r="G71" s="25">
        <f>+'[1]Allocation equal ¢ per therm'!K71</f>
        <v>0</v>
      </c>
      <c r="H71" s="25">
        <f>+'[1]Allocation equal ¢ per therm'!N71</f>
        <v>0</v>
      </c>
      <c r="I71" s="25">
        <f t="shared" si="1"/>
        <v>0</v>
      </c>
      <c r="J71" s="25">
        <f t="shared" si="2"/>
        <v>0</v>
      </c>
    </row>
    <row r="72" spans="1:10" x14ac:dyDescent="0.25">
      <c r="A72" s="26">
        <f t="shared" ref="A72:A89" si="5">+A71+1</f>
        <v>66</v>
      </c>
      <c r="B72" s="38"/>
      <c r="C72" s="41" t="s">
        <v>43</v>
      </c>
      <c r="D72" s="35">
        <v>1.4000000000000001E-4</v>
      </c>
      <c r="E72" s="40">
        <v>0</v>
      </c>
      <c r="F72" s="37">
        <f>+'[1]Allocation equal ¢ per therm'!H72</f>
        <v>0</v>
      </c>
      <c r="G72" s="37">
        <f>+'[1]Allocation equal ¢ per therm'!K72</f>
        <v>0</v>
      </c>
      <c r="H72" s="37">
        <f>+'[1]Allocation equal ¢ per therm'!N72</f>
        <v>0</v>
      </c>
      <c r="I72" s="37">
        <f t="shared" si="1"/>
        <v>0</v>
      </c>
      <c r="J72" s="37">
        <f t="shared" si="2"/>
        <v>0</v>
      </c>
    </row>
    <row r="73" spans="1:10" x14ac:dyDescent="0.25">
      <c r="A73" s="26">
        <f t="shared" si="5"/>
        <v>67</v>
      </c>
      <c r="B73" s="26" t="s">
        <v>50</v>
      </c>
      <c r="C73" s="39" t="s">
        <v>32</v>
      </c>
      <c r="D73" s="40">
        <v>7.2999999999999996E-4</v>
      </c>
      <c r="E73" s="40">
        <v>0</v>
      </c>
      <c r="F73" s="25">
        <f>+'[1]Allocation equal ¢ per therm'!H73</f>
        <v>0</v>
      </c>
      <c r="G73" s="25">
        <f>+'[1]Allocation equal ¢ per therm'!I73</f>
        <v>0</v>
      </c>
      <c r="H73" s="25">
        <f>+'[1]Allocation equal ¢ per therm'!J73</f>
        <v>0</v>
      </c>
      <c r="I73" s="25">
        <f t="shared" ref="I73:I78" si="6">SUM(F73:H73)</f>
        <v>0</v>
      </c>
      <c r="J73" s="25">
        <f>I73-E73</f>
        <v>0</v>
      </c>
    </row>
    <row r="74" spans="1:10" x14ac:dyDescent="0.25">
      <c r="A74" s="26">
        <f t="shared" si="5"/>
        <v>68</v>
      </c>
      <c r="B74" s="26"/>
      <c r="C74" s="39" t="s">
        <v>33</v>
      </c>
      <c r="D74" s="40">
        <v>6.5000000000000019E-4</v>
      </c>
      <c r="E74" s="40">
        <v>0</v>
      </c>
      <c r="F74" s="25">
        <f>+'[1]Allocation equal ¢ per therm'!H74</f>
        <v>0</v>
      </c>
      <c r="G74" s="25">
        <f>+'[1]Allocation equal ¢ per therm'!I74</f>
        <v>0</v>
      </c>
      <c r="H74" s="25">
        <f>+'[1]Allocation equal ¢ per therm'!J74</f>
        <v>0</v>
      </c>
      <c r="I74" s="25">
        <f t="shared" si="6"/>
        <v>0</v>
      </c>
      <c r="J74" s="25">
        <f t="shared" ref="J74:J78" si="7">I74-E74</f>
        <v>0</v>
      </c>
    </row>
    <row r="75" spans="1:10" x14ac:dyDescent="0.25">
      <c r="A75" s="26">
        <f t="shared" si="5"/>
        <v>69</v>
      </c>
      <c r="B75" s="26"/>
      <c r="C75" s="39" t="s">
        <v>40</v>
      </c>
      <c r="D75" s="40">
        <v>5.0000000000000001E-4</v>
      </c>
      <c r="E75" s="40">
        <v>0</v>
      </c>
      <c r="F75" s="25">
        <f>+'[1]Allocation equal ¢ per therm'!H75</f>
        <v>0</v>
      </c>
      <c r="G75" s="25">
        <f>+'[1]Allocation equal ¢ per therm'!I75</f>
        <v>0</v>
      </c>
      <c r="H75" s="25">
        <f>+'[1]Allocation equal ¢ per therm'!J75</f>
        <v>0</v>
      </c>
      <c r="I75" s="25">
        <f t="shared" si="6"/>
        <v>0</v>
      </c>
      <c r="J75" s="25">
        <f t="shared" si="7"/>
        <v>0</v>
      </c>
    </row>
    <row r="76" spans="1:10" x14ac:dyDescent="0.25">
      <c r="A76" s="26">
        <f t="shared" si="5"/>
        <v>70</v>
      </c>
      <c r="B76" s="26"/>
      <c r="C76" s="39" t="s">
        <v>41</v>
      </c>
      <c r="D76" s="40">
        <v>4.0000000000000002E-4</v>
      </c>
      <c r="E76" s="40">
        <v>0</v>
      </c>
      <c r="F76" s="25">
        <f>+'[1]Allocation equal ¢ per therm'!H76</f>
        <v>0</v>
      </c>
      <c r="G76" s="25">
        <f>+'[1]Allocation equal ¢ per therm'!I76</f>
        <v>0</v>
      </c>
      <c r="H76" s="25">
        <f>+'[1]Allocation equal ¢ per therm'!J76</f>
        <v>0</v>
      </c>
      <c r="I76" s="25">
        <f t="shared" si="6"/>
        <v>0</v>
      </c>
      <c r="J76" s="25">
        <f t="shared" si="7"/>
        <v>0</v>
      </c>
    </row>
    <row r="77" spans="1:10" x14ac:dyDescent="0.25">
      <c r="A77" s="26">
        <f t="shared" si="5"/>
        <v>71</v>
      </c>
      <c r="B77" s="26"/>
      <c r="C77" s="39" t="s">
        <v>42</v>
      </c>
      <c r="D77" s="40">
        <v>2.7000000000000006E-4</v>
      </c>
      <c r="E77" s="40">
        <v>0</v>
      </c>
      <c r="F77" s="25">
        <f>+'[1]Allocation equal ¢ per therm'!H77</f>
        <v>0</v>
      </c>
      <c r="G77" s="25">
        <f>+'[1]Allocation equal ¢ per therm'!I77</f>
        <v>0</v>
      </c>
      <c r="H77" s="25">
        <f>+'[1]Allocation equal ¢ per therm'!J77</f>
        <v>0</v>
      </c>
      <c r="I77" s="25">
        <f t="shared" si="6"/>
        <v>0</v>
      </c>
      <c r="J77" s="25">
        <f t="shared" si="7"/>
        <v>0</v>
      </c>
    </row>
    <row r="78" spans="1:10" x14ac:dyDescent="0.25">
      <c r="A78" s="26">
        <f t="shared" si="5"/>
        <v>72</v>
      </c>
      <c r="B78" s="38"/>
      <c r="C78" s="41" t="s">
        <v>43</v>
      </c>
      <c r="D78" s="35">
        <v>9.9999999999999991E-5</v>
      </c>
      <c r="E78" s="40">
        <v>0</v>
      </c>
      <c r="F78" s="25">
        <f>+'[1]Allocation equal ¢ per therm'!H78</f>
        <v>0</v>
      </c>
      <c r="G78" s="25">
        <f>+'[1]Allocation equal ¢ per therm'!I78</f>
        <v>0</v>
      </c>
      <c r="H78" s="25">
        <f>+'[1]Allocation equal ¢ per therm'!J78</f>
        <v>0</v>
      </c>
      <c r="I78" s="37">
        <f t="shared" si="6"/>
        <v>0</v>
      </c>
      <c r="J78" s="37">
        <f t="shared" si="7"/>
        <v>0</v>
      </c>
    </row>
    <row r="79" spans="1:10" x14ac:dyDescent="0.25">
      <c r="A79" s="26">
        <f t="shared" si="5"/>
        <v>73</v>
      </c>
      <c r="B79" s="38" t="s">
        <v>51</v>
      </c>
      <c r="C79" s="38"/>
      <c r="D79" s="44">
        <v>3.9999999999999996E-5</v>
      </c>
      <c r="E79" s="40">
        <v>0</v>
      </c>
      <c r="F79" s="45">
        <f>+'[1]Allocation equal ¢ per therm'!H79</f>
        <v>0</v>
      </c>
      <c r="G79" s="45">
        <f>+'[1]Allocation equal ¢ per therm'!I79</f>
        <v>0</v>
      </c>
      <c r="H79" s="45">
        <f>+'[1]Allocation equal ¢ per therm'!J79</f>
        <v>0</v>
      </c>
      <c r="I79" s="45">
        <f t="shared" si="1"/>
        <v>0</v>
      </c>
      <c r="J79" s="45">
        <f t="shared" si="2"/>
        <v>0</v>
      </c>
    </row>
    <row r="80" spans="1:10" x14ac:dyDescent="0.25">
      <c r="A80" s="26">
        <f t="shared" si="5"/>
        <v>74</v>
      </c>
      <c r="B80" s="34" t="s">
        <v>52</v>
      </c>
      <c r="C80" s="34"/>
      <c r="D80" s="35">
        <v>3.9999999999999996E-5</v>
      </c>
      <c r="E80" s="40">
        <v>0</v>
      </c>
      <c r="F80" s="37">
        <f>+'[1]Allocation equal ¢ per therm'!H80</f>
        <v>0</v>
      </c>
      <c r="G80" s="37">
        <f>+'[1]Allocation equal ¢ per therm'!K80</f>
        <v>0</v>
      </c>
      <c r="H80" s="37">
        <f>+'[1]Allocation equal ¢ per therm'!N80</f>
        <v>0</v>
      </c>
      <c r="I80" s="37">
        <f t="shared" si="1"/>
        <v>0</v>
      </c>
      <c r="J80" s="37">
        <f t="shared" si="2"/>
        <v>0</v>
      </c>
    </row>
    <row r="81" spans="1:10" x14ac:dyDescent="0.25">
      <c r="A81" s="26">
        <f t="shared" si="5"/>
        <v>75</v>
      </c>
      <c r="B81" s="34" t="s">
        <v>53</v>
      </c>
      <c r="C81" s="34"/>
      <c r="D81" s="35"/>
      <c r="E81" s="35"/>
      <c r="F81" s="46"/>
      <c r="G81" s="46"/>
      <c r="H81" s="37"/>
      <c r="I81" s="37"/>
      <c r="J81" s="37"/>
    </row>
    <row r="82" spans="1:10" x14ac:dyDescent="0.25">
      <c r="A82" s="26">
        <f t="shared" si="5"/>
        <v>76</v>
      </c>
      <c r="B82" s="22"/>
      <c r="C82" s="22"/>
      <c r="D82" s="23"/>
      <c r="E82" s="23"/>
      <c r="F82" s="22"/>
      <c r="G82" s="22"/>
      <c r="H82" s="22"/>
      <c r="I82" s="22"/>
      <c r="J82" s="22"/>
    </row>
    <row r="83" spans="1:10" ht="15.75" thickBot="1" x14ac:dyDescent="0.3">
      <c r="A83" s="26">
        <f t="shared" si="5"/>
        <v>77</v>
      </c>
      <c r="B83" s="47" t="s">
        <v>54</v>
      </c>
      <c r="C83" s="22"/>
      <c r="D83" s="22"/>
      <c r="E83" s="22"/>
      <c r="F83" s="22"/>
      <c r="G83" s="22"/>
      <c r="H83" s="22"/>
      <c r="I83" s="22"/>
      <c r="J83" s="22"/>
    </row>
    <row r="84" spans="1:10" ht="15.75" thickBot="1" x14ac:dyDescent="0.3">
      <c r="A84" s="26">
        <f t="shared" si="5"/>
        <v>78</v>
      </c>
      <c r="B84" s="48" t="s">
        <v>55</v>
      </c>
      <c r="C84" s="49"/>
      <c r="D84" s="50" t="s">
        <v>56</v>
      </c>
      <c r="E84" s="51" t="str">
        <f>D84</f>
        <v>21-22 PGA+RC</v>
      </c>
      <c r="F84" s="49"/>
      <c r="G84" s="49"/>
      <c r="H84" s="49"/>
      <c r="I84" s="49"/>
      <c r="J84" s="49"/>
    </row>
    <row r="85" spans="1:10" ht="15.75" thickBot="1" x14ac:dyDescent="0.3">
      <c r="A85" s="26">
        <f t="shared" si="5"/>
        <v>79</v>
      </c>
      <c r="B85" s="22"/>
      <c r="C85" s="22"/>
      <c r="D85" s="22"/>
      <c r="E85" s="22"/>
      <c r="F85" s="22"/>
      <c r="G85" s="22"/>
      <c r="H85" s="22"/>
      <c r="I85" s="22"/>
      <c r="J85" s="22"/>
    </row>
    <row r="86" spans="1:10" ht="15.75" thickBot="1" x14ac:dyDescent="0.3">
      <c r="A86" s="26">
        <f t="shared" si="5"/>
        <v>80</v>
      </c>
      <c r="B86" s="48" t="s">
        <v>57</v>
      </c>
      <c r="C86" s="49"/>
      <c r="D86" s="49"/>
      <c r="E86" s="49"/>
      <c r="F86" s="52" t="s">
        <v>58</v>
      </c>
      <c r="G86" s="52" t="s">
        <v>59</v>
      </c>
      <c r="H86" s="52" t="s">
        <v>60</v>
      </c>
      <c r="I86" s="52"/>
      <c r="J86" s="52"/>
    </row>
    <row r="87" spans="1:10" ht="15.75" thickBot="1" x14ac:dyDescent="0.3">
      <c r="A87" s="26">
        <f t="shared" si="5"/>
        <v>81</v>
      </c>
      <c r="B87" s="48" t="s">
        <v>61</v>
      </c>
      <c r="C87" s="49"/>
      <c r="D87" s="49"/>
      <c r="E87" s="49"/>
      <c r="F87" s="49"/>
      <c r="G87" s="49"/>
      <c r="H87" s="49"/>
      <c r="I87" s="49"/>
      <c r="J87" s="49"/>
    </row>
    <row r="88" spans="1:10" ht="15.75" thickBot="1" x14ac:dyDescent="0.3">
      <c r="A88" s="26">
        <f t="shared" si="5"/>
        <v>82</v>
      </c>
      <c r="B88" s="47" t="s">
        <v>62</v>
      </c>
      <c r="C88" s="22"/>
      <c r="D88" s="22"/>
      <c r="E88" s="22"/>
      <c r="F88" s="22"/>
      <c r="G88" s="22"/>
      <c r="H88" s="22"/>
      <c r="I88" s="22"/>
      <c r="J88" s="22"/>
    </row>
    <row r="89" spans="1:10" ht="15.75" thickBot="1" x14ac:dyDescent="0.3">
      <c r="A89" s="26">
        <f t="shared" si="5"/>
        <v>83</v>
      </c>
      <c r="B89" s="48" t="s">
        <v>63</v>
      </c>
      <c r="C89" s="49"/>
      <c r="D89" s="49"/>
      <c r="E89" s="49"/>
      <c r="F89" s="52" t="str">
        <f>+'[1]Allocation equal ¢ per therm'!F88</f>
        <v>Sched 201</v>
      </c>
      <c r="G89" s="52" t="str">
        <f>+'[1]Allocation equal ¢ per therm'!I88</f>
        <v>Sched 201</v>
      </c>
      <c r="H89" s="52" t="str">
        <f>+'[1]Allocation equal ¢ per therm'!L88</f>
        <v>Sched 201</v>
      </c>
      <c r="I89" s="52" t="s">
        <v>65</v>
      </c>
      <c r="J89" s="52" t="s">
        <v>65</v>
      </c>
    </row>
  </sheetData>
  <pageMargins left="0.7" right="0.7" top="0.75" bottom="0.75" header="0.3" footer="0.3"/>
  <pageSetup orientation="portrait" r:id="rId1"/>
  <headerFooter>
    <oddHeader>&amp;R&amp;9NWN WUTC Advice 22-07
Exhibit A - Supporting Materials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C9A37-3F5A-4947-A2F2-14DF144663CF}">
  <dimension ref="A1:P40"/>
  <sheetViews>
    <sheetView topLeftCell="C1" zoomScaleNormal="100" workbookViewId="0">
      <selection activeCell="H17" sqref="H17"/>
    </sheetView>
  </sheetViews>
  <sheetFormatPr defaultRowHeight="15" x14ac:dyDescent="0.25"/>
  <cols>
    <col min="1" max="1" width="8.85546875" customWidth="1"/>
    <col min="2" max="2" width="76.5703125" bestFit="1" customWidth="1"/>
    <col min="3" max="3" width="3.5703125" bestFit="1" customWidth="1"/>
    <col min="4" max="4" width="11.5703125" bestFit="1" customWidth="1"/>
    <col min="5" max="12" width="10.85546875" bestFit="1" customWidth="1"/>
    <col min="13" max="13" width="9.85546875" bestFit="1" customWidth="1"/>
    <col min="14" max="15" width="10.85546875" bestFit="1" customWidth="1"/>
    <col min="16" max="16" width="11.85546875" bestFit="1" customWidth="1"/>
  </cols>
  <sheetData>
    <row r="1" spans="1:16" x14ac:dyDescent="0.25">
      <c r="A1" s="2" t="str">
        <f>+'[2]Supply Contracts'!A1</f>
        <v>NW Natural</v>
      </c>
      <c r="B1" s="2"/>
      <c r="C1" s="2"/>
      <c r="D1" s="218"/>
      <c r="E1" s="2"/>
      <c r="F1" s="218"/>
      <c r="G1" s="2"/>
      <c r="H1" s="2"/>
      <c r="I1" s="2"/>
      <c r="J1" s="2"/>
      <c r="K1" s="2"/>
      <c r="L1" s="2"/>
      <c r="M1" s="2"/>
      <c r="N1" s="2"/>
      <c r="O1" s="2"/>
      <c r="P1" s="219"/>
    </row>
    <row r="2" spans="1:16" x14ac:dyDescent="0.25">
      <c r="A2" s="2" t="str">
        <f>+'[2]Supply Contracts'!A2</f>
        <v>2022-2023 PGA - SYSTEM: September Filing</v>
      </c>
      <c r="B2" s="2"/>
      <c r="C2" s="2"/>
      <c r="D2" s="218"/>
      <c r="E2" s="2"/>
      <c r="F2" s="339"/>
      <c r="G2" s="339"/>
      <c r="H2" s="339"/>
      <c r="I2" s="2"/>
      <c r="J2" s="339"/>
      <c r="K2" s="339"/>
      <c r="L2" s="2"/>
      <c r="M2" s="2"/>
      <c r="N2" s="2"/>
      <c r="O2" s="2"/>
      <c r="P2" s="219"/>
    </row>
    <row r="3" spans="1:16" x14ac:dyDescent="0.25">
      <c r="A3" s="3" t="s">
        <v>188</v>
      </c>
      <c r="B3" s="2"/>
      <c r="C3" s="2"/>
      <c r="D3" s="218"/>
      <c r="E3" s="2"/>
      <c r="F3" s="340"/>
      <c r="G3" s="341"/>
      <c r="H3" s="341"/>
      <c r="I3" s="2"/>
      <c r="J3" s="340"/>
      <c r="K3" s="341"/>
      <c r="L3" s="2"/>
      <c r="M3" s="2"/>
      <c r="N3" s="2"/>
      <c r="O3" s="2"/>
      <c r="P3" s="220"/>
    </row>
    <row r="4" spans="1:16" x14ac:dyDescent="0.25">
      <c r="A4" s="221" t="s">
        <v>189</v>
      </c>
      <c r="B4" s="2"/>
      <c r="C4" s="2"/>
      <c r="D4" s="2"/>
      <c r="E4" s="2"/>
      <c r="F4" s="2"/>
      <c r="G4" s="2"/>
      <c r="H4" s="2"/>
      <c r="I4" s="2"/>
      <c r="J4" s="2"/>
      <c r="K4" s="2"/>
      <c r="L4" s="2"/>
      <c r="M4" s="2"/>
      <c r="N4" s="2"/>
      <c r="O4" s="2"/>
      <c r="P4" s="219"/>
    </row>
    <row r="5" spans="1:16" ht="15.75" thickBot="1" x14ac:dyDescent="0.3">
      <c r="A5" s="2"/>
      <c r="B5" s="2"/>
      <c r="C5" s="2"/>
      <c r="D5" s="2"/>
      <c r="E5" s="2"/>
      <c r="F5" s="2"/>
      <c r="G5" s="2"/>
      <c r="H5" s="2"/>
      <c r="I5" s="2"/>
      <c r="J5" s="2"/>
      <c r="K5" s="2"/>
      <c r="L5" s="2"/>
      <c r="M5" s="2"/>
      <c r="N5" s="2"/>
      <c r="O5" s="2"/>
      <c r="P5" s="2"/>
    </row>
    <row r="6" spans="1:16" ht="15.75" thickBot="1" x14ac:dyDescent="0.3">
      <c r="A6" s="17" t="s">
        <v>190</v>
      </c>
      <c r="B6" s="18"/>
      <c r="C6" s="222"/>
      <c r="D6" s="2"/>
      <c r="E6" s="2"/>
      <c r="F6" s="2"/>
      <c r="G6" s="2"/>
      <c r="H6" s="2"/>
      <c r="I6" s="2"/>
      <c r="J6" s="2"/>
      <c r="K6" s="2"/>
      <c r="L6" s="2"/>
      <c r="M6" s="2"/>
      <c r="N6" s="2"/>
      <c r="O6" s="2"/>
      <c r="P6" s="2"/>
    </row>
    <row r="7" spans="1:16" x14ac:dyDescent="0.25">
      <c r="A7" s="5">
        <v>1</v>
      </c>
      <c r="B7" s="223" t="s">
        <v>159</v>
      </c>
      <c r="C7" s="223" t="s">
        <v>160</v>
      </c>
      <c r="D7" s="223" t="s">
        <v>161</v>
      </c>
      <c r="E7" s="223" t="s">
        <v>162</v>
      </c>
      <c r="F7" s="223" t="s">
        <v>179</v>
      </c>
      <c r="G7" s="223" t="s">
        <v>165</v>
      </c>
      <c r="H7" s="223" t="s">
        <v>166</v>
      </c>
      <c r="I7" s="223" t="s">
        <v>180</v>
      </c>
      <c r="J7" s="223" t="s">
        <v>191</v>
      </c>
      <c r="K7" s="223" t="s">
        <v>192</v>
      </c>
      <c r="L7" s="223" t="s">
        <v>193</v>
      </c>
      <c r="M7" s="223" t="s">
        <v>194</v>
      </c>
      <c r="N7" s="223" t="s">
        <v>195</v>
      </c>
      <c r="O7" s="223" t="s">
        <v>196</v>
      </c>
      <c r="P7" s="224" t="s">
        <v>197</v>
      </c>
    </row>
    <row r="8" spans="1:16" x14ac:dyDescent="0.25">
      <c r="A8" s="5">
        <f>+A7+1</f>
        <v>2</v>
      </c>
      <c r="B8" s="225"/>
      <c r="C8" s="2"/>
      <c r="D8" s="12" t="s">
        <v>198</v>
      </c>
      <c r="E8" s="12" t="s">
        <v>199</v>
      </c>
      <c r="F8" s="12" t="s">
        <v>200</v>
      </c>
      <c r="G8" s="12" t="s">
        <v>201</v>
      </c>
      <c r="H8" s="12" t="s">
        <v>202</v>
      </c>
      <c r="I8" s="12" t="s">
        <v>203</v>
      </c>
      <c r="J8" s="12" t="s">
        <v>204</v>
      </c>
      <c r="K8" s="12" t="s">
        <v>205</v>
      </c>
      <c r="L8" s="12" t="s">
        <v>206</v>
      </c>
      <c r="M8" s="12" t="s">
        <v>207</v>
      </c>
      <c r="N8" s="12" t="s">
        <v>208</v>
      </c>
      <c r="O8" s="12" t="s">
        <v>209</v>
      </c>
      <c r="P8" s="226" t="s">
        <v>112</v>
      </c>
    </row>
    <row r="9" spans="1:16" x14ac:dyDescent="0.25">
      <c r="A9" s="5">
        <f>+A8+1</f>
        <v>3</v>
      </c>
      <c r="B9" s="225"/>
      <c r="C9" s="2"/>
      <c r="D9" s="5">
        <v>1</v>
      </c>
      <c r="E9" s="5">
        <f>+D9+1</f>
        <v>2</v>
      </c>
      <c r="F9" s="5">
        <f t="shared" ref="F9:O9" si="0">+E9+1</f>
        <v>3</v>
      </c>
      <c r="G9" s="5">
        <f t="shared" si="0"/>
        <v>4</v>
      </c>
      <c r="H9" s="5">
        <f t="shared" si="0"/>
        <v>5</v>
      </c>
      <c r="I9" s="5">
        <f t="shared" si="0"/>
        <v>6</v>
      </c>
      <c r="J9" s="5">
        <f t="shared" si="0"/>
        <v>7</v>
      </c>
      <c r="K9" s="5">
        <f t="shared" si="0"/>
        <v>8</v>
      </c>
      <c r="L9" s="5">
        <f t="shared" si="0"/>
        <v>9</v>
      </c>
      <c r="M9" s="5">
        <f t="shared" si="0"/>
        <v>10</v>
      </c>
      <c r="N9" s="5">
        <f t="shared" si="0"/>
        <v>11</v>
      </c>
      <c r="O9" s="5">
        <f t="shared" si="0"/>
        <v>12</v>
      </c>
      <c r="P9" s="227"/>
    </row>
    <row r="10" spans="1:16" x14ac:dyDescent="0.25">
      <c r="A10" s="5">
        <f>+A9+1</f>
        <v>4</v>
      </c>
      <c r="B10" s="228" t="s">
        <v>210</v>
      </c>
      <c r="C10" s="2"/>
      <c r="D10" s="2"/>
      <c r="E10" s="2"/>
      <c r="F10" s="2"/>
      <c r="G10" s="2"/>
      <c r="H10" s="2"/>
      <c r="I10" s="2"/>
      <c r="J10" s="2"/>
      <c r="K10" s="2"/>
      <c r="L10" s="2"/>
      <c r="M10" s="2"/>
      <c r="N10" s="2"/>
      <c r="O10" s="2"/>
      <c r="P10" s="227"/>
    </row>
    <row r="11" spans="1:16" x14ac:dyDescent="0.25">
      <c r="A11" s="5">
        <f>+A10+1</f>
        <v>5</v>
      </c>
      <c r="B11" s="229" t="s">
        <v>211</v>
      </c>
      <c r="C11" s="230"/>
      <c r="D11" s="231">
        <f>INDEX('[2]Commodity Cost from Supply'!$CG$101:$CG$112,'[2]Total Commodity Summary'!D9)+'[2]General Inputs'!$E$91+'[2]General Inputs'!D96</f>
        <v>4188051.8042678977</v>
      </c>
      <c r="E11" s="232">
        <f>INDEX('[2]Commodity Cost from Supply'!$CG$101:$CG$112,'[2]Total Commodity Summary'!E9)+'[2]General Inputs'!$E$91+'[2]General Inputs'!E96</f>
        <v>4639195.101501246</v>
      </c>
      <c r="F11" s="232">
        <f>INDEX('[2]Commodity Cost from Supply'!$CG$101:$CG$112,'[2]Total Commodity Summary'!F9)+'[2]General Inputs'!$E$91+'[2]General Inputs'!F96</f>
        <v>4991273.70169261</v>
      </c>
      <c r="G11" s="232">
        <f>INDEX('[2]Commodity Cost from Supply'!$CG$101:$CG$112,'[2]Total Commodity Summary'!G9)+'[2]General Inputs'!$E$91+'[2]General Inputs'!G96</f>
        <v>4337096.1897184746</v>
      </c>
      <c r="H11" s="232">
        <f>INDEX('[2]Commodity Cost from Supply'!$CG$101:$CG$112,'[2]Total Commodity Summary'!H9)+'[2]General Inputs'!$E$91+'[2]General Inputs'!H96</f>
        <v>3641572.4446079638</v>
      </c>
      <c r="I11" s="232">
        <f>INDEX('[2]Commodity Cost from Supply'!$CG$101:$CG$112,'[2]Total Commodity Summary'!I9)+'[2]General Inputs'!$E$91+'[2]General Inputs'!I96</f>
        <v>2832105.4752082983</v>
      </c>
      <c r="J11" s="232">
        <f>INDEX('[2]Commodity Cost from Supply'!$CG$101:$CG$112,'[2]Total Commodity Summary'!J9)+'[2]General Inputs'!$E$91+'[2]General Inputs'!J96</f>
        <v>1719002.8185847988</v>
      </c>
      <c r="K11" s="232">
        <f>INDEX('[2]Commodity Cost from Supply'!$CG$101:$CG$112,'[2]Total Commodity Summary'!K9)+'[2]General Inputs'!$E$91+'[2]General Inputs'!K96</f>
        <v>1261490.7217081485</v>
      </c>
      <c r="L11" s="232">
        <f>INDEX('[2]Commodity Cost from Supply'!$CG$101:$CG$112,'[2]Total Commodity Summary'!L9)+'[2]General Inputs'!$E$91+'[2]General Inputs'!L96</f>
        <v>1133545.5259929181</v>
      </c>
      <c r="M11" s="232">
        <f>INDEX('[2]Commodity Cost from Supply'!$CG$101:$CG$112,'[2]Total Commodity Summary'!M9)+'[2]General Inputs'!$E$91+'[2]General Inputs'!M96</f>
        <v>959030.57116382732</v>
      </c>
      <c r="N11" s="232">
        <f>INDEX('[2]Commodity Cost from Supply'!$CG$101:$CG$112,'[2]Total Commodity Summary'!N9)+'[2]General Inputs'!$E$91+'[2]General Inputs'!N96</f>
        <v>1191901.5297125794</v>
      </c>
      <c r="O11" s="232">
        <f>INDEX('[2]Commodity Cost from Supply'!$CG$101:$CG$112,'[2]Total Commodity Summary'!O9)+'[2]General Inputs'!$E$91+'[2]General Inputs'!O96</f>
        <v>2434070.8380106539</v>
      </c>
      <c r="P11" s="233">
        <f>SUM(D11:O11)</f>
        <v>33328336.722169418</v>
      </c>
    </row>
    <row r="12" spans="1:16" x14ac:dyDescent="0.25">
      <c r="A12" s="5">
        <f t="shared" ref="A12:A39" si="1">+A11+1</f>
        <v>6</v>
      </c>
      <c r="B12" s="225" t="s">
        <v>212</v>
      </c>
      <c r="C12" s="225"/>
      <c r="D12" s="232"/>
      <c r="E12" s="232"/>
      <c r="F12" s="232"/>
      <c r="G12" s="232"/>
      <c r="H12" s="232"/>
      <c r="I12" s="232"/>
      <c r="J12" s="232"/>
      <c r="K12" s="232"/>
      <c r="L12" s="232"/>
      <c r="M12" s="232"/>
      <c r="N12" s="232"/>
      <c r="O12" s="232"/>
      <c r="P12" s="235"/>
    </row>
    <row r="13" spans="1:16" x14ac:dyDescent="0.25">
      <c r="A13" s="5">
        <f t="shared" si="1"/>
        <v>7</v>
      </c>
      <c r="B13" s="225" t="s">
        <v>213</v>
      </c>
      <c r="C13" s="225"/>
      <c r="D13" s="232"/>
      <c r="E13" s="232"/>
      <c r="F13" s="219"/>
      <c r="G13" s="219"/>
      <c r="H13" s="219"/>
      <c r="I13" s="219"/>
      <c r="J13" s="219"/>
      <c r="K13" s="219"/>
      <c r="L13" s="219"/>
      <c r="M13" s="219"/>
      <c r="N13" s="219"/>
      <c r="O13" s="219"/>
      <c r="P13" s="235"/>
    </row>
    <row r="14" spans="1:16" x14ac:dyDescent="0.25">
      <c r="A14" s="5">
        <f t="shared" si="1"/>
        <v>8</v>
      </c>
      <c r="B14" s="229" t="s">
        <v>214</v>
      </c>
      <c r="C14" s="225"/>
      <c r="D14" s="232">
        <f>INDEX('[2]Commodity Cost from Vol Pipe'!$F$89:$F$100,'[2]Total Commodity Summary'!D9)</f>
        <v>10420</v>
      </c>
      <c r="E14" s="232">
        <f>INDEX('[2]Commodity Cost from Vol Pipe'!$F$89:$F$100,'[2]Total Commodity Summary'!E9)</f>
        <v>12080</v>
      </c>
      <c r="F14" s="232">
        <f>INDEX('[2]Commodity Cost from Vol Pipe'!$F$89:$F$100,'[2]Total Commodity Summary'!F9)</f>
        <v>12752</v>
      </c>
      <c r="G14" s="232">
        <f>INDEX('[2]Commodity Cost from Vol Pipe'!$F$89:$F$100,'[2]Total Commodity Summary'!G9)</f>
        <v>10265</v>
      </c>
      <c r="H14" s="232">
        <f>INDEX('[2]Commodity Cost from Vol Pipe'!$F$89:$F$100,'[2]Total Commodity Summary'!H9)</f>
        <v>10367</v>
      </c>
      <c r="I14" s="232">
        <f>INDEX('[2]Commodity Cost from Vol Pipe'!$F$89:$F$100,'[2]Total Commodity Summary'!I9)</f>
        <v>8154</v>
      </c>
      <c r="J14" s="232">
        <f>INDEX('[2]Commodity Cost from Vol Pipe'!$F$89:$F$100,'[2]Total Commodity Summary'!J9)</f>
        <v>5156</v>
      </c>
      <c r="K14" s="232">
        <f>INDEX('[2]Commodity Cost from Vol Pipe'!$F$89:$F$100,'[2]Total Commodity Summary'!K9)</f>
        <v>3745</v>
      </c>
      <c r="L14" s="232">
        <f>INDEX('[2]Commodity Cost from Vol Pipe'!$F$89:$F$100,'[2]Total Commodity Summary'!L9)</f>
        <v>3094</v>
      </c>
      <c r="M14" s="232">
        <f>INDEX('[2]Commodity Cost from Vol Pipe'!$F$89:$F$100,'[2]Total Commodity Summary'!M9)</f>
        <v>2700</v>
      </c>
      <c r="N14" s="232">
        <f>INDEX('[2]Commodity Cost from Vol Pipe'!$F$89:$F$100,'[2]Total Commodity Summary'!N9)</f>
        <v>3117</v>
      </c>
      <c r="O14" s="232">
        <f>INDEX('[2]Commodity Cost from Vol Pipe'!$F$89:$F$100,'[2]Total Commodity Summary'!O9)</f>
        <v>6600</v>
      </c>
      <c r="P14" s="233">
        <f>SUM(D14:O14)</f>
        <v>88450</v>
      </c>
    </row>
    <row r="15" spans="1:16" x14ac:dyDescent="0.25">
      <c r="A15" s="5">
        <f t="shared" si="1"/>
        <v>9</v>
      </c>
      <c r="B15" s="225" t="s">
        <v>215</v>
      </c>
      <c r="C15" s="2"/>
      <c r="D15" s="232"/>
      <c r="E15" s="236"/>
      <c r="F15" s="236"/>
      <c r="G15" s="236"/>
      <c r="H15" s="236"/>
      <c r="I15" s="236"/>
      <c r="J15" s="219"/>
      <c r="K15" s="219"/>
      <c r="L15" s="219"/>
      <c r="M15" s="219"/>
      <c r="N15" s="219"/>
      <c r="O15" s="219"/>
      <c r="P15" s="235"/>
    </row>
    <row r="16" spans="1:16" x14ac:dyDescent="0.25">
      <c r="A16" s="5">
        <f t="shared" si="1"/>
        <v>10</v>
      </c>
      <c r="B16" s="229" t="s">
        <v>216</v>
      </c>
      <c r="C16" s="225"/>
      <c r="D16" s="232">
        <f>INDEX('[2]Commodity Cost from Storage'!$J$69:$J$80,'[2]Total Commodity Summary'!D9)</f>
        <v>336843</v>
      </c>
      <c r="E16" s="232">
        <f>INDEX('[2]Commodity Cost from Storage'!$J$69:$J$80,'[2]Total Commodity Summary'!E9)</f>
        <v>1598113</v>
      </c>
      <c r="F16" s="232">
        <f>INDEX('[2]Commodity Cost from Storage'!$J$69:$J$80,'[2]Total Commodity Summary'!F9)</f>
        <v>1774503</v>
      </c>
      <c r="G16" s="232">
        <f>INDEX('[2]Commodity Cost from Storage'!$J$69:$J$80,'[2]Total Commodity Summary'!G9)</f>
        <v>1458731</v>
      </c>
      <c r="H16" s="232">
        <f>INDEX('[2]Commodity Cost from Storage'!$J$69:$J$80,'[2]Total Commodity Summary'!H9)</f>
        <v>974114</v>
      </c>
      <c r="I16" s="232">
        <f>INDEX('[2]Commodity Cost from Storage'!$J$69:$J$80,'[2]Total Commodity Summary'!I9)</f>
        <v>186876</v>
      </c>
      <c r="J16" s="232">
        <f>INDEX('[2]Commodity Cost from Storage'!$J$69:$J$80,'[2]Total Commodity Summary'!J9)</f>
        <v>0</v>
      </c>
      <c r="K16" s="232">
        <f>INDEX('[2]Commodity Cost from Storage'!$J$69:$J$80,'[2]Total Commodity Summary'!K9)</f>
        <v>0</v>
      </c>
      <c r="L16" s="232">
        <f>INDEX('[2]Commodity Cost from Storage'!$J$69:$J$80,'[2]Total Commodity Summary'!L9)</f>
        <v>0</v>
      </c>
      <c r="M16" s="232">
        <f>INDEX('[2]Commodity Cost from Storage'!$J$69:$J$80,'[2]Total Commodity Summary'!M9)</f>
        <v>0</v>
      </c>
      <c r="N16" s="232">
        <f>INDEX('[2]Commodity Cost from Storage'!$J$69:$J$80,'[2]Total Commodity Summary'!N9)</f>
        <v>0</v>
      </c>
      <c r="O16" s="232">
        <f>INDEX('[2]Commodity Cost from Storage'!$J$69:$J$80,'[2]Total Commodity Summary'!O9)</f>
        <v>0</v>
      </c>
      <c r="P16" s="233">
        <f>SUM(D16:O16)</f>
        <v>6329180</v>
      </c>
    </row>
    <row r="17" spans="1:16" x14ac:dyDescent="0.25">
      <c r="A17" s="5">
        <f t="shared" si="1"/>
        <v>11</v>
      </c>
      <c r="B17" s="225" t="s">
        <v>217</v>
      </c>
      <c r="C17" s="2"/>
      <c r="D17" s="232"/>
      <c r="E17" s="219"/>
      <c r="F17" s="219"/>
      <c r="G17" s="219"/>
      <c r="H17" s="219"/>
      <c r="I17" s="219"/>
      <c r="J17" s="219"/>
      <c r="K17" s="219"/>
      <c r="L17" s="219"/>
      <c r="M17" s="219"/>
      <c r="N17" s="219"/>
      <c r="O17" s="219"/>
      <c r="P17" s="235"/>
    </row>
    <row r="18" spans="1:16" x14ac:dyDescent="0.25">
      <c r="A18" s="5">
        <f t="shared" si="1"/>
        <v>12</v>
      </c>
      <c r="B18" s="237" t="s">
        <v>218</v>
      </c>
      <c r="C18" s="2"/>
      <c r="D18" s="232"/>
      <c r="E18" s="219"/>
      <c r="F18" s="219"/>
      <c r="G18" s="219"/>
      <c r="H18" s="219"/>
      <c r="I18" s="219"/>
      <c r="J18" s="219"/>
      <c r="K18" s="219"/>
      <c r="L18" s="219"/>
      <c r="M18" s="219"/>
      <c r="N18" s="219"/>
      <c r="O18" s="219"/>
      <c r="P18" s="235"/>
    </row>
    <row r="19" spans="1:16" x14ac:dyDescent="0.25">
      <c r="A19" s="5">
        <f t="shared" si="1"/>
        <v>13</v>
      </c>
      <c r="B19" s="225"/>
      <c r="C19" s="2"/>
      <c r="D19" s="232"/>
      <c r="E19" s="219"/>
      <c r="F19" s="219"/>
      <c r="G19" s="219"/>
      <c r="H19" s="219"/>
      <c r="I19" s="219"/>
      <c r="J19" s="219"/>
      <c r="K19" s="219"/>
      <c r="L19" s="219"/>
      <c r="M19" s="219"/>
      <c r="N19" s="219"/>
      <c r="O19" s="219"/>
      <c r="P19" s="235"/>
    </row>
    <row r="20" spans="1:16" x14ac:dyDescent="0.25">
      <c r="A20" s="5">
        <f t="shared" si="1"/>
        <v>14</v>
      </c>
      <c r="B20" s="229" t="s">
        <v>219</v>
      </c>
      <c r="C20" s="2"/>
      <c r="D20" s="232">
        <f>INDEX('[2]Commodity Cost from RNG'!$J$69:$J$80,'[2]Total Commodity Summary'!D9)</f>
        <v>0</v>
      </c>
      <c r="E20" s="232">
        <f>INDEX('[2]Commodity Cost from RNG'!$J$69:$J$80,'[2]Total Commodity Summary'!E9)</f>
        <v>0</v>
      </c>
      <c r="F20" s="232">
        <f>INDEX('[2]Commodity Cost from RNG'!$J$69:$J$80,'[2]Total Commodity Summary'!F9)</f>
        <v>0</v>
      </c>
      <c r="G20" s="232">
        <f>INDEX('[2]Commodity Cost from RNG'!$J$69:$J$80,'[2]Total Commodity Summary'!G9)</f>
        <v>0</v>
      </c>
      <c r="H20" s="232">
        <f>INDEX('[2]Commodity Cost from RNG'!$J$69:$J$80,'[2]Total Commodity Summary'!H9)</f>
        <v>0</v>
      </c>
      <c r="I20" s="232">
        <f>INDEX('[2]Commodity Cost from RNG'!$J$69:$J$80,'[2]Total Commodity Summary'!I9)</f>
        <v>0</v>
      </c>
      <c r="J20" s="232">
        <f>INDEX('[2]Commodity Cost from RNG'!$J$69:$J$80,'[2]Total Commodity Summary'!J9)</f>
        <v>0</v>
      </c>
      <c r="K20" s="232">
        <f>INDEX('[2]Commodity Cost from RNG'!$J$69:$J$80,'[2]Total Commodity Summary'!K9)</f>
        <v>0</v>
      </c>
      <c r="L20" s="232">
        <f>INDEX('[2]Commodity Cost from RNG'!$J$69:$J$80,'[2]Total Commodity Summary'!L9)</f>
        <v>0</v>
      </c>
      <c r="M20" s="232">
        <f>INDEX('[2]Commodity Cost from RNG'!$J$69:$J$80,'[2]Total Commodity Summary'!M9)</f>
        <v>0</v>
      </c>
      <c r="N20" s="232">
        <f>INDEX('[2]Commodity Cost from RNG'!$J$69:$J$80,'[2]Total Commodity Summary'!N9)</f>
        <v>0</v>
      </c>
      <c r="O20" s="232">
        <f>INDEX('[2]Commodity Cost from RNG'!$J$69:$J$80,'[2]Total Commodity Summary'!O9)</f>
        <v>0</v>
      </c>
      <c r="P20" s="233">
        <f>SUM(D20:O20)</f>
        <v>0</v>
      </c>
    </row>
    <row r="21" spans="1:16" x14ac:dyDescent="0.25">
      <c r="A21" s="5">
        <f t="shared" si="1"/>
        <v>15</v>
      </c>
      <c r="B21" s="225" t="s">
        <v>220</v>
      </c>
      <c r="C21" s="2"/>
      <c r="D21" s="232"/>
      <c r="E21" s="219"/>
      <c r="F21" s="219"/>
      <c r="G21" s="219"/>
      <c r="H21" s="219"/>
      <c r="I21" s="219"/>
      <c r="J21" s="219"/>
      <c r="K21" s="219"/>
      <c r="L21" s="219"/>
      <c r="M21" s="219"/>
      <c r="N21" s="219"/>
      <c r="O21" s="219"/>
      <c r="P21" s="235"/>
    </row>
    <row r="22" spans="1:16" x14ac:dyDescent="0.25">
      <c r="A22" s="5">
        <f t="shared" si="1"/>
        <v>16</v>
      </c>
      <c r="B22" s="229"/>
      <c r="C22" s="2"/>
      <c r="D22" s="238"/>
      <c r="E22" s="238"/>
      <c r="F22" s="238"/>
      <c r="G22" s="238"/>
      <c r="H22" s="238"/>
      <c r="I22" s="238"/>
      <c r="J22" s="238"/>
      <c r="K22" s="238"/>
      <c r="L22" s="238"/>
      <c r="M22" s="238"/>
      <c r="N22" s="238"/>
      <c r="O22" s="238"/>
      <c r="P22" s="233"/>
    </row>
    <row r="23" spans="1:16" x14ac:dyDescent="0.25">
      <c r="A23" s="5">
        <f t="shared" si="1"/>
        <v>17</v>
      </c>
      <c r="B23" s="225"/>
      <c r="C23" s="2"/>
      <c r="D23" s="232"/>
      <c r="E23" s="219"/>
      <c r="F23" s="219"/>
      <c r="G23" s="219"/>
      <c r="H23" s="219"/>
      <c r="I23" s="219"/>
      <c r="J23" s="219"/>
      <c r="K23" s="219"/>
      <c r="L23" s="219"/>
      <c r="M23" s="219"/>
      <c r="N23" s="219"/>
      <c r="O23" s="219"/>
      <c r="P23" s="235"/>
    </row>
    <row r="24" spans="1:16" ht="15.75" thickBot="1" x14ac:dyDescent="0.3">
      <c r="A24" s="5">
        <f t="shared" si="1"/>
        <v>18</v>
      </c>
      <c r="B24" s="239" t="s">
        <v>221</v>
      </c>
      <c r="C24" s="240"/>
      <c r="D24" s="241">
        <f>SUM(D11:D23)</f>
        <v>4535314.8042678982</v>
      </c>
      <c r="E24" s="241">
        <f t="shared" ref="E24:O24" si="2">SUM(E11:E23)</f>
        <v>6249388.101501246</v>
      </c>
      <c r="F24" s="241">
        <f t="shared" si="2"/>
        <v>6778528.70169261</v>
      </c>
      <c r="G24" s="241">
        <f t="shared" si="2"/>
        <v>5806092.1897184746</v>
      </c>
      <c r="H24" s="241">
        <f t="shared" si="2"/>
        <v>4626053.4446079638</v>
      </c>
      <c r="I24" s="241">
        <f t="shared" si="2"/>
        <v>3027135.4752082983</v>
      </c>
      <c r="J24" s="241">
        <f t="shared" si="2"/>
        <v>1724158.8185847988</v>
      </c>
      <c r="K24" s="241">
        <f t="shared" si="2"/>
        <v>1265235.7217081485</v>
      </c>
      <c r="L24" s="241">
        <f t="shared" si="2"/>
        <v>1136639.5259929181</v>
      </c>
      <c r="M24" s="241">
        <f t="shared" si="2"/>
        <v>961730.57116382732</v>
      </c>
      <c r="N24" s="241">
        <f t="shared" si="2"/>
        <v>1195018.5297125794</v>
      </c>
      <c r="O24" s="241">
        <f t="shared" si="2"/>
        <v>2440670.8380106539</v>
      </c>
      <c r="P24" s="242">
        <f>SUM(P11:P23)</f>
        <v>39745966.722169414</v>
      </c>
    </row>
    <row r="25" spans="1:16" ht="15.75" thickTop="1" x14ac:dyDescent="0.25">
      <c r="A25" s="5">
        <f t="shared" si="1"/>
        <v>19</v>
      </c>
      <c r="B25" s="2"/>
      <c r="C25" s="2"/>
      <c r="D25" s="243"/>
      <c r="E25" s="53"/>
      <c r="F25" s="53"/>
      <c r="G25" s="53"/>
      <c r="H25" s="53"/>
      <c r="I25" s="53"/>
      <c r="J25" s="53"/>
      <c r="K25" s="53"/>
      <c r="L25" s="53"/>
      <c r="M25" s="53"/>
      <c r="N25" s="53"/>
      <c r="O25" s="53"/>
      <c r="P25" s="244"/>
    </row>
    <row r="26" spans="1:16" x14ac:dyDescent="0.25">
      <c r="A26" s="5">
        <f t="shared" si="1"/>
        <v>20</v>
      </c>
      <c r="B26" s="228" t="s">
        <v>222</v>
      </c>
      <c r="C26" s="2"/>
      <c r="D26" s="243"/>
      <c r="E26" s="53"/>
      <c r="F26" s="53"/>
      <c r="G26" s="53"/>
      <c r="H26" s="53"/>
      <c r="I26" s="53"/>
      <c r="J26" s="53"/>
      <c r="K26" s="53"/>
      <c r="L26" s="53"/>
      <c r="M26" s="53"/>
      <c r="N26" s="53"/>
      <c r="O26" s="53"/>
      <c r="P26" s="245"/>
    </row>
    <row r="27" spans="1:16" x14ac:dyDescent="0.25">
      <c r="A27" s="5">
        <f t="shared" si="1"/>
        <v>21</v>
      </c>
      <c r="B27" s="225" t="s">
        <v>223</v>
      </c>
      <c r="C27" s="225"/>
      <c r="D27" s="246">
        <f>INDEX('[2]Commodity Cost from Supply'!$CG$35:$CG$46,'[2]Total Commodity Summary'!D9)</f>
        <v>9459277.7106899992</v>
      </c>
      <c r="E27" s="246">
        <f>INDEX('[2]Commodity Cost from Supply'!$CG$35:$CG$46,'[2]Total Commodity Summary'!E9)</f>
        <v>10829390.467713</v>
      </c>
      <c r="F27" s="246">
        <f>INDEX('[2]Commodity Cost from Supply'!$CG$35:$CG$46,'[2]Total Commodity Summary'!F9)</f>
        <v>11256795.467713</v>
      </c>
      <c r="G27" s="246">
        <f>INDEX('[2]Commodity Cost from Supply'!$CG$35:$CG$46,'[2]Total Commodity Summary'!G9)</f>
        <v>9377850.1966440007</v>
      </c>
      <c r="H27" s="246">
        <f>INDEX('[2]Commodity Cost from Supply'!$CG$35:$CG$46,'[2]Total Commodity Summary'!H9)</f>
        <v>8831386.4677130003</v>
      </c>
      <c r="I27" s="246">
        <f>INDEX('[2]Commodity Cost from Supply'!$CG$35:$CG$46,'[2]Total Commodity Summary'!I9)</f>
        <v>7280191.3415836394</v>
      </c>
      <c r="J27" s="246">
        <f>INDEX('[2]Commodity Cost from Supply'!$CG$35:$CG$46,'[2]Total Commodity Summary'!J9)</f>
        <v>4691829.2846767027</v>
      </c>
      <c r="K27" s="246">
        <f>INDEX('[2]Commodity Cost from Supply'!$CG$35:$CG$46,'[2]Total Commodity Summary'!K9)</f>
        <v>3430227.2307493938</v>
      </c>
      <c r="L27" s="246">
        <f>INDEX('[2]Commodity Cost from Supply'!$CG$35:$CG$46,'[2]Total Commodity Summary'!L9)</f>
        <v>2929967.4677130003</v>
      </c>
      <c r="M27" s="246">
        <f>INDEX('[2]Commodity Cost from Supply'!$CG$35:$CG$46,'[2]Total Commodity Summary'!M9)</f>
        <v>2517839.4677130003</v>
      </c>
      <c r="N27" s="246">
        <f>INDEX('[2]Commodity Cost from Supply'!$CG$35:$CG$46,'[2]Total Commodity Summary'!N9)</f>
        <v>2869142.4438240519</v>
      </c>
      <c r="O27" s="246">
        <f>INDEX('[2]Commodity Cost from Supply'!$CG$35:$CG$46,'[2]Total Commodity Summary'!O9)</f>
        <v>5911115.7098839916</v>
      </c>
      <c r="P27" s="245">
        <f>SUM(D27:O27)</f>
        <v>79385013.256616771</v>
      </c>
    </row>
    <row r="28" spans="1:16" x14ac:dyDescent="0.25">
      <c r="A28" s="5">
        <f t="shared" si="1"/>
        <v>22</v>
      </c>
      <c r="B28" s="247" t="s">
        <v>224</v>
      </c>
      <c r="C28" s="247"/>
      <c r="D28" s="248">
        <f>('[2]Commodity Cost from Supply'!$CG35-'[2]Commodity Cost from Supply'!$CG17)</f>
        <v>241178.29264403321</v>
      </c>
      <c r="E28" s="248">
        <f>'[2]Commodity Cost from Supply'!CG36-'[2]Commodity Cost from Supply'!CG18</f>
        <v>255393.1777959317</v>
      </c>
      <c r="F28" s="248">
        <f>'[2]Commodity Cost from Supply'!CG37-'[2]Commodity Cost from Supply'!CG19</f>
        <v>266342.91391357593</v>
      </c>
      <c r="G28" s="248">
        <f>'[2]Commodity Cost from Supply'!CG38-'[2]Commodity Cost from Supply'!CG20</f>
        <v>225413.35219444707</v>
      </c>
      <c r="H28" s="248">
        <f>'[2]Commodity Cost from Supply'!CG39-'[2]Commodity Cost from Supply'!CG21</f>
        <v>225052.63421075977</v>
      </c>
      <c r="I28" s="248">
        <f>'[2]Commodity Cost from Supply'!CG40-'[2]Commodity Cost from Supply'!CG22</f>
        <v>184473.01966117974</v>
      </c>
      <c r="J28" s="248">
        <f>'[2]Commodity Cost from Supply'!CG41-'[2]Commodity Cost from Supply'!CG23</f>
        <v>113758.38268755097</v>
      </c>
      <c r="K28" s="248">
        <f>'[2]Commodity Cost from Supply'!CG42-'[2]Commodity Cost from Supply'!CG24</f>
        <v>81149.446319334675</v>
      </c>
      <c r="L28" s="248">
        <f>'[2]Commodity Cost from Supply'!CG43-'[2]Commodity Cost from Supply'!CG25</f>
        <v>67556.559418497141</v>
      </c>
      <c r="M28" s="248">
        <f>'[2]Commodity Cost from Supply'!CG44-'[2]Commodity Cost from Supply'!CG26</f>
        <v>56997.860945534892</v>
      </c>
      <c r="N28" s="248">
        <f>'[2]Commodity Cost from Supply'!CG45-'[2]Commodity Cost from Supply'!CG27</f>
        <v>67143.336537204683</v>
      </c>
      <c r="O28" s="248">
        <f>'[2]Commodity Cost from Supply'!CG46-'[2]Commodity Cost from Supply'!CG28</f>
        <v>149401.9047549814</v>
      </c>
      <c r="P28" s="249">
        <f>SUM(D28:O28)</f>
        <v>1933860.8810830312</v>
      </c>
    </row>
    <row r="29" spans="1:16" x14ac:dyDescent="0.25">
      <c r="A29" s="5">
        <f t="shared" si="1"/>
        <v>23</v>
      </c>
      <c r="B29" s="225" t="s">
        <v>225</v>
      </c>
      <c r="C29" s="225"/>
      <c r="D29" s="246">
        <f>+D27-D28</f>
        <v>9218099.418045966</v>
      </c>
      <c r="E29" s="246">
        <f t="shared" ref="E29:O29" si="3">+E27-E28</f>
        <v>10573997.289917069</v>
      </c>
      <c r="F29" s="246">
        <f t="shared" si="3"/>
        <v>10990452.553799424</v>
      </c>
      <c r="G29" s="246">
        <f t="shared" si="3"/>
        <v>9152436.8444495536</v>
      </c>
      <c r="H29" s="246">
        <f t="shared" si="3"/>
        <v>8606333.8335022405</v>
      </c>
      <c r="I29" s="246">
        <f t="shared" si="3"/>
        <v>7095718.3219224596</v>
      </c>
      <c r="J29" s="246">
        <f t="shared" si="3"/>
        <v>4578070.9019891517</v>
      </c>
      <c r="K29" s="246">
        <f t="shared" si="3"/>
        <v>3349077.7844300591</v>
      </c>
      <c r="L29" s="246">
        <f t="shared" si="3"/>
        <v>2862410.9082945031</v>
      </c>
      <c r="M29" s="246">
        <f t="shared" si="3"/>
        <v>2460841.6067674654</v>
      </c>
      <c r="N29" s="246">
        <f t="shared" si="3"/>
        <v>2801999.1072868472</v>
      </c>
      <c r="O29" s="246">
        <f t="shared" si="3"/>
        <v>5761713.8051290102</v>
      </c>
      <c r="P29" s="245">
        <f>SUM(D29:O29)</f>
        <v>77451152.375533745</v>
      </c>
    </row>
    <row r="30" spans="1:16" x14ac:dyDescent="0.25">
      <c r="A30" s="5">
        <f t="shared" si="1"/>
        <v>24</v>
      </c>
      <c r="B30" s="225"/>
      <c r="C30" s="225"/>
      <c r="D30" s="246"/>
      <c r="E30" s="246"/>
      <c r="F30" s="246"/>
      <c r="G30" s="246"/>
      <c r="H30" s="246"/>
      <c r="I30" s="246"/>
      <c r="J30" s="246"/>
      <c r="K30" s="246"/>
      <c r="L30" s="246"/>
      <c r="M30" s="246"/>
      <c r="N30" s="246"/>
      <c r="O30" s="246"/>
      <c r="P30" s="245"/>
    </row>
    <row r="31" spans="1:16" x14ac:dyDescent="0.25">
      <c r="A31" s="5">
        <f t="shared" si="1"/>
        <v>25</v>
      </c>
      <c r="B31" s="225" t="s">
        <v>226</v>
      </c>
      <c r="C31" s="225"/>
      <c r="D31" s="250">
        <f>INDEX('[2]Storage Dispatch'!$K$34:$K$45,'[2]Total Commodity Summary'!D9)+INDEX('[2]RNG Dispatch'!$K$34:$K$45,'[2]Total Commodity Summary'!D9)</f>
        <v>623382.65950982319</v>
      </c>
      <c r="E31" s="250">
        <f>INDEX('[2]Storage Dispatch'!$K$34:$K$45,'[2]Total Commodity Summary'!E9)+INDEX('[2]RNG Dispatch'!$K$34:$K$45,'[2]Total Commodity Summary'!E9)</f>
        <v>2947070.5932011334</v>
      </c>
      <c r="F31" s="250">
        <f>INDEX('[2]Storage Dispatch'!$K$34:$K$45,'[2]Total Commodity Summary'!F9)+INDEX('[2]RNG Dispatch'!$K$34:$K$45,'[2]Total Commodity Summary'!F9)</f>
        <v>3231265.178798038</v>
      </c>
      <c r="G31" s="250">
        <f>INDEX('[2]Storage Dispatch'!$K$34:$K$45,'[2]Total Commodity Summary'!G9)+INDEX('[2]RNG Dispatch'!$K$34:$K$45,'[2]Total Commodity Summary'!G9)</f>
        <v>2762159.8358083623</v>
      </c>
      <c r="H31" s="250">
        <f>INDEX('[2]Storage Dispatch'!$K$34:$K$45,'[2]Total Commodity Summary'!H9)+INDEX('[2]RNG Dispatch'!$K$34:$K$45,'[2]Total Commodity Summary'!H9)</f>
        <v>1719369.4902996768</v>
      </c>
      <c r="I31" s="250">
        <f>INDEX('[2]Storage Dispatch'!$K$34:$K$45,'[2]Total Commodity Summary'!I9)+INDEX('[2]RNG Dispatch'!$K$34:$K$45,'[2]Total Commodity Summary'!I9)</f>
        <v>347103.36478173995</v>
      </c>
      <c r="J31" s="250">
        <f>INDEX('[2]Storage Dispatch'!$K$34:$K$45,'[2]Total Commodity Summary'!J9)+INDEX('[2]RNG Dispatch'!$K$34:$K$45,'[2]Total Commodity Summary'!J9)</f>
        <v>0</v>
      </c>
      <c r="K31" s="250">
        <f>INDEX('[2]Storage Dispatch'!$K$34:$K$45,'[2]Total Commodity Summary'!K9)+INDEX('[2]RNG Dispatch'!$K$34:$K$45,'[2]Total Commodity Summary'!K9)</f>
        <v>0</v>
      </c>
      <c r="L31" s="250">
        <f>INDEX('[2]Storage Dispatch'!$K$34:$K$45,'[2]Total Commodity Summary'!L9)+INDEX('[2]RNG Dispatch'!$K$34:$K$45,'[2]Total Commodity Summary'!L9)</f>
        <v>0</v>
      </c>
      <c r="M31" s="250">
        <f>INDEX('[2]Storage Dispatch'!$K$34:$K$45,'[2]Total Commodity Summary'!M9)+INDEX('[2]RNG Dispatch'!$K$34:$K$45,'[2]Total Commodity Summary'!M9)</f>
        <v>0</v>
      </c>
      <c r="N31" s="250">
        <f>INDEX('[2]Storage Dispatch'!$K$34:$K$45,'[2]Total Commodity Summary'!N9)+INDEX('[2]RNG Dispatch'!$K$34:$K$45,'[2]Total Commodity Summary'!N9)</f>
        <v>0</v>
      </c>
      <c r="O31" s="250">
        <f>INDEX('[2]Storage Dispatch'!$K$34:$K$45,'[2]Total Commodity Summary'!O9)+INDEX('[2]RNG Dispatch'!$K$34:$K$45,'[2]Total Commodity Summary'!O9)</f>
        <v>0</v>
      </c>
      <c r="P31" s="245">
        <f>SUM(D31:O31)</f>
        <v>11630351.122398773</v>
      </c>
    </row>
    <row r="32" spans="1:16" x14ac:dyDescent="0.25">
      <c r="A32" s="5">
        <f t="shared" si="1"/>
        <v>26</v>
      </c>
      <c r="B32" s="247" t="s">
        <v>227</v>
      </c>
      <c r="C32" s="247"/>
      <c r="D32" s="248">
        <f>INDEX('[2]Storage Dispatch'!$I$34:$I$45,'[2]Total Commodity Summary'!D9)-INDEX('[2]Storage Dispatch'!$I$16:$I$27,'[2]Total Commodity Summary'!D9)+INDEX('[2]Storage Dispatch'!$J$34:$J$45,'[2]Total Commodity Summary'!D9)-INDEX('[2]Storage Dispatch'!$J$16:$J$27,'[2]Total Commodity Summary'!D9)+INDEX('[2]Storage Dispatch'!$F$34:$F$45,'[2]Total Commodity Summary'!D9)-INDEX('[2]Storage Dispatch'!$F$16:$F$27,'[2]Total Commodity Summary'!D9)</f>
        <v>0</v>
      </c>
      <c r="E32" s="248">
        <f>INDEX('[2]Storage Dispatch'!$I$34:$I$45,'[2]Total Commodity Summary'!E9)-INDEX('[2]Storage Dispatch'!$I$16:$I$27,'[2]Total Commodity Summary'!E9)+INDEX('[2]Storage Dispatch'!$J$34:$J$45,'[2]Total Commodity Summary'!E9)-INDEX('[2]Storage Dispatch'!$J$16:$J$27,'[2]Total Commodity Summary'!E9)+INDEX('[2]Storage Dispatch'!$F$34:$F$45,'[2]Total Commodity Summary'!E9)-INDEX('[2]Storage Dispatch'!$F$16:$F$27,'[2]Total Commodity Summary'!E9)</f>
        <v>0</v>
      </c>
      <c r="F32" s="248">
        <f>INDEX('[2]Storage Dispatch'!$I$34:$I$45,'[2]Total Commodity Summary'!F9)-INDEX('[2]Storage Dispatch'!$I$16:$I$27,'[2]Total Commodity Summary'!F9)+INDEX('[2]Storage Dispatch'!$J$34:$J$45,'[2]Total Commodity Summary'!F9)-INDEX('[2]Storage Dispatch'!$J$16:$J$27,'[2]Total Commodity Summary'!F9)+INDEX('[2]Storage Dispatch'!$F$34:$F$45,'[2]Total Commodity Summary'!F9)-INDEX('[2]Storage Dispatch'!$F$16:$F$27,'[2]Total Commodity Summary'!F9)</f>
        <v>3219.7141146661597</v>
      </c>
      <c r="G32" s="248">
        <f>INDEX('[2]Storage Dispatch'!$I$34:$I$45,'[2]Total Commodity Summary'!G9)-INDEX('[2]Storage Dispatch'!$I$16:$I$27,'[2]Total Commodity Summary'!G9)+INDEX('[2]Storage Dispatch'!$J$34:$J$45,'[2]Total Commodity Summary'!G9)-INDEX('[2]Storage Dispatch'!$J$16:$J$27,'[2]Total Commodity Summary'!G9)+INDEX('[2]Storage Dispatch'!$F$34:$F$45,'[2]Total Commodity Summary'!G9)-INDEX('[2]Storage Dispatch'!$F$16:$F$27,'[2]Total Commodity Summary'!G9)</f>
        <v>0</v>
      </c>
      <c r="H32" s="248">
        <f>INDEX('[2]Storage Dispatch'!$I$34:$I$45,'[2]Total Commodity Summary'!H9)-INDEX('[2]Storage Dispatch'!$I$16:$I$27,'[2]Total Commodity Summary'!H9)+INDEX('[2]Storage Dispatch'!$J$34:$J$45,'[2]Total Commodity Summary'!H9)-INDEX('[2]Storage Dispatch'!$J$16:$J$27,'[2]Total Commodity Summary'!H9)+INDEX('[2]Storage Dispatch'!$F$34:$F$45,'[2]Total Commodity Summary'!H9)-INDEX('[2]Storage Dispatch'!$F$16:$F$27,'[2]Total Commodity Summary'!H9)</f>
        <v>6159.2939376730938</v>
      </c>
      <c r="I32" s="248">
        <f>INDEX('[2]Storage Dispatch'!$I$34:$I$45,'[2]Total Commodity Summary'!I9)-INDEX('[2]Storage Dispatch'!$I$16:$I$27,'[2]Total Commodity Summary'!I9)+INDEX('[2]Storage Dispatch'!$J$34:$J$45,'[2]Total Commodity Summary'!I9)-INDEX('[2]Storage Dispatch'!$J$16:$J$27,'[2]Total Commodity Summary'!I9)+INDEX('[2]Storage Dispatch'!$F$34:$F$45,'[2]Total Commodity Summary'!I9)-INDEX('[2]Storage Dispatch'!$F$16:$F$27,'[2]Total Commodity Summary'!I9)</f>
        <v>0</v>
      </c>
      <c r="J32" s="248">
        <f>INDEX('[2]Storage Dispatch'!$I$34:$I$45,'[2]Total Commodity Summary'!J9)-INDEX('[2]Storage Dispatch'!$I$16:$I$27,'[2]Total Commodity Summary'!J9)+INDEX('[2]Storage Dispatch'!$J$34:$J$45,'[2]Total Commodity Summary'!J9)-INDEX('[2]Storage Dispatch'!$J$16:$J$27,'[2]Total Commodity Summary'!J9)+INDEX('[2]Storage Dispatch'!$F$34:$F$45,'[2]Total Commodity Summary'!J9)-INDEX('[2]Storage Dispatch'!$F$16:$F$27,'[2]Total Commodity Summary'!J9)</f>
        <v>0</v>
      </c>
      <c r="K32" s="248">
        <f>INDEX('[2]Storage Dispatch'!$I$34:$I$45,'[2]Total Commodity Summary'!K9)-INDEX('[2]Storage Dispatch'!$I$16:$I$27,'[2]Total Commodity Summary'!K9)+INDEX('[2]Storage Dispatch'!$J$34:$J$45,'[2]Total Commodity Summary'!K9)-INDEX('[2]Storage Dispatch'!$J$16:$J$27,'[2]Total Commodity Summary'!K9)+INDEX('[2]Storage Dispatch'!$F$34:$F$45,'[2]Total Commodity Summary'!K9)-INDEX('[2]Storage Dispatch'!$F$16:$F$27,'[2]Total Commodity Summary'!K9)</f>
        <v>0</v>
      </c>
      <c r="L32" s="248">
        <f>INDEX('[2]Storage Dispatch'!$I$34:$I$45,'[2]Total Commodity Summary'!L9)-INDEX('[2]Storage Dispatch'!$I$16:$I$27,'[2]Total Commodity Summary'!L9)+INDEX('[2]Storage Dispatch'!$J$34:$J$45,'[2]Total Commodity Summary'!L9)-INDEX('[2]Storage Dispatch'!$J$16:$J$27,'[2]Total Commodity Summary'!L9)+INDEX('[2]Storage Dispatch'!$F$34:$F$45,'[2]Total Commodity Summary'!L9)-INDEX('[2]Storage Dispatch'!$F$16:$F$27,'[2]Total Commodity Summary'!L9)</f>
        <v>0</v>
      </c>
      <c r="M32" s="248">
        <f>INDEX('[2]Storage Dispatch'!$I$34:$I$45,'[2]Total Commodity Summary'!M9)-INDEX('[2]Storage Dispatch'!$I$16:$I$27,'[2]Total Commodity Summary'!M9)+INDEX('[2]Storage Dispatch'!$J$34:$J$45,'[2]Total Commodity Summary'!M9)-INDEX('[2]Storage Dispatch'!$J$16:$J$27,'[2]Total Commodity Summary'!M9)+INDEX('[2]Storage Dispatch'!$F$34:$F$45,'[2]Total Commodity Summary'!M9)-INDEX('[2]Storage Dispatch'!$F$16:$F$27,'[2]Total Commodity Summary'!M9)</f>
        <v>0</v>
      </c>
      <c r="N32" s="248">
        <f>INDEX('[2]Storage Dispatch'!$I$34:$I$45,'[2]Total Commodity Summary'!N9)-INDEX('[2]Storage Dispatch'!$I$16:$I$27,'[2]Total Commodity Summary'!N9)+INDEX('[2]Storage Dispatch'!$J$34:$J$45,'[2]Total Commodity Summary'!N9)-INDEX('[2]Storage Dispatch'!$J$16:$J$27,'[2]Total Commodity Summary'!N9)+INDEX('[2]Storage Dispatch'!$F$34:$F$45,'[2]Total Commodity Summary'!N9)-INDEX('[2]Storage Dispatch'!$F$16:$F$27,'[2]Total Commodity Summary'!N9)</f>
        <v>0</v>
      </c>
      <c r="O32" s="248">
        <f>INDEX('[2]Storage Dispatch'!$I$34:$I$45,'[2]Total Commodity Summary'!O9)-INDEX('[2]Storage Dispatch'!$I$16:$I$27,'[2]Total Commodity Summary'!O9)+INDEX('[2]Storage Dispatch'!$J$34:$J$45,'[2]Total Commodity Summary'!O9)-INDEX('[2]Storage Dispatch'!$J$16:$J$27,'[2]Total Commodity Summary'!O9)+INDEX('[2]Storage Dispatch'!$F$34:$F$45,'[2]Total Commodity Summary'!O9)-INDEX('[2]Storage Dispatch'!$F$16:$F$27,'[2]Total Commodity Summary'!O9)</f>
        <v>0</v>
      </c>
      <c r="P32" s="249">
        <f t="shared" ref="P32:P33" si="4">SUM(D32:O32)</f>
        <v>9379.0080523392535</v>
      </c>
    </row>
    <row r="33" spans="1:16" x14ac:dyDescent="0.25">
      <c r="A33" s="5">
        <f t="shared" si="1"/>
        <v>27</v>
      </c>
      <c r="B33" s="225" t="s">
        <v>228</v>
      </c>
      <c r="C33" s="225"/>
      <c r="D33" s="246">
        <f>D31-D32</f>
        <v>623382.65950982319</v>
      </c>
      <c r="E33" s="246">
        <f>E31-E32</f>
        <v>2947070.5932011334</v>
      </c>
      <c r="F33" s="246">
        <f t="shared" ref="F33:O33" si="5">F31-F32</f>
        <v>3228045.4646833721</v>
      </c>
      <c r="G33" s="246">
        <f t="shared" si="5"/>
        <v>2762159.8358083623</v>
      </c>
      <c r="H33" s="246">
        <f t="shared" si="5"/>
        <v>1713210.1963620037</v>
      </c>
      <c r="I33" s="246">
        <f t="shared" si="5"/>
        <v>347103.36478173995</v>
      </c>
      <c r="J33" s="246">
        <f t="shared" si="5"/>
        <v>0</v>
      </c>
      <c r="K33" s="246">
        <f t="shared" si="5"/>
        <v>0</v>
      </c>
      <c r="L33" s="246">
        <f t="shared" si="5"/>
        <v>0</v>
      </c>
      <c r="M33" s="246">
        <f t="shared" si="5"/>
        <v>0</v>
      </c>
      <c r="N33" s="246">
        <f t="shared" si="5"/>
        <v>0</v>
      </c>
      <c r="O33" s="246">
        <f t="shared" si="5"/>
        <v>0</v>
      </c>
      <c r="P33" s="245">
        <f t="shared" si="4"/>
        <v>11620972.114346433</v>
      </c>
    </row>
    <row r="34" spans="1:16" x14ac:dyDescent="0.25">
      <c r="A34" s="5">
        <f t="shared" si="1"/>
        <v>28</v>
      </c>
      <c r="B34" s="225"/>
      <c r="C34" s="225"/>
      <c r="D34" s="246"/>
      <c r="E34" s="246"/>
      <c r="F34" s="246"/>
      <c r="G34" s="246"/>
      <c r="H34" s="246"/>
      <c r="I34" s="246"/>
      <c r="J34" s="246"/>
      <c r="K34" s="246"/>
      <c r="L34" s="246"/>
      <c r="M34" s="246"/>
      <c r="N34" s="246"/>
      <c r="O34" s="246"/>
      <c r="P34" s="245"/>
    </row>
    <row r="35" spans="1:16" x14ac:dyDescent="0.25">
      <c r="A35" s="5">
        <f t="shared" si="1"/>
        <v>29</v>
      </c>
      <c r="B35" s="225" t="s">
        <v>229</v>
      </c>
      <c r="C35" s="225"/>
      <c r="D35" s="246">
        <f>+D29+D33</f>
        <v>9841482.0775557887</v>
      </c>
      <c r="E35" s="246">
        <f>+E29+E33</f>
        <v>13521067.883118201</v>
      </c>
      <c r="F35" s="246">
        <f t="shared" ref="F35:O35" si="6">+F29+F33</f>
        <v>14218498.018482797</v>
      </c>
      <c r="G35" s="246">
        <f t="shared" si="6"/>
        <v>11914596.680257916</v>
      </c>
      <c r="H35" s="246">
        <f t="shared" si="6"/>
        <v>10319544.029864244</v>
      </c>
      <c r="I35" s="246">
        <f t="shared" si="6"/>
        <v>7442821.6867041998</v>
      </c>
      <c r="J35" s="246">
        <f t="shared" si="6"/>
        <v>4578070.9019891517</v>
      </c>
      <c r="K35" s="246">
        <f t="shared" si="6"/>
        <v>3349077.7844300591</v>
      </c>
      <c r="L35" s="246">
        <f t="shared" si="6"/>
        <v>2862410.9082945031</v>
      </c>
      <c r="M35" s="246">
        <f t="shared" si="6"/>
        <v>2460841.6067674654</v>
      </c>
      <c r="N35" s="246">
        <f t="shared" si="6"/>
        <v>2801999.1072868472</v>
      </c>
      <c r="O35" s="246">
        <f t="shared" si="6"/>
        <v>5761713.8051290102</v>
      </c>
      <c r="P35" s="245">
        <f>SUM(D35:O35)</f>
        <v>89072124.489880159</v>
      </c>
    </row>
    <row r="36" spans="1:16" x14ac:dyDescent="0.25">
      <c r="A36" s="5">
        <f t="shared" si="1"/>
        <v>30</v>
      </c>
      <c r="B36" s="2"/>
      <c r="C36" s="2"/>
      <c r="D36" s="243"/>
      <c r="E36" s="53"/>
      <c r="F36" s="53"/>
      <c r="G36" s="53"/>
      <c r="H36" s="53"/>
      <c r="I36" s="53"/>
      <c r="J36" s="53"/>
      <c r="K36" s="53"/>
      <c r="L36" s="53"/>
      <c r="M36" s="53"/>
      <c r="N36" s="53"/>
      <c r="O36" s="53"/>
      <c r="P36" s="245"/>
    </row>
    <row r="37" spans="1:16" x14ac:dyDescent="0.25">
      <c r="A37" s="5">
        <f t="shared" si="1"/>
        <v>31</v>
      </c>
      <c r="B37" s="225" t="s">
        <v>230</v>
      </c>
      <c r="C37" s="225"/>
      <c r="D37" s="246">
        <f>INDEX('[2]Storage Dispatch'!$M$16:$M$27,'[2]Total Commodity Summary'!D9)-INDEX('[2]Storage Dispatch'!$L$16:$L$27,'[2]Total Commodity Summary'!D9)</f>
        <v>71558.147267667577</v>
      </c>
      <c r="E37" s="246">
        <f>INDEX('[2]Storage Dispatch'!$M$16:$M$27,'[2]Total Commodity Summary'!E9)-INDEX('[2]Storage Dispatch'!$L$16:$L$27,'[2]Total Commodity Summary'!E9)</f>
        <v>82083.694367466494</v>
      </c>
      <c r="F37" s="246">
        <f>INDEX('[2]Storage Dispatch'!$M$16:$M$27,'[2]Total Commodity Summary'!F9)-INDEX('[2]Storage Dispatch'!$L$16:$L$27,'[2]Total Commodity Summary'!F9)</f>
        <v>85316.548099217936</v>
      </c>
      <c r="G37" s="246">
        <f>INDEX('[2]Storage Dispatch'!$M$16:$M$27,'[2]Total Commodity Summary'!G9)-INDEX('[2]Storage Dispatch'!$L$16:$L$27,'[2]Total Commodity Summary'!G9)</f>
        <v>71048.422659775242</v>
      </c>
      <c r="H37" s="246">
        <f>INDEX('[2]Storage Dispatch'!$M$16:$M$27,'[2]Total Commodity Summary'!H9)-INDEX('[2]Storage Dispatch'!$L$16:$L$27,'[2]Total Commodity Summary'!H9)</f>
        <v>66809.141013041139</v>
      </c>
      <c r="I37" s="246">
        <f>INDEX('[2]Storage Dispatch'!$M$16:$M$27,'[2]Total Commodity Summary'!I9)-INDEX('[2]Storage Dispatch'!$L$16:$L$27,'[2]Total Commodity Summary'!I9)</f>
        <v>55082.553748118691</v>
      </c>
      <c r="J37" s="246">
        <f>INDEX('[2]Storage Dispatch'!$M$16:$M$27,'[2]Total Commodity Summary'!J9)-INDEX('[2]Storage Dispatch'!$L$16:$L$27,'[2]Total Commodity Summary'!J9)</f>
        <v>35538.591736712493</v>
      </c>
      <c r="K37" s="246">
        <f>INDEX('[2]Storage Dispatch'!$M$16:$M$27,'[2]Total Commodity Summary'!K9)-INDEX('[2]Storage Dispatch'!$L$16:$L$27,'[2]Total Commodity Summary'!K9)</f>
        <v>25998.179281941615</v>
      </c>
      <c r="L37" s="246">
        <f>INDEX('[2]Storage Dispatch'!$M$16:$M$27,'[2]Total Commodity Summary'!L9)-INDEX('[2]Storage Dispatch'!$L$16:$L$27,'[2]Total Commodity Summary'!L9)</f>
        <v>22220.287721711211</v>
      </c>
      <c r="M37" s="246">
        <f>INDEX('[2]Storage Dispatch'!$M$16:$M$27,'[2]Total Commodity Summary'!M9)-INDEX('[2]Storage Dispatch'!$L$16:$L$27,'[2]Total Commodity Summary'!M9)</f>
        <v>19102.990552991629</v>
      </c>
      <c r="N37" s="246">
        <f>INDEX('[2]Storage Dispatch'!$M$16:$M$27,'[2]Total Commodity Summary'!N9)-INDEX('[2]Storage Dispatch'!$L$16:$L$27,'[2]Total Commodity Summary'!N9)</f>
        <v>21751.323745823931</v>
      </c>
      <c r="O37" s="246">
        <f>INDEX('[2]Storage Dispatch'!$M$16:$M$27,'[2]Total Commodity Summary'!O9)-INDEX('[2]Storage Dispatch'!$L$16:$L$27,'[2]Total Commodity Summary'!O9)</f>
        <v>44726.960112237372</v>
      </c>
      <c r="P37" s="245">
        <f>ROUND(SUM(D37:O37),2)</f>
        <v>601236.84</v>
      </c>
    </row>
    <row r="38" spans="1:16" x14ac:dyDescent="0.25">
      <c r="A38" s="5">
        <f t="shared" si="1"/>
        <v>32</v>
      </c>
      <c r="B38" s="251"/>
      <c r="C38" s="243"/>
      <c r="D38" s="252"/>
      <c r="E38" s="252"/>
      <c r="F38" s="252"/>
      <c r="G38" s="252"/>
      <c r="H38" s="252"/>
      <c r="I38" s="252"/>
      <c r="J38" s="252"/>
      <c r="K38" s="252"/>
      <c r="L38" s="252"/>
      <c r="M38" s="252"/>
      <c r="N38" s="252"/>
      <c r="O38" s="252"/>
      <c r="P38" s="253"/>
    </row>
    <row r="39" spans="1:16" ht="15.75" thickBot="1" x14ac:dyDescent="0.3">
      <c r="A39" s="5">
        <f t="shared" si="1"/>
        <v>33</v>
      </c>
      <c r="B39" s="254" t="s">
        <v>231</v>
      </c>
      <c r="C39" s="254"/>
      <c r="D39" s="255">
        <f>+D35-D37</f>
        <v>9769923.9302881211</v>
      </c>
      <c r="E39" s="255">
        <f>+E35-E37</f>
        <v>13438984.188750735</v>
      </c>
      <c r="F39" s="255">
        <f t="shared" ref="F39:N39" si="7">+F35-F37</f>
        <v>14133181.470383579</v>
      </c>
      <c r="G39" s="255">
        <f t="shared" si="7"/>
        <v>11843548.257598141</v>
      </c>
      <c r="H39" s="255">
        <f t="shared" si="7"/>
        <v>10252734.888851203</v>
      </c>
      <c r="I39" s="255">
        <f t="shared" si="7"/>
        <v>7387739.1329560811</v>
      </c>
      <c r="J39" s="255">
        <f t="shared" si="7"/>
        <v>4542532.3102524392</v>
      </c>
      <c r="K39" s="255">
        <f t="shared" si="7"/>
        <v>3323079.6051481175</v>
      </c>
      <c r="L39" s="255">
        <f t="shared" si="7"/>
        <v>2840190.6205727919</v>
      </c>
      <c r="M39" s="255">
        <f t="shared" si="7"/>
        <v>2441738.6162144737</v>
      </c>
      <c r="N39" s="255">
        <f t="shared" si="7"/>
        <v>2780247.7835410233</v>
      </c>
      <c r="O39" s="255">
        <f>+O35-O37</f>
        <v>5716986.8450167729</v>
      </c>
      <c r="P39" s="256">
        <f>SUM(D39:O39)</f>
        <v>88470887.649573475</v>
      </c>
    </row>
    <row r="40" spans="1:16" ht="16.5" thickTop="1" thickBot="1" x14ac:dyDescent="0.3">
      <c r="A40" s="5"/>
      <c r="B40" s="257"/>
      <c r="C40" s="257"/>
      <c r="D40" s="258"/>
      <c r="E40" s="258"/>
      <c r="F40" s="258"/>
      <c r="G40" s="258"/>
      <c r="H40" s="258"/>
      <c r="I40" s="258"/>
      <c r="J40" s="258"/>
      <c r="K40" s="258"/>
      <c r="L40" s="258"/>
      <c r="M40" s="258"/>
      <c r="N40" s="258"/>
      <c r="O40" s="258"/>
      <c r="P40" s="259">
        <f>+P39-'[2]Storage Dispatch'!D418</f>
        <v>-0.35042652487754822</v>
      </c>
    </row>
  </sheetData>
  <mergeCells count="4">
    <mergeCell ref="F2:H2"/>
    <mergeCell ref="J2:K2"/>
    <mergeCell ref="F3:H3"/>
    <mergeCell ref="J3:K3"/>
  </mergeCells>
  <conditionalFormatting sqref="F3:H3">
    <cfRule type="cellIs" dxfId="7" priority="3" operator="equal">
      <formula>"ERROR"</formula>
    </cfRule>
    <cfRule type="cellIs" dxfId="6" priority="4" operator="equal">
      <formula>"GOOD"</formula>
    </cfRule>
  </conditionalFormatting>
  <conditionalFormatting sqref="J3:K3">
    <cfRule type="cellIs" dxfId="5" priority="1" operator="equal">
      <formula>"ERROR"</formula>
    </cfRule>
    <cfRule type="cellIs" dxfId="4" priority="2" operator="equal">
      <formula>"GOOD"</formula>
    </cfRule>
  </conditionalFormatting>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FF9EB-5DF0-4682-BCF2-3930AEF36572}">
  <dimension ref="A1:P24"/>
  <sheetViews>
    <sheetView topLeftCell="C1" zoomScaleNormal="100" workbookViewId="0">
      <selection activeCell="G6" sqref="G6"/>
    </sheetView>
  </sheetViews>
  <sheetFormatPr defaultRowHeight="15" x14ac:dyDescent="0.25"/>
  <cols>
    <col min="1" max="1" width="8.42578125" customWidth="1"/>
    <col min="2" max="2" width="40.85546875" bestFit="1" customWidth="1"/>
    <col min="4" max="4" width="10.85546875" bestFit="1" customWidth="1"/>
    <col min="5" max="5" width="12" bestFit="1" customWidth="1"/>
    <col min="6" max="8" width="11.5703125" bestFit="1" customWidth="1"/>
    <col min="9" max="12" width="10.85546875" bestFit="1" customWidth="1"/>
    <col min="13" max="13" width="10.5703125" bestFit="1" customWidth="1"/>
    <col min="14" max="15" width="10.85546875" bestFit="1" customWidth="1"/>
    <col min="16" max="16" width="11.85546875" bestFit="1" customWidth="1"/>
  </cols>
  <sheetData>
    <row r="1" spans="1:16" x14ac:dyDescent="0.25">
      <c r="A1" s="2" t="s">
        <v>0</v>
      </c>
      <c r="B1" s="2"/>
      <c r="C1" s="2"/>
      <c r="D1" s="218"/>
      <c r="E1" s="2"/>
      <c r="F1" s="218"/>
      <c r="G1" s="2"/>
      <c r="H1" s="2"/>
      <c r="I1" s="2"/>
      <c r="J1" s="2"/>
      <c r="K1" s="2"/>
      <c r="L1" s="2"/>
      <c r="M1" s="2"/>
      <c r="N1" s="2"/>
      <c r="O1" s="2"/>
      <c r="P1" s="219"/>
    </row>
    <row r="2" spans="1:16" x14ac:dyDescent="0.25">
      <c r="A2" s="2" t="s">
        <v>239</v>
      </c>
      <c r="B2" s="2"/>
      <c r="C2" s="2"/>
      <c r="D2" s="218"/>
      <c r="E2" s="2"/>
      <c r="F2" s="339"/>
      <c r="G2" s="339"/>
      <c r="H2" s="339"/>
      <c r="I2" s="2"/>
      <c r="J2" s="339"/>
      <c r="K2" s="339"/>
      <c r="L2" s="2"/>
      <c r="M2" s="2"/>
      <c r="N2" s="2"/>
      <c r="O2" s="2"/>
      <c r="P2" s="219"/>
    </row>
    <row r="3" spans="1:16" x14ac:dyDescent="0.25">
      <c r="A3" s="3" t="s">
        <v>188</v>
      </c>
      <c r="B3" s="2"/>
      <c r="C3" s="2"/>
      <c r="D3" s="218"/>
      <c r="E3" s="2"/>
      <c r="F3" s="340"/>
      <c r="G3" s="341"/>
      <c r="H3" s="341"/>
      <c r="I3" s="2"/>
      <c r="J3" s="340"/>
      <c r="K3" s="341"/>
      <c r="L3" s="2"/>
      <c r="M3" s="2"/>
      <c r="N3" s="2"/>
      <c r="O3" s="2"/>
      <c r="P3" s="220"/>
    </row>
    <row r="4" spans="1:16" x14ac:dyDescent="0.25">
      <c r="A4" s="221" t="s">
        <v>189</v>
      </c>
      <c r="B4" s="2"/>
      <c r="C4" s="2"/>
      <c r="D4" s="2"/>
      <c r="E4" s="2"/>
      <c r="F4" s="2"/>
      <c r="G4" s="2"/>
      <c r="H4" s="2"/>
      <c r="I4" s="2"/>
      <c r="J4" s="2"/>
      <c r="K4" s="2"/>
      <c r="L4" s="2"/>
      <c r="M4" s="2"/>
      <c r="N4" s="2"/>
      <c r="O4" s="2"/>
      <c r="P4" s="219"/>
    </row>
    <row r="5" spans="1:16" ht="15.75" thickBot="1" x14ac:dyDescent="0.3">
      <c r="A5" s="2"/>
      <c r="B5" s="2"/>
      <c r="C5" s="2"/>
      <c r="D5" s="2"/>
      <c r="E5" s="2"/>
      <c r="F5" s="2"/>
      <c r="G5" s="2"/>
      <c r="H5" s="2"/>
      <c r="I5" s="2"/>
      <c r="J5" s="2"/>
      <c r="K5" s="2"/>
      <c r="L5" s="2"/>
      <c r="M5" s="2"/>
      <c r="N5" s="2"/>
      <c r="O5" s="2"/>
      <c r="P5" s="2"/>
    </row>
    <row r="6" spans="1:16" ht="15.75" thickBot="1" x14ac:dyDescent="0.3">
      <c r="A6" s="17" t="s">
        <v>232</v>
      </c>
      <c r="B6" s="18"/>
      <c r="C6" s="222"/>
      <c r="D6" s="246"/>
      <c r="E6" s="246"/>
      <c r="F6" s="246"/>
      <c r="G6" s="246"/>
      <c r="H6" s="246"/>
      <c r="I6" s="246"/>
      <c r="J6" s="246"/>
      <c r="K6" s="246"/>
      <c r="L6" s="246"/>
      <c r="M6" s="246"/>
      <c r="N6" s="246"/>
      <c r="O6" s="246"/>
      <c r="P6" s="245"/>
    </row>
    <row r="7" spans="1:16" x14ac:dyDescent="0.25">
      <c r="A7" s="1"/>
      <c r="B7" s="2"/>
      <c r="C7" s="2"/>
      <c r="D7" s="260"/>
      <c r="E7" s="260"/>
      <c r="F7" s="260"/>
      <c r="G7" s="260"/>
      <c r="H7" s="260"/>
      <c r="I7" s="260"/>
      <c r="J7" s="260"/>
      <c r="K7" s="260"/>
      <c r="L7" s="260"/>
      <c r="M7" s="260"/>
      <c r="N7" s="260"/>
      <c r="O7" s="260"/>
      <c r="P7" s="245"/>
    </row>
    <row r="8" spans="1:16" x14ac:dyDescent="0.25">
      <c r="A8" s="5">
        <v>34</v>
      </c>
      <c r="B8" s="16"/>
      <c r="C8" s="2"/>
      <c r="D8" s="260"/>
      <c r="E8" s="260"/>
      <c r="F8" s="260"/>
      <c r="G8" s="260"/>
      <c r="H8" s="260"/>
      <c r="I8" s="260"/>
      <c r="J8" s="260"/>
      <c r="K8" s="260"/>
      <c r="L8" s="260"/>
      <c r="M8" s="260"/>
      <c r="N8" s="260"/>
      <c r="O8" s="260"/>
      <c r="P8" s="245"/>
    </row>
    <row r="9" spans="1:16" x14ac:dyDescent="0.25">
      <c r="A9" s="5">
        <v>35</v>
      </c>
      <c r="B9" s="2"/>
      <c r="C9" s="2"/>
      <c r="D9" s="238"/>
      <c r="E9" s="238"/>
      <c r="F9" s="238"/>
      <c r="G9" s="238"/>
      <c r="H9" s="238"/>
      <c r="I9" s="238"/>
      <c r="J9" s="238"/>
      <c r="K9" s="238"/>
      <c r="L9" s="238"/>
      <c r="M9" s="238"/>
      <c r="N9" s="238"/>
      <c r="O9" s="238"/>
      <c r="P9" s="233"/>
    </row>
    <row r="10" spans="1:16" x14ac:dyDescent="0.25">
      <c r="A10" s="5">
        <v>36</v>
      </c>
      <c r="B10" s="225"/>
      <c r="C10" s="225"/>
      <c r="D10" s="238"/>
      <c r="E10" s="238"/>
      <c r="F10" s="238"/>
      <c r="G10" s="238"/>
      <c r="H10" s="238"/>
      <c r="I10" s="238"/>
      <c r="J10" s="238"/>
      <c r="K10" s="238"/>
      <c r="L10" s="238"/>
      <c r="M10" s="238"/>
      <c r="N10" s="238"/>
      <c r="O10" s="238"/>
      <c r="P10" s="245"/>
    </row>
    <row r="11" spans="1:16" x14ac:dyDescent="0.25">
      <c r="A11" s="5">
        <v>37</v>
      </c>
      <c r="B11" s="225"/>
      <c r="C11" s="225"/>
      <c r="D11" s="260"/>
      <c r="E11" s="260"/>
      <c r="F11" s="260"/>
      <c r="G11" s="260"/>
      <c r="H11" s="260"/>
      <c r="I11" s="260"/>
      <c r="J11" s="260"/>
      <c r="K11" s="260"/>
      <c r="L11" s="260"/>
      <c r="M11" s="260"/>
      <c r="N11" s="260"/>
      <c r="O11" s="260"/>
      <c r="P11" s="245"/>
    </row>
    <row r="12" spans="1:16" x14ac:dyDescent="0.25">
      <c r="A12" s="5">
        <v>38</v>
      </c>
      <c r="B12" s="16" t="s">
        <v>233</v>
      </c>
      <c r="C12" s="225"/>
      <c r="D12" s="260"/>
      <c r="E12" s="260"/>
      <c r="F12" s="260"/>
      <c r="G12" s="260"/>
      <c r="H12" s="260"/>
      <c r="I12" s="260"/>
      <c r="J12" s="260"/>
      <c r="K12" s="260"/>
      <c r="L12" s="260"/>
      <c r="M12" s="260"/>
      <c r="N12" s="260"/>
      <c r="O12" s="260"/>
      <c r="P12" s="245"/>
    </row>
    <row r="13" spans="1:16" x14ac:dyDescent="0.25">
      <c r="A13" s="5">
        <v>39</v>
      </c>
      <c r="B13" s="225" t="s">
        <v>67</v>
      </c>
      <c r="C13" s="225"/>
      <c r="D13" s="262">
        <v>9769923.9302881192</v>
      </c>
      <c r="E13" s="262">
        <v>13438984.188750735</v>
      </c>
      <c r="F13" s="262">
        <v>14133181.470383575</v>
      </c>
      <c r="G13" s="262">
        <v>11843548.257598134</v>
      </c>
      <c r="H13" s="262">
        <v>10252734.888851197</v>
      </c>
      <c r="I13" s="262">
        <v>7387739.1329560792</v>
      </c>
      <c r="J13" s="262">
        <v>4542532.3102524383</v>
      </c>
      <c r="K13" s="262">
        <v>3323079.6051481175</v>
      </c>
      <c r="L13" s="262">
        <v>2840190.6205727914</v>
      </c>
      <c r="M13" s="262">
        <v>2441738.6162144723</v>
      </c>
      <c r="N13" s="262">
        <v>2780247.7835410242</v>
      </c>
      <c r="O13" s="262">
        <v>5716986.8450167729</v>
      </c>
      <c r="P13" s="245">
        <v>88470887.64957346</v>
      </c>
    </row>
    <row r="14" spans="1:16" x14ac:dyDescent="0.25">
      <c r="A14" s="5">
        <v>40</v>
      </c>
      <c r="B14" s="263" t="s">
        <v>234</v>
      </c>
      <c r="C14" s="263"/>
      <c r="D14" s="264">
        <v>9769923.9302881192</v>
      </c>
      <c r="E14" s="264">
        <v>13438984.188750735</v>
      </c>
      <c r="F14" s="264">
        <v>14133181.470383575</v>
      </c>
      <c r="G14" s="264">
        <v>11843548.257598134</v>
      </c>
      <c r="H14" s="264">
        <v>10252734.888851197</v>
      </c>
      <c r="I14" s="264">
        <v>7387739.1329560792</v>
      </c>
      <c r="J14" s="264">
        <v>4542532.3102524383</v>
      </c>
      <c r="K14" s="264">
        <v>3323079.6051481175</v>
      </c>
      <c r="L14" s="264">
        <v>2840190.6205727914</v>
      </c>
      <c r="M14" s="264">
        <v>2441738.6162144723</v>
      </c>
      <c r="N14" s="264">
        <v>2780247.7835410242</v>
      </c>
      <c r="O14" s="264">
        <v>5716986.8450167729</v>
      </c>
      <c r="P14" s="265">
        <v>88470888</v>
      </c>
    </row>
    <row r="15" spans="1:16" x14ac:dyDescent="0.25">
      <c r="A15" s="5">
        <v>41</v>
      </c>
      <c r="B15" s="225"/>
      <c r="C15" s="225"/>
      <c r="D15" s="246"/>
      <c r="E15" s="246"/>
      <c r="F15" s="246"/>
      <c r="G15" s="246"/>
      <c r="H15" s="246"/>
      <c r="I15" s="246"/>
      <c r="J15" s="246"/>
      <c r="K15" s="246"/>
      <c r="L15" s="246"/>
      <c r="M15" s="246"/>
      <c r="N15" s="246"/>
      <c r="O15" s="246"/>
      <c r="P15" s="245"/>
    </row>
    <row r="16" spans="1:16" x14ac:dyDescent="0.25">
      <c r="A16" s="5">
        <v>42</v>
      </c>
      <c r="B16" s="266" t="s">
        <v>235</v>
      </c>
      <c r="C16" s="267"/>
      <c r="D16" s="268"/>
      <c r="E16" s="268"/>
      <c r="F16" s="268"/>
      <c r="G16" s="268"/>
      <c r="H16" s="268"/>
      <c r="I16" s="268"/>
      <c r="J16" s="268"/>
      <c r="K16" s="268"/>
      <c r="L16" s="268"/>
      <c r="M16" s="268"/>
      <c r="N16" s="268"/>
      <c r="O16" s="268"/>
      <c r="P16" s="269"/>
    </row>
    <row r="17" spans="1:16" x14ac:dyDescent="0.25">
      <c r="A17" s="5">
        <v>43</v>
      </c>
      <c r="B17" s="1"/>
      <c r="C17" s="270"/>
      <c r="D17" s="268"/>
      <c r="E17" s="268"/>
      <c r="F17" s="268"/>
      <c r="G17" s="268"/>
      <c r="H17" s="268"/>
      <c r="I17" s="268"/>
      <c r="J17" s="268"/>
      <c r="K17" s="268"/>
      <c r="L17" s="268"/>
      <c r="M17" s="268"/>
      <c r="N17" s="268"/>
      <c r="O17" s="268"/>
      <c r="P17" s="269"/>
    </row>
    <row r="18" spans="1:16" x14ac:dyDescent="0.25">
      <c r="A18" s="5">
        <v>44</v>
      </c>
      <c r="B18" s="2" t="s">
        <v>236</v>
      </c>
      <c r="C18" s="270"/>
      <c r="D18" s="232">
        <v>4535314.8042678982</v>
      </c>
      <c r="E18" s="232">
        <v>6249388.101501246</v>
      </c>
      <c r="F18" s="232">
        <v>6778528.70169261</v>
      </c>
      <c r="G18" s="232">
        <v>5806092.1897184746</v>
      </c>
      <c r="H18" s="232">
        <v>4626053.4446079638</v>
      </c>
      <c r="I18" s="232">
        <v>3027135.4752082983</v>
      </c>
      <c r="J18" s="232">
        <v>1724158.8185847988</v>
      </c>
      <c r="K18" s="232">
        <v>1265235.7217081485</v>
      </c>
      <c r="L18" s="232">
        <v>1136639.5259929181</v>
      </c>
      <c r="M18" s="232">
        <v>961730.57116382732</v>
      </c>
      <c r="N18" s="232">
        <v>1195018.5297125794</v>
      </c>
      <c r="O18" s="232">
        <v>2440670.8380106539</v>
      </c>
      <c r="P18" s="233">
        <v>39745966.722169414</v>
      </c>
    </row>
    <row r="19" spans="1:16" x14ac:dyDescent="0.25">
      <c r="A19" s="5">
        <v>45</v>
      </c>
      <c r="B19" s="271" t="s">
        <v>237</v>
      </c>
      <c r="C19" s="272"/>
      <c r="D19" s="273">
        <v>4535314.8042678982</v>
      </c>
      <c r="E19" s="273">
        <v>6249388.101501246</v>
      </c>
      <c r="F19" s="273">
        <v>6778528.70169261</v>
      </c>
      <c r="G19" s="273">
        <v>5806092.1897184746</v>
      </c>
      <c r="H19" s="273">
        <v>4626053.4446079638</v>
      </c>
      <c r="I19" s="273">
        <v>3027135.4752082983</v>
      </c>
      <c r="J19" s="273">
        <v>1724158.8185847988</v>
      </c>
      <c r="K19" s="273">
        <v>1265235.7217081485</v>
      </c>
      <c r="L19" s="273">
        <v>1136639.5259929181</v>
      </c>
      <c r="M19" s="273">
        <v>961730.57116382732</v>
      </c>
      <c r="N19" s="273">
        <v>1195018.5297125794</v>
      </c>
      <c r="O19" s="273">
        <v>2440670.8380106539</v>
      </c>
      <c r="P19" s="274">
        <v>39745966.722169414</v>
      </c>
    </row>
    <row r="20" spans="1:16" x14ac:dyDescent="0.25">
      <c r="A20" s="5">
        <v>46</v>
      </c>
      <c r="B20" s="225"/>
      <c r="C20" s="225"/>
      <c r="D20" s="246"/>
      <c r="E20" s="246"/>
      <c r="F20" s="246"/>
      <c r="G20" s="246"/>
      <c r="H20" s="246"/>
      <c r="I20" s="246"/>
      <c r="J20" s="246"/>
      <c r="K20" s="246"/>
      <c r="L20" s="246"/>
      <c r="M20" s="246"/>
      <c r="N20" s="246"/>
      <c r="O20" s="246"/>
      <c r="P20" s="275"/>
    </row>
    <row r="21" spans="1:16" x14ac:dyDescent="0.25">
      <c r="A21" s="5">
        <v>47</v>
      </c>
      <c r="B21" s="1" t="s">
        <v>240</v>
      </c>
      <c r="C21" s="2"/>
      <c r="D21" s="268">
        <v>0.46421000000000001</v>
      </c>
      <c r="E21" s="268">
        <v>0.46501999999999999</v>
      </c>
      <c r="F21" s="268">
        <v>0.47961999999999999</v>
      </c>
      <c r="G21" s="268">
        <v>0.49023</v>
      </c>
      <c r="H21" s="268">
        <v>0.45119999999999999</v>
      </c>
      <c r="I21" s="268">
        <v>0.40975</v>
      </c>
      <c r="J21" s="268">
        <v>0.37956000000000001</v>
      </c>
      <c r="K21" s="268">
        <v>0.38074000000000002</v>
      </c>
      <c r="L21" s="268">
        <v>0.4002</v>
      </c>
      <c r="M21" s="268">
        <v>0.39387</v>
      </c>
      <c r="N21" s="268">
        <v>0.42981999999999998</v>
      </c>
      <c r="O21" s="268">
        <v>0.42692000000000002</v>
      </c>
      <c r="P21" s="269">
        <v>0.44924999999999998</v>
      </c>
    </row>
    <row r="22" spans="1:16" x14ac:dyDescent="0.25">
      <c r="A22" s="5">
        <v>48</v>
      </c>
      <c r="B22" s="1"/>
      <c r="C22" s="2"/>
      <c r="D22" s="268"/>
      <c r="E22" s="268"/>
      <c r="F22" s="268"/>
      <c r="G22" s="268"/>
      <c r="H22" s="268"/>
      <c r="I22" s="268"/>
      <c r="J22" s="268"/>
      <c r="K22" s="268"/>
      <c r="L22" s="268"/>
      <c r="M22" s="268"/>
      <c r="N22" s="268"/>
      <c r="O22" s="268"/>
      <c r="P22" s="269"/>
    </row>
    <row r="23" spans="1:16" ht="15.75" thickBot="1" x14ac:dyDescent="0.3">
      <c r="A23" s="5">
        <v>49</v>
      </c>
      <c r="B23" s="276" t="s">
        <v>238</v>
      </c>
      <c r="C23" s="277"/>
      <c r="D23" s="278">
        <v>0.48536000000000001</v>
      </c>
      <c r="E23" s="278">
        <v>0.48620000000000002</v>
      </c>
      <c r="F23" s="278">
        <v>0.50146999999999997</v>
      </c>
      <c r="G23" s="278">
        <v>0.51256000000000002</v>
      </c>
      <c r="H23" s="278">
        <v>0.47175</v>
      </c>
      <c r="I23" s="278">
        <v>0.42842000000000002</v>
      </c>
      <c r="J23" s="278">
        <v>0.39684999999999998</v>
      </c>
      <c r="K23" s="278">
        <v>0.39807999999999999</v>
      </c>
      <c r="L23" s="278">
        <v>0.41843000000000002</v>
      </c>
      <c r="M23" s="278">
        <v>0.41181000000000001</v>
      </c>
      <c r="N23" s="278">
        <v>0.44940000000000002</v>
      </c>
      <c r="O23" s="278">
        <v>0.44636999999999999</v>
      </c>
      <c r="P23" s="279">
        <v>0.46972000000000003</v>
      </c>
    </row>
    <row r="24" spans="1:16" ht="15.75" thickTop="1" x14ac:dyDescent="0.25"/>
  </sheetData>
  <mergeCells count="4">
    <mergeCell ref="F2:H2"/>
    <mergeCell ref="J2:K2"/>
    <mergeCell ref="F3:H3"/>
    <mergeCell ref="J3:K3"/>
  </mergeCells>
  <conditionalFormatting sqref="F3:H3">
    <cfRule type="cellIs" dxfId="3" priority="3" operator="equal">
      <formula>"ERROR"</formula>
    </cfRule>
    <cfRule type="cellIs" dxfId="2" priority="4" operator="equal">
      <formula>"GOOD"</formula>
    </cfRule>
  </conditionalFormatting>
  <conditionalFormatting sqref="J3:K3">
    <cfRule type="cellIs" dxfId="1" priority="1" operator="equal">
      <formula>"ERROR"</formula>
    </cfRule>
    <cfRule type="cellIs" dxfId="0" priority="2" operator="equal">
      <formula>"GOOD"</formula>
    </cfRule>
  </conditionalFormatting>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687C-C538-4EEE-89ED-FF74F6756039}">
  <dimension ref="A1:AI393"/>
  <sheetViews>
    <sheetView topLeftCell="F1" zoomScaleNormal="100" workbookViewId="0">
      <selection activeCell="M29" sqref="M29"/>
    </sheetView>
  </sheetViews>
  <sheetFormatPr defaultColWidth="8.85546875" defaultRowHeight="15" x14ac:dyDescent="0.25"/>
  <cols>
    <col min="1" max="1" width="6.42578125" style="2" customWidth="1"/>
    <col min="2" max="2" width="32.28515625" style="2" customWidth="1"/>
    <col min="3" max="3" width="12.5703125" style="2" customWidth="1"/>
    <col min="4" max="16" width="12.7109375" style="2" customWidth="1"/>
    <col min="17" max="18" width="12.7109375" style="2" hidden="1" customWidth="1"/>
    <col min="19" max="29" width="12.7109375" style="2" customWidth="1"/>
    <col min="30" max="30" width="4.7109375" style="2" customWidth="1"/>
    <col min="31" max="31" width="12.7109375" style="2" customWidth="1"/>
    <col min="32" max="32" width="4.7109375" style="2" customWidth="1"/>
    <col min="33" max="54" width="12.7109375" style="2" customWidth="1"/>
    <col min="55" max="16384" width="8.85546875" style="2"/>
  </cols>
  <sheetData>
    <row r="1" spans="1:35" x14ac:dyDescent="0.25">
      <c r="A1" s="2" t="str">
        <f>+'[2]Supply Contracts'!A1</f>
        <v>NW Natural</v>
      </c>
    </row>
    <row r="2" spans="1:35" x14ac:dyDescent="0.25">
      <c r="A2" s="2" t="str">
        <f>+'[2]Supply Contracts'!A2</f>
        <v>2022-2023 PGA - SYSTEM: September Filing</v>
      </c>
    </row>
    <row r="3" spans="1:35" x14ac:dyDescent="0.25">
      <c r="A3" s="3" t="s">
        <v>241</v>
      </c>
    </row>
    <row r="4" spans="1:35" x14ac:dyDescent="0.25">
      <c r="A4" s="282" t="s">
        <v>242</v>
      </c>
      <c r="F4" s="283"/>
    </row>
    <row r="5" spans="1:35" ht="15.75" thickBot="1" x14ac:dyDescent="0.3"/>
    <row r="6" spans="1:35" ht="15.75" thickBot="1" x14ac:dyDescent="0.3">
      <c r="A6" s="17" t="s">
        <v>243</v>
      </c>
      <c r="B6" s="18"/>
      <c r="C6" s="222"/>
    </row>
    <row r="8" spans="1:35" x14ac:dyDescent="0.25">
      <c r="A8" s="1"/>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row>
    <row r="9" spans="1:35" x14ac:dyDescent="0.25">
      <c r="A9" s="5">
        <v>1</v>
      </c>
      <c r="B9" s="223" t="s">
        <v>159</v>
      </c>
      <c r="C9" s="223" t="s">
        <v>160</v>
      </c>
      <c r="D9" s="223" t="s">
        <v>161</v>
      </c>
      <c r="E9" s="223" t="s">
        <v>162</v>
      </c>
      <c r="F9" s="223" t="s">
        <v>179</v>
      </c>
      <c r="G9" s="223" t="s">
        <v>165</v>
      </c>
      <c r="H9" s="223" t="s">
        <v>166</v>
      </c>
      <c r="I9" s="223" t="s">
        <v>180</v>
      </c>
      <c r="J9" s="223" t="s">
        <v>191</v>
      </c>
      <c r="K9" s="223" t="s">
        <v>192</v>
      </c>
      <c r="L9" s="223" t="s">
        <v>193</v>
      </c>
      <c r="M9" s="223" t="s">
        <v>194</v>
      </c>
      <c r="N9" s="223" t="s">
        <v>195</v>
      </c>
      <c r="O9" s="223" t="s">
        <v>196</v>
      </c>
      <c r="P9" s="223" t="s">
        <v>197</v>
      </c>
      <c r="Q9" s="223"/>
      <c r="R9" s="223"/>
      <c r="S9" s="223"/>
      <c r="T9" s="223"/>
      <c r="U9" s="223"/>
      <c r="V9" s="223"/>
      <c r="W9" s="223"/>
      <c r="X9" s="223"/>
      <c r="Y9" s="223"/>
      <c r="Z9" s="223"/>
      <c r="AA9" s="223"/>
      <c r="AB9" s="223"/>
      <c r="AC9" s="223"/>
      <c r="AD9" s="223"/>
      <c r="AE9" s="223"/>
      <c r="AF9" s="223"/>
      <c r="AG9" s="223"/>
    </row>
    <row r="10" spans="1:35" x14ac:dyDescent="0.25">
      <c r="A10" s="5">
        <f t="shared" ref="A10:A25" si="0">+A9+1</f>
        <v>2</v>
      </c>
      <c r="B10" s="225"/>
      <c r="D10" s="12" t="s">
        <v>198</v>
      </c>
      <c r="E10" s="12" t="s">
        <v>199</v>
      </c>
      <c r="F10" s="12" t="s">
        <v>200</v>
      </c>
      <c r="G10" s="12" t="s">
        <v>201</v>
      </c>
      <c r="H10" s="12" t="s">
        <v>202</v>
      </c>
      <c r="I10" s="12" t="s">
        <v>203</v>
      </c>
      <c r="J10" s="12" t="s">
        <v>204</v>
      </c>
      <c r="K10" s="12" t="s">
        <v>205</v>
      </c>
      <c r="L10" s="12" t="s">
        <v>206</v>
      </c>
      <c r="M10" s="12" t="s">
        <v>207</v>
      </c>
      <c r="N10" s="12" t="s">
        <v>208</v>
      </c>
      <c r="O10" s="12" t="s">
        <v>209</v>
      </c>
      <c r="P10" s="12" t="s">
        <v>112</v>
      </c>
      <c r="Q10" s="5"/>
      <c r="R10" s="5"/>
      <c r="S10" s="5"/>
      <c r="T10" s="5"/>
      <c r="U10" s="5"/>
      <c r="V10" s="5"/>
      <c r="W10" s="5"/>
      <c r="X10" s="5"/>
      <c r="Y10" s="5"/>
      <c r="Z10" s="5"/>
      <c r="AA10" s="5"/>
      <c r="AB10" s="5"/>
      <c r="AC10" s="5"/>
      <c r="AD10" s="5"/>
      <c r="AF10" s="5"/>
      <c r="AG10" s="5"/>
    </row>
    <row r="11" spans="1:35" x14ac:dyDescent="0.25">
      <c r="A11" s="5">
        <f t="shared" si="0"/>
        <v>3</v>
      </c>
      <c r="B11" s="225"/>
      <c r="D11" s="5">
        <f>INDEX('[2]Hedged Spot Dispatch &amp; Cost'!$D$20:$D$31,'[2]Total Commodity Summary'!D9:O9)</f>
        <v>30</v>
      </c>
      <c r="E11" s="5">
        <f>INDEX('[2]Hedged Spot Dispatch &amp; Cost'!$D$20:$D$31,'[2]Total Commodity Summary'!E9:P9)</f>
        <v>31</v>
      </c>
      <c r="F11" s="5">
        <f>INDEX('[2]Hedged Spot Dispatch &amp; Cost'!$D$20:$D$31,'[2]Total Commodity Summary'!F9:P9)</f>
        <v>31</v>
      </c>
      <c r="G11" s="5">
        <f>INDEX('[2]Hedged Spot Dispatch &amp; Cost'!$D$20:$D$31,'[2]Total Commodity Summary'!G9:P9)</f>
        <v>28</v>
      </c>
      <c r="H11" s="5">
        <f>INDEX('[2]Hedged Spot Dispatch &amp; Cost'!$D$20:$D$31,'[2]Total Commodity Summary'!H9:P9)</f>
        <v>31</v>
      </c>
      <c r="I11" s="5">
        <f>INDEX('[2]Hedged Spot Dispatch &amp; Cost'!$D$20:$D$31,'[2]Total Commodity Summary'!I9:P9)</f>
        <v>30</v>
      </c>
      <c r="J11" s="5">
        <f>INDEX('[2]Hedged Spot Dispatch &amp; Cost'!$D$20:$D$31,'[2]Total Commodity Summary'!J9:P9)</f>
        <v>31</v>
      </c>
      <c r="K11" s="5">
        <f>INDEX('[2]Hedged Spot Dispatch &amp; Cost'!$D$20:$D$31,'[2]Total Commodity Summary'!K9:P9)</f>
        <v>30</v>
      </c>
      <c r="L11" s="5">
        <f>INDEX('[2]Hedged Spot Dispatch &amp; Cost'!$D$20:$D$31,'[2]Total Commodity Summary'!L9:P9)</f>
        <v>31</v>
      </c>
      <c r="M11" s="5">
        <f>INDEX('[2]Hedged Spot Dispatch &amp; Cost'!$D$20:$D$31,'[2]Total Commodity Summary'!M9:P9)</f>
        <v>31</v>
      </c>
      <c r="N11" s="5">
        <f>INDEX('[2]Hedged Spot Dispatch &amp; Cost'!$D$20:$D$31,'[2]Total Commodity Summary'!N9:P9)</f>
        <v>30</v>
      </c>
      <c r="O11" s="5">
        <f>INDEX('[2]Hedged Spot Dispatch &amp; Cost'!$D$20:$D$31,'[2]Total Commodity Summary'!O9:P9)</f>
        <v>31</v>
      </c>
      <c r="P11" s="5">
        <f>SUM(D11:O11)</f>
        <v>365</v>
      </c>
      <c r="Q11" s="5"/>
      <c r="R11" s="5"/>
      <c r="S11" s="5"/>
      <c r="T11" s="5"/>
      <c r="U11" s="5"/>
      <c r="V11" s="5"/>
      <c r="W11" s="5"/>
      <c r="X11" s="5"/>
      <c r="Y11" s="5"/>
      <c r="Z11" s="5"/>
      <c r="AA11" s="5"/>
      <c r="AB11" s="5"/>
      <c r="AC11" s="5"/>
      <c r="AD11" s="5"/>
      <c r="AE11" s="5"/>
      <c r="AF11" s="5"/>
      <c r="AG11" s="5"/>
    </row>
    <row r="12" spans="1:35" x14ac:dyDescent="0.25">
      <c r="A12" s="5">
        <f t="shared" si="0"/>
        <v>4</v>
      </c>
      <c r="B12" s="228" t="s">
        <v>244</v>
      </c>
      <c r="P12" s="284"/>
      <c r="Q12" s="5"/>
      <c r="R12" s="5"/>
      <c r="S12" s="5"/>
      <c r="T12" s="5"/>
      <c r="U12" s="5"/>
      <c r="V12" s="5"/>
      <c r="W12" s="5"/>
      <c r="X12" s="5"/>
      <c r="Y12" s="5"/>
      <c r="Z12" s="5"/>
      <c r="AA12" s="5"/>
      <c r="AB12" s="5"/>
      <c r="AC12" s="5"/>
      <c r="AD12" s="5"/>
      <c r="AE12" s="5"/>
      <c r="AF12" s="5"/>
      <c r="AG12" s="5"/>
    </row>
    <row r="13" spans="1:35" x14ac:dyDescent="0.25">
      <c r="A13" s="5">
        <f t="shared" si="0"/>
        <v>5</v>
      </c>
      <c r="B13" s="225"/>
      <c r="C13" s="225"/>
      <c r="D13" s="232"/>
      <c r="E13" s="232"/>
      <c r="F13" s="232"/>
      <c r="G13" s="232"/>
      <c r="H13" s="232"/>
      <c r="I13" s="232"/>
      <c r="J13" s="232"/>
      <c r="K13" s="232"/>
      <c r="L13" s="232"/>
      <c r="M13" s="232"/>
      <c r="N13" s="232"/>
      <c r="O13" s="232"/>
      <c r="P13" s="232"/>
      <c r="Q13" s="234"/>
      <c r="R13" s="285"/>
      <c r="S13" s="234"/>
      <c r="T13" s="234"/>
      <c r="U13" s="234"/>
      <c r="V13" s="234"/>
      <c r="W13" s="234"/>
      <c r="X13" s="234"/>
      <c r="Y13" s="234"/>
      <c r="Z13" s="234"/>
      <c r="AA13" s="234"/>
      <c r="AB13" s="234"/>
      <c r="AC13" s="234"/>
      <c r="AD13" s="234"/>
      <c r="AE13" s="5"/>
      <c r="AF13" s="234"/>
      <c r="AG13" s="234"/>
    </row>
    <row r="14" spans="1:35" x14ac:dyDescent="0.25">
      <c r="A14" s="5">
        <f t="shared" si="0"/>
        <v>6</v>
      </c>
      <c r="B14" s="225" t="s">
        <v>245</v>
      </c>
      <c r="D14" s="286">
        <v>4228444.5185000002</v>
      </c>
      <c r="E14" s="286">
        <v>4369393.1024499992</v>
      </c>
      <c r="F14" s="286">
        <v>-11810552.0375</v>
      </c>
      <c r="G14" s="286">
        <v>3784017.45</v>
      </c>
      <c r="H14" s="286">
        <v>4189447.9625000004</v>
      </c>
      <c r="I14" s="286">
        <v>3963619</v>
      </c>
      <c r="J14" s="286">
        <v>4095740</v>
      </c>
      <c r="K14" s="286">
        <v>3963619</v>
      </c>
      <c r="L14" s="286">
        <v>4095740</v>
      </c>
      <c r="M14" s="286">
        <v>4095740</v>
      </c>
      <c r="N14" s="286">
        <v>3963619</v>
      </c>
      <c r="O14" s="286">
        <v>4095740</v>
      </c>
      <c r="P14" s="219">
        <f>SUM(D14:O14)</f>
        <v>33034567.995949998</v>
      </c>
      <c r="Q14" s="219">
        <v>176979</v>
      </c>
      <c r="R14" s="287">
        <f>+Q14/(P14-Q14)</f>
        <v>5.3862442561386442E-3</v>
      </c>
      <c r="S14" s="234"/>
      <c r="T14" s="219"/>
      <c r="U14" s="261"/>
      <c r="V14" s="234"/>
      <c r="W14" s="234"/>
      <c r="X14" s="234"/>
      <c r="Y14" s="234"/>
      <c r="Z14" s="234"/>
      <c r="AA14" s="234"/>
      <c r="AB14" s="234"/>
      <c r="AC14" s="234"/>
      <c r="AD14" s="234"/>
      <c r="AE14" s="5"/>
      <c r="AF14" s="234"/>
      <c r="AG14" s="234"/>
    </row>
    <row r="15" spans="1:35" x14ac:dyDescent="0.25">
      <c r="A15" s="5">
        <f t="shared" si="0"/>
        <v>7</v>
      </c>
      <c r="B15" s="225"/>
      <c r="D15" s="260"/>
      <c r="E15" s="260"/>
      <c r="F15" s="260"/>
      <c r="G15" s="260"/>
      <c r="H15" s="260"/>
      <c r="I15" s="260"/>
      <c r="J15" s="260"/>
      <c r="K15" s="260"/>
      <c r="L15" s="260"/>
      <c r="M15" s="260"/>
      <c r="N15" s="260"/>
      <c r="O15" s="260"/>
      <c r="P15" s="246"/>
      <c r="Q15" s="246"/>
      <c r="R15" s="246"/>
      <c r="S15" s="234"/>
      <c r="T15" s="246"/>
      <c r="U15" s="234"/>
      <c r="V15" s="234"/>
      <c r="W15" s="234"/>
      <c r="X15" s="234"/>
      <c r="Y15" s="234"/>
      <c r="Z15" s="234"/>
      <c r="AA15" s="234"/>
      <c r="AB15" s="234"/>
      <c r="AC15" s="234"/>
      <c r="AD15" s="234"/>
      <c r="AE15" s="5"/>
      <c r="AF15" s="234"/>
      <c r="AG15" s="234"/>
    </row>
    <row r="16" spans="1:35" x14ac:dyDescent="0.25">
      <c r="A16" s="5">
        <f t="shared" si="0"/>
        <v>8</v>
      </c>
      <c r="B16" s="2" t="s">
        <v>246</v>
      </c>
      <c r="D16" s="260">
        <v>522571</v>
      </c>
      <c r="E16" s="260">
        <v>522571</v>
      </c>
      <c r="F16" s="260">
        <v>522571</v>
      </c>
      <c r="G16" s="260">
        <v>522571</v>
      </c>
      <c r="H16" s="260">
        <v>522571</v>
      </c>
      <c r="I16" s="260">
        <v>522571</v>
      </c>
      <c r="J16" s="260">
        <v>522571</v>
      </c>
      <c r="K16" s="260">
        <v>522571</v>
      </c>
      <c r="L16" s="260">
        <v>522571</v>
      </c>
      <c r="M16" s="260">
        <v>522571</v>
      </c>
      <c r="N16" s="260">
        <v>522571</v>
      </c>
      <c r="O16" s="260">
        <v>522571</v>
      </c>
      <c r="P16" s="246">
        <f>SUM(D16:O16)</f>
        <v>6270852</v>
      </c>
      <c r="Q16" s="246">
        <v>1709294.3603865849</v>
      </c>
      <c r="R16" s="287">
        <f>+Q16/(P16-Q16)</f>
        <v>0.37471725568975711</v>
      </c>
      <c r="S16" s="234"/>
      <c r="T16" s="246"/>
      <c r="U16" s="261"/>
      <c r="V16" s="53"/>
      <c r="W16" s="53"/>
      <c r="X16" s="53"/>
      <c r="Y16" s="53"/>
      <c r="Z16" s="53"/>
      <c r="AA16" s="53"/>
      <c r="AB16" s="53"/>
      <c r="AC16" s="53"/>
      <c r="AD16" s="53"/>
      <c r="AE16" s="53"/>
      <c r="AF16" s="53"/>
      <c r="AG16" s="53"/>
    </row>
    <row r="17" spans="1:33" x14ac:dyDescent="0.25">
      <c r="A17" s="5">
        <f t="shared" si="0"/>
        <v>9</v>
      </c>
      <c r="D17" s="260"/>
      <c r="E17" s="260"/>
      <c r="F17" s="260"/>
      <c r="G17" s="260"/>
      <c r="H17" s="260"/>
      <c r="I17" s="260"/>
      <c r="J17" s="260"/>
      <c r="K17" s="260"/>
      <c r="L17" s="260"/>
      <c r="M17" s="260"/>
      <c r="N17" s="260"/>
      <c r="O17" s="260"/>
      <c r="P17" s="246"/>
      <c r="Q17" s="246"/>
      <c r="R17" s="246"/>
      <c r="S17" s="53"/>
      <c r="T17" s="246"/>
      <c r="U17" s="53"/>
      <c r="V17" s="53"/>
      <c r="W17" s="53"/>
      <c r="X17" s="53"/>
      <c r="Y17" s="53"/>
      <c r="Z17" s="53"/>
      <c r="AA17" s="53"/>
      <c r="AB17" s="53"/>
      <c r="AC17" s="53"/>
      <c r="AD17" s="53"/>
      <c r="AE17" s="53"/>
      <c r="AF17" s="53"/>
      <c r="AG17" s="53"/>
    </row>
    <row r="18" spans="1:33" x14ac:dyDescent="0.25">
      <c r="A18" s="5">
        <f t="shared" si="0"/>
        <v>10</v>
      </c>
      <c r="B18" s="2" t="s">
        <v>247</v>
      </c>
      <c r="D18" s="260">
        <v>235258</v>
      </c>
      <c r="E18" s="260">
        <v>235258</v>
      </c>
      <c r="F18" s="260">
        <v>235258</v>
      </c>
      <c r="G18" s="260">
        <v>235258</v>
      </c>
      <c r="H18" s="260">
        <v>235258</v>
      </c>
      <c r="I18" s="260">
        <v>198689</v>
      </c>
      <c r="J18" s="260">
        <v>198689</v>
      </c>
      <c r="K18" s="260">
        <v>198689</v>
      </c>
      <c r="L18" s="260">
        <v>198689</v>
      </c>
      <c r="M18" s="260">
        <v>198689</v>
      </c>
      <c r="N18" s="260">
        <v>198689</v>
      </c>
      <c r="O18" s="260">
        <v>235258</v>
      </c>
      <c r="P18" s="246">
        <f>SUM(D18:O18)</f>
        <v>2603682</v>
      </c>
      <c r="Q18" s="246">
        <v>2275219.639603965</v>
      </c>
      <c r="R18" s="287">
        <f>+Q18/(P18-Q18)</f>
        <v>6.9268808665342281</v>
      </c>
      <c r="S18" s="234"/>
      <c r="T18" s="246"/>
      <c r="U18" s="261"/>
      <c r="V18" s="53"/>
      <c r="W18" s="53"/>
      <c r="X18" s="53"/>
      <c r="Y18" s="53"/>
      <c r="Z18" s="53"/>
      <c r="AA18" s="53"/>
      <c r="AB18" s="53"/>
      <c r="AC18" s="53"/>
      <c r="AD18" s="53"/>
      <c r="AE18" s="53"/>
      <c r="AF18" s="53"/>
      <c r="AG18" s="53"/>
    </row>
    <row r="19" spans="1:33" x14ac:dyDescent="0.25">
      <c r="A19" s="5">
        <f t="shared" si="0"/>
        <v>11</v>
      </c>
      <c r="D19" s="238"/>
      <c r="E19" s="238"/>
      <c r="F19" s="238"/>
      <c r="G19" s="238"/>
      <c r="H19" s="238"/>
      <c r="I19" s="238"/>
      <c r="J19" s="238"/>
      <c r="K19" s="238"/>
      <c r="L19" s="238"/>
      <c r="M19" s="238"/>
      <c r="N19" s="238"/>
      <c r="O19" s="238"/>
      <c r="P19" s="232"/>
      <c r="Q19" s="232"/>
      <c r="R19" s="232"/>
      <c r="S19" s="234"/>
      <c r="T19" s="232"/>
      <c r="U19" s="234"/>
      <c r="V19" s="234"/>
      <c r="W19" s="234"/>
      <c r="X19" s="234"/>
      <c r="Y19" s="234"/>
      <c r="Z19" s="234"/>
      <c r="AA19" s="234"/>
      <c r="AB19" s="234"/>
      <c r="AC19" s="234"/>
      <c r="AD19" s="234"/>
      <c r="AE19" s="5"/>
      <c r="AF19" s="234"/>
      <c r="AG19" s="234"/>
    </row>
    <row r="20" spans="1:33" x14ac:dyDescent="0.25">
      <c r="A20" s="5">
        <f t="shared" si="0"/>
        <v>12</v>
      </c>
      <c r="B20" s="2" t="s">
        <v>248</v>
      </c>
      <c r="D20" s="260">
        <v>404282.51364000002</v>
      </c>
      <c r="E20" s="260">
        <v>417758.59742800001</v>
      </c>
      <c r="F20" s="260">
        <v>417758.59742800001</v>
      </c>
      <c r="G20" s="260">
        <v>377330.34606399998</v>
      </c>
      <c r="H20" s="260">
        <v>417758.59742800001</v>
      </c>
      <c r="I20" s="260">
        <v>340227.95423999999</v>
      </c>
      <c r="J20" s="260">
        <v>351568.88604800001</v>
      </c>
      <c r="K20" s="260">
        <v>340227.95423999999</v>
      </c>
      <c r="L20" s="260">
        <v>351568.88604800001</v>
      </c>
      <c r="M20" s="260">
        <v>351568.88604800001</v>
      </c>
      <c r="N20" s="260">
        <v>340227.95423999999</v>
      </c>
      <c r="O20" s="260">
        <v>417758.59742800001</v>
      </c>
      <c r="P20" s="246">
        <f>SUM(D20:O20)</f>
        <v>4528037.7702799989</v>
      </c>
      <c r="Q20" s="246">
        <v>639567</v>
      </c>
      <c r="R20" s="287">
        <f>+Q20/(P20-Q20)</f>
        <v>0.16447776974132852</v>
      </c>
      <c r="S20" s="234"/>
      <c r="T20" s="246"/>
      <c r="U20" s="261"/>
      <c r="V20" s="53"/>
      <c r="W20" s="53"/>
      <c r="X20" s="53"/>
      <c r="Y20" s="53"/>
      <c r="Z20" s="53"/>
      <c r="AA20" s="53"/>
      <c r="AB20" s="53"/>
      <c r="AC20" s="53"/>
      <c r="AD20" s="53"/>
      <c r="AE20" s="53"/>
      <c r="AF20" s="53"/>
      <c r="AG20" s="53"/>
    </row>
    <row r="21" spans="1:33" x14ac:dyDescent="0.25">
      <c r="A21" s="5">
        <f t="shared" si="0"/>
        <v>13</v>
      </c>
      <c r="D21" s="288"/>
      <c r="E21" s="288"/>
      <c r="F21" s="288"/>
      <c r="G21" s="288"/>
      <c r="H21" s="288"/>
      <c r="I21" s="288"/>
      <c r="J21" s="288"/>
      <c r="K21" s="288"/>
      <c r="L21" s="288"/>
      <c r="M21" s="288"/>
      <c r="N21" s="288"/>
      <c r="O21" s="288"/>
      <c r="P21" s="246"/>
      <c r="Q21" s="246"/>
      <c r="R21" s="246"/>
      <c r="S21" s="53"/>
      <c r="T21" s="246"/>
      <c r="U21" s="261"/>
      <c r="V21" s="53"/>
      <c r="W21" s="53"/>
      <c r="X21" s="53"/>
      <c r="Y21" s="53"/>
      <c r="Z21" s="53"/>
      <c r="AA21" s="53"/>
      <c r="AB21" s="53"/>
      <c r="AC21" s="53"/>
      <c r="AD21" s="53"/>
      <c r="AE21" s="53"/>
      <c r="AF21" s="53"/>
      <c r="AG21" s="53"/>
    </row>
    <row r="22" spans="1:33" x14ac:dyDescent="0.25">
      <c r="A22" s="5">
        <f t="shared" si="0"/>
        <v>14</v>
      </c>
      <c r="B22" s="2" t="s">
        <v>249</v>
      </c>
      <c r="D22" s="260"/>
      <c r="E22" s="260"/>
      <c r="F22" s="260"/>
      <c r="G22" s="260"/>
      <c r="H22" s="260"/>
      <c r="I22" s="260"/>
      <c r="J22" s="260"/>
      <c r="K22" s="260"/>
      <c r="L22" s="260"/>
      <c r="M22" s="260"/>
      <c r="N22" s="260"/>
      <c r="O22" s="260"/>
      <c r="P22" s="246">
        <f>SUM(D22:O22)</f>
        <v>0</v>
      </c>
      <c r="Q22" s="246">
        <v>854656</v>
      </c>
      <c r="R22" s="287">
        <f>+Q22/(P22-Q22)</f>
        <v>-1</v>
      </c>
      <c r="S22" s="234"/>
      <c r="T22" s="246"/>
      <c r="U22" s="261"/>
      <c r="V22" s="234"/>
      <c r="W22" s="234"/>
      <c r="X22" s="234"/>
      <c r="Y22" s="234"/>
      <c r="Z22" s="234"/>
      <c r="AA22" s="234"/>
      <c r="AB22" s="234"/>
      <c r="AC22" s="234"/>
      <c r="AD22" s="234"/>
      <c r="AE22" s="5"/>
      <c r="AF22" s="234"/>
      <c r="AG22" s="234"/>
    </row>
    <row r="23" spans="1:33" x14ac:dyDescent="0.25">
      <c r="A23" s="5">
        <f t="shared" si="0"/>
        <v>15</v>
      </c>
      <c r="D23" s="260"/>
      <c r="E23" s="260"/>
      <c r="F23" s="260"/>
      <c r="G23" s="260"/>
      <c r="H23" s="260"/>
      <c r="I23" s="260"/>
      <c r="J23" s="260"/>
      <c r="K23" s="260"/>
      <c r="L23" s="260"/>
      <c r="M23" s="260"/>
      <c r="N23" s="260"/>
      <c r="O23" s="260"/>
      <c r="P23" s="246"/>
      <c r="Q23" s="246"/>
      <c r="R23" s="287"/>
      <c r="S23" s="234"/>
      <c r="T23" s="246"/>
      <c r="U23" s="234"/>
      <c r="V23" s="234"/>
      <c r="W23" s="234"/>
      <c r="X23" s="234"/>
      <c r="Y23" s="234"/>
      <c r="Z23" s="234"/>
      <c r="AA23" s="234"/>
      <c r="AB23" s="234"/>
      <c r="AC23" s="234"/>
      <c r="AD23" s="234"/>
      <c r="AE23" s="5"/>
      <c r="AF23" s="234"/>
      <c r="AG23" s="234"/>
    </row>
    <row r="24" spans="1:33" x14ac:dyDescent="0.25">
      <c r="A24" s="5">
        <f t="shared" si="0"/>
        <v>16</v>
      </c>
      <c r="B24" s="2" t="s">
        <v>250</v>
      </c>
      <c r="D24" s="260">
        <v>1699368</v>
      </c>
      <c r="E24" s="260">
        <v>1720356</v>
      </c>
      <c r="F24" s="260">
        <v>1720356</v>
      </c>
      <c r="G24" s="260">
        <v>1657393</v>
      </c>
      <c r="H24" s="260">
        <v>1720356</v>
      </c>
      <c r="I24" s="260">
        <v>1699368</v>
      </c>
      <c r="J24" s="260">
        <v>1720356</v>
      </c>
      <c r="K24" s="260">
        <v>1699368</v>
      </c>
      <c r="L24" s="260">
        <v>1720356</v>
      </c>
      <c r="M24" s="260">
        <v>1720356</v>
      </c>
      <c r="N24" s="260">
        <v>1699368</v>
      </c>
      <c r="O24" s="260">
        <v>1720356</v>
      </c>
      <c r="P24" s="246">
        <f>SUM(D24:O24)</f>
        <v>20497357</v>
      </c>
      <c r="Q24" s="246"/>
      <c r="R24" s="287"/>
      <c r="S24" s="234"/>
      <c r="T24" s="246"/>
      <c r="U24" s="261"/>
      <c r="V24" s="234"/>
      <c r="W24" s="234"/>
      <c r="X24" s="234"/>
      <c r="Y24" s="234"/>
      <c r="Z24" s="234"/>
      <c r="AA24" s="234"/>
      <c r="AB24" s="234"/>
      <c r="AC24" s="234"/>
      <c r="AD24" s="234"/>
      <c r="AE24" s="5"/>
      <c r="AF24" s="234"/>
      <c r="AG24" s="234"/>
    </row>
    <row r="25" spans="1:33" x14ac:dyDescent="0.25">
      <c r="A25" s="5">
        <f t="shared" si="0"/>
        <v>17</v>
      </c>
      <c r="B25" s="225"/>
      <c r="C25" s="225"/>
      <c r="D25" s="260"/>
      <c r="E25" s="260"/>
      <c r="F25" s="260"/>
      <c r="G25" s="260"/>
      <c r="H25" s="260"/>
      <c r="I25" s="260"/>
      <c r="J25" s="260"/>
      <c r="K25" s="260"/>
      <c r="L25" s="260"/>
      <c r="M25" s="260"/>
      <c r="N25" s="260"/>
      <c r="O25" s="260"/>
      <c r="P25" s="246"/>
      <c r="Q25" s="246"/>
      <c r="R25" s="246"/>
      <c r="S25" s="234"/>
      <c r="T25" s="246"/>
      <c r="U25" s="234"/>
      <c r="V25" s="234"/>
      <c r="W25" s="234"/>
      <c r="X25" s="234"/>
      <c r="Y25" s="234"/>
      <c r="Z25" s="234"/>
      <c r="AA25" s="234"/>
      <c r="AB25" s="234"/>
      <c r="AC25" s="234"/>
      <c r="AD25" s="234"/>
      <c r="AE25" s="5"/>
      <c r="AF25" s="234"/>
      <c r="AG25" s="234"/>
    </row>
    <row r="26" spans="1:33" x14ac:dyDescent="0.25">
      <c r="A26" s="5">
        <f>+A25+1</f>
        <v>18</v>
      </c>
      <c r="B26" s="225" t="s">
        <v>251</v>
      </c>
      <c r="C26" s="225"/>
      <c r="D26" s="260">
        <v>18688.190000000002</v>
      </c>
      <c r="E26" s="260">
        <v>18688.190000000002</v>
      </c>
      <c r="F26" s="260">
        <v>18688.190000000002</v>
      </c>
      <c r="G26" s="260">
        <v>18688.190000000002</v>
      </c>
      <c r="H26" s="260">
        <v>18688.190000000002</v>
      </c>
      <c r="I26" s="260">
        <v>18688.190000000002</v>
      </c>
      <c r="J26" s="260">
        <v>18688.190000000002</v>
      </c>
      <c r="K26" s="260">
        <v>18688.190000000002</v>
      </c>
      <c r="L26" s="260">
        <v>18688.190000000002</v>
      </c>
      <c r="M26" s="260">
        <v>18688.190000000002</v>
      </c>
      <c r="N26" s="260">
        <v>18688.190000000002</v>
      </c>
      <c r="O26" s="260">
        <v>18688.190000000002</v>
      </c>
      <c r="P26" s="246">
        <f>SUM(D26:O26)</f>
        <v>224258.28000000003</v>
      </c>
      <c r="Q26" s="246">
        <v>0</v>
      </c>
      <c r="R26" s="287">
        <f>+Q26/(P26-Q26)</f>
        <v>0</v>
      </c>
      <c r="S26" s="234"/>
      <c r="T26" s="246"/>
      <c r="U26" s="261"/>
      <c r="V26" s="234"/>
      <c r="W26" s="234"/>
      <c r="X26" s="234"/>
      <c r="Y26" s="234"/>
      <c r="Z26" s="234"/>
      <c r="AA26" s="234"/>
      <c r="AB26" s="234"/>
      <c r="AC26" s="234"/>
      <c r="AD26" s="234"/>
      <c r="AE26" s="5"/>
      <c r="AF26" s="234"/>
      <c r="AG26" s="234"/>
    </row>
    <row r="27" spans="1:33" x14ac:dyDescent="0.25">
      <c r="A27" s="5">
        <f t="shared" ref="A27:A33" si="1">+A26+1</f>
        <v>19</v>
      </c>
      <c r="B27" s="225"/>
      <c r="C27" s="225"/>
      <c r="D27" s="260"/>
      <c r="E27" s="260"/>
      <c r="F27" s="260"/>
      <c r="G27" s="260"/>
      <c r="H27" s="260"/>
      <c r="I27" s="260"/>
      <c r="J27" s="260"/>
      <c r="K27" s="260"/>
      <c r="L27" s="260"/>
      <c r="M27" s="260"/>
      <c r="N27" s="260"/>
      <c r="O27" s="260"/>
      <c r="P27" s="246"/>
      <c r="Q27" s="246"/>
      <c r="R27" s="287"/>
      <c r="S27" s="234"/>
      <c r="T27" s="246"/>
      <c r="U27" s="261"/>
      <c r="V27" s="234"/>
      <c r="W27" s="234"/>
      <c r="X27" s="234"/>
      <c r="Y27" s="234"/>
      <c r="Z27" s="234"/>
      <c r="AA27" s="234"/>
      <c r="AB27" s="234"/>
      <c r="AC27" s="234"/>
      <c r="AD27" s="234"/>
      <c r="AE27" s="5"/>
      <c r="AF27" s="234"/>
      <c r="AG27" s="234"/>
    </row>
    <row r="28" spans="1:33" x14ac:dyDescent="0.25">
      <c r="A28" s="5">
        <f t="shared" si="1"/>
        <v>20</v>
      </c>
      <c r="B28" s="225" t="s">
        <v>252</v>
      </c>
      <c r="C28" s="225"/>
      <c r="D28" s="260">
        <v>-218253.84570000001</v>
      </c>
      <c r="E28" s="260">
        <v>-225528.97388999999</v>
      </c>
      <c r="F28" s="260">
        <v>-225528.97388999999</v>
      </c>
      <c r="G28" s="260">
        <v>-203703.58932</v>
      </c>
      <c r="H28" s="260">
        <v>-225528.97388999999</v>
      </c>
      <c r="I28" s="260">
        <v>-218253.84570000001</v>
      </c>
      <c r="J28" s="260">
        <v>-225528.97388999999</v>
      </c>
      <c r="K28" s="260">
        <v>-218253.84570000001</v>
      </c>
      <c r="L28" s="260">
        <v>-225528.97388999999</v>
      </c>
      <c r="M28" s="260">
        <v>-225528.97388999999</v>
      </c>
      <c r="N28" s="260">
        <v>-218253.84570000001</v>
      </c>
      <c r="O28" s="260">
        <v>-225528.97388999999</v>
      </c>
      <c r="P28" s="246">
        <f>SUM(D28:O28)</f>
        <v>-2655421.7893499997</v>
      </c>
      <c r="Q28" s="246"/>
      <c r="R28" s="287"/>
      <c r="S28" s="234"/>
      <c r="T28" s="246"/>
      <c r="U28" s="261"/>
      <c r="V28" s="234"/>
      <c r="W28" s="234"/>
      <c r="X28" s="234"/>
      <c r="Y28" s="234"/>
      <c r="Z28" s="234"/>
      <c r="AA28" s="234"/>
      <c r="AB28" s="234"/>
      <c r="AC28" s="234"/>
      <c r="AD28" s="234"/>
      <c r="AE28" s="5"/>
      <c r="AF28" s="234"/>
      <c r="AG28" s="234"/>
    </row>
    <row r="29" spans="1:33" x14ac:dyDescent="0.25">
      <c r="A29" s="5">
        <f t="shared" si="1"/>
        <v>21</v>
      </c>
      <c r="D29" s="289"/>
      <c r="E29" s="87"/>
      <c r="F29" s="87"/>
      <c r="G29" s="87"/>
      <c r="H29" s="87"/>
      <c r="I29" s="87"/>
      <c r="J29" s="87"/>
      <c r="K29" s="87"/>
      <c r="L29" s="87"/>
      <c r="M29" s="87"/>
      <c r="N29" s="87"/>
      <c r="O29" s="87"/>
      <c r="P29" s="246"/>
      <c r="Q29" s="246"/>
      <c r="R29" s="246"/>
      <c r="S29" s="53"/>
      <c r="T29" s="53"/>
      <c r="U29" s="53"/>
      <c r="V29" s="53"/>
      <c r="W29" s="53"/>
      <c r="X29" s="53"/>
      <c r="Y29" s="53"/>
      <c r="Z29" s="53"/>
      <c r="AA29" s="53"/>
      <c r="AB29" s="53"/>
      <c r="AC29" s="53"/>
      <c r="AD29" s="53"/>
      <c r="AE29" s="53"/>
      <c r="AF29" s="53"/>
      <c r="AG29" s="53"/>
    </row>
    <row r="30" spans="1:33" ht="15.75" thickBot="1" x14ac:dyDescent="0.3">
      <c r="A30" s="5">
        <f t="shared" si="1"/>
        <v>22</v>
      </c>
      <c r="B30" s="225" t="s">
        <v>253</v>
      </c>
      <c r="C30" s="225"/>
      <c r="D30" s="241">
        <f t="shared" ref="D30:O30" si="2">SUM(D13:D29)</f>
        <v>6890358.3764399998</v>
      </c>
      <c r="E30" s="241">
        <f t="shared" si="2"/>
        <v>7058495.9159879992</v>
      </c>
      <c r="F30" s="241">
        <f t="shared" si="2"/>
        <v>-9121449.2239619996</v>
      </c>
      <c r="G30" s="241">
        <f t="shared" si="2"/>
        <v>6391554.3967440007</v>
      </c>
      <c r="H30" s="241">
        <f t="shared" si="2"/>
        <v>6878550.7760380004</v>
      </c>
      <c r="I30" s="241">
        <f t="shared" si="2"/>
        <v>6524909.2985399999</v>
      </c>
      <c r="J30" s="241">
        <f t="shared" si="2"/>
        <v>6682084.1021580007</v>
      </c>
      <c r="K30" s="241">
        <f t="shared" si="2"/>
        <v>6524909.2985399999</v>
      </c>
      <c r="L30" s="241">
        <f t="shared" si="2"/>
        <v>6682084.1021580007</v>
      </c>
      <c r="M30" s="241">
        <f t="shared" si="2"/>
        <v>6682084.1021580007</v>
      </c>
      <c r="N30" s="241">
        <f t="shared" si="2"/>
        <v>6524909.2985399999</v>
      </c>
      <c r="O30" s="241">
        <f t="shared" si="2"/>
        <v>6784842.813538</v>
      </c>
      <c r="P30" s="241">
        <f>SUM(D30:O30)</f>
        <v>64503333.25688</v>
      </c>
      <c r="Q30" s="241">
        <f>SUM(Q14:Q29)</f>
        <v>5655715.9999905499</v>
      </c>
      <c r="R30" s="287">
        <f>+Q30/(P30-Q30)</f>
        <v>9.6107816486459705E-2</v>
      </c>
      <c r="S30" s="234"/>
      <c r="T30" s="234"/>
      <c r="U30" s="261"/>
      <c r="V30" s="234"/>
      <c r="W30" s="234"/>
      <c r="X30" s="234"/>
      <c r="Y30" s="234"/>
      <c r="Z30" s="234"/>
      <c r="AA30" s="234"/>
      <c r="AB30" s="234"/>
      <c r="AC30" s="234"/>
      <c r="AD30" s="234"/>
      <c r="AE30" s="5"/>
      <c r="AF30" s="234"/>
      <c r="AG30" s="234"/>
    </row>
    <row r="31" spans="1:33" ht="15.75" thickTop="1" x14ac:dyDescent="0.25">
      <c r="A31" s="5">
        <f t="shared" si="1"/>
        <v>23</v>
      </c>
      <c r="B31" s="225"/>
      <c r="C31" s="225"/>
      <c r="D31" s="290"/>
      <c r="E31" s="290"/>
      <c r="F31" s="290"/>
      <c r="G31" s="290"/>
      <c r="H31" s="290"/>
      <c r="I31" s="290"/>
      <c r="J31" s="290"/>
      <c r="K31" s="290"/>
      <c r="L31" s="290"/>
      <c r="M31" s="290"/>
      <c r="N31" s="290"/>
      <c r="O31" s="290"/>
      <c r="P31" s="246"/>
      <c r="Q31" s="234"/>
      <c r="R31" s="234"/>
      <c r="S31" s="234"/>
      <c r="T31" s="234"/>
      <c r="U31" s="234"/>
      <c r="V31" s="234"/>
      <c r="W31" s="234"/>
      <c r="X31" s="234"/>
      <c r="Y31" s="234"/>
      <c r="Z31" s="234"/>
      <c r="AA31" s="234"/>
      <c r="AB31" s="234"/>
      <c r="AC31" s="234"/>
      <c r="AD31" s="234"/>
      <c r="AE31" s="5"/>
      <c r="AF31" s="234"/>
      <c r="AG31" s="234"/>
    </row>
    <row r="32" spans="1:33" x14ac:dyDescent="0.25">
      <c r="A32" s="5">
        <f t="shared" si="1"/>
        <v>24</v>
      </c>
      <c r="B32" s="1"/>
      <c r="D32" s="291"/>
      <c r="E32" s="291"/>
      <c r="F32" s="291"/>
      <c r="G32" s="291"/>
      <c r="H32" s="291"/>
      <c r="I32" s="291"/>
      <c r="J32" s="291"/>
      <c r="K32" s="291"/>
      <c r="L32" s="291"/>
      <c r="M32" s="291"/>
      <c r="N32" s="291"/>
      <c r="O32" s="291"/>
      <c r="P32" s="268"/>
      <c r="Q32" s="53"/>
      <c r="R32" s="53"/>
      <c r="S32" s="53"/>
      <c r="T32" s="53"/>
      <c r="U32" s="53"/>
      <c r="V32" s="53"/>
      <c r="W32" s="53"/>
      <c r="X32" s="53"/>
      <c r="Y32" s="53"/>
      <c r="Z32" s="53"/>
      <c r="AA32" s="53"/>
      <c r="AB32" s="53"/>
      <c r="AC32" s="53"/>
      <c r="AD32" s="53"/>
      <c r="AE32" s="53"/>
      <c r="AF32" s="53"/>
      <c r="AG32" s="53"/>
    </row>
    <row r="33" spans="1:33" x14ac:dyDescent="0.25">
      <c r="A33" s="5">
        <f t="shared" si="1"/>
        <v>25</v>
      </c>
      <c r="B33" s="282"/>
      <c r="C33" s="270"/>
      <c r="D33" s="289"/>
      <c r="E33" s="292"/>
      <c r="F33" s="292"/>
      <c r="G33" s="292"/>
      <c r="H33" s="292"/>
      <c r="I33" s="292"/>
      <c r="J33" s="292"/>
      <c r="K33" s="292"/>
      <c r="L33" s="292"/>
      <c r="M33" s="292"/>
      <c r="N33" s="292"/>
      <c r="O33" s="292"/>
      <c r="P33" s="246"/>
      <c r="Q33" s="252"/>
      <c r="R33" s="252"/>
      <c r="S33" s="252"/>
      <c r="T33" s="252"/>
      <c r="U33" s="252"/>
      <c r="V33" s="252"/>
      <c r="W33" s="252"/>
      <c r="X33" s="252"/>
      <c r="Y33" s="252"/>
      <c r="Z33" s="252"/>
      <c r="AA33" s="252"/>
      <c r="AB33" s="252"/>
      <c r="AC33" s="252"/>
      <c r="AD33" s="53"/>
      <c r="AE33" s="252"/>
      <c r="AF33" s="53"/>
      <c r="AG33" s="53"/>
    </row>
    <row r="34" spans="1:33" x14ac:dyDescent="0.25">
      <c r="A34" s="5"/>
      <c r="C34" s="280"/>
      <c r="D34" s="293"/>
      <c r="E34" s="293"/>
      <c r="F34" s="293"/>
      <c r="G34" s="293"/>
      <c r="H34" s="293"/>
      <c r="I34" s="293"/>
      <c r="J34" s="293"/>
      <c r="K34" s="293"/>
      <c r="L34" s="293"/>
      <c r="M34" s="293"/>
      <c r="N34" s="293"/>
      <c r="O34" s="293"/>
      <c r="P34" s="293"/>
      <c r="Q34" s="53"/>
      <c r="R34" s="53"/>
      <c r="S34" s="53"/>
      <c r="T34" s="53"/>
      <c r="U34" s="53"/>
      <c r="V34" s="53"/>
      <c r="W34" s="53"/>
      <c r="X34" s="53"/>
      <c r="Y34" s="53"/>
      <c r="Z34" s="53"/>
      <c r="AA34" s="53"/>
      <c r="AB34" s="53"/>
      <c r="AC34" s="53"/>
      <c r="AD34" s="53"/>
      <c r="AF34" s="53"/>
      <c r="AG34" s="53"/>
    </row>
    <row r="35" spans="1:33" x14ac:dyDescent="0.25">
      <c r="A35" s="5"/>
      <c r="D35" s="243"/>
      <c r="E35" s="219"/>
      <c r="F35" s="219"/>
      <c r="G35" s="219"/>
      <c r="H35" s="219"/>
      <c r="I35" s="219"/>
      <c r="J35" s="219"/>
      <c r="K35" s="219"/>
      <c r="L35" s="219"/>
      <c r="M35" s="219"/>
      <c r="N35" s="219"/>
      <c r="O35" s="219"/>
      <c r="P35" s="219"/>
      <c r="Q35" s="219"/>
      <c r="R35" s="219"/>
      <c r="S35" s="219"/>
      <c r="T35" s="53"/>
      <c r="U35" s="53"/>
      <c r="V35" s="53"/>
      <c r="W35" s="53"/>
      <c r="X35" s="53"/>
      <c r="Y35" s="219"/>
      <c r="Z35" s="219"/>
      <c r="AA35" s="219"/>
      <c r="AB35" s="219"/>
      <c r="AC35" s="219"/>
      <c r="AD35" s="219"/>
      <c r="AE35" s="219"/>
      <c r="AF35" s="219"/>
      <c r="AG35" s="219"/>
    </row>
    <row r="36" spans="1:33" x14ac:dyDescent="0.25">
      <c r="A36" s="5"/>
      <c r="D36" s="243"/>
      <c r="E36" s="219"/>
      <c r="F36" s="219"/>
      <c r="G36" s="219"/>
      <c r="H36" s="219"/>
      <c r="I36" s="219"/>
      <c r="J36" s="219"/>
      <c r="K36" s="219"/>
      <c r="L36" s="219"/>
      <c r="M36" s="219"/>
      <c r="N36" s="219"/>
      <c r="O36" s="219"/>
      <c r="P36" s="219"/>
      <c r="Q36" s="219"/>
      <c r="R36" s="219"/>
      <c r="S36" s="219"/>
      <c r="T36" s="53"/>
      <c r="U36" s="53"/>
      <c r="V36" s="294"/>
      <c r="W36" s="53"/>
      <c r="X36" s="53"/>
      <c r="Y36" s="219"/>
      <c r="Z36" s="219"/>
      <c r="AA36" s="219"/>
      <c r="AB36" s="219"/>
      <c r="AC36" s="219"/>
      <c r="AD36" s="219"/>
      <c r="AE36" s="219"/>
      <c r="AF36" s="219"/>
      <c r="AG36" s="219"/>
    </row>
    <row r="37" spans="1:33" x14ac:dyDescent="0.25">
      <c r="A37" s="5"/>
      <c r="D37" s="243"/>
      <c r="E37" s="219"/>
      <c r="F37" s="219"/>
      <c r="G37" s="219"/>
      <c r="H37" s="219"/>
      <c r="I37" s="219"/>
      <c r="J37" s="219"/>
      <c r="K37" s="219"/>
      <c r="L37" s="219"/>
      <c r="M37" s="219"/>
      <c r="N37" s="219"/>
      <c r="O37" s="219"/>
      <c r="P37" s="219"/>
      <c r="Q37" s="219"/>
      <c r="R37" s="219"/>
      <c r="S37" s="219"/>
      <c r="T37" s="295"/>
      <c r="U37" s="295"/>
      <c r="V37" s="294"/>
      <c r="W37" s="53"/>
      <c r="X37" s="53"/>
      <c r="Y37" s="219"/>
      <c r="Z37" s="219"/>
      <c r="AA37" s="219"/>
      <c r="AB37" s="219"/>
      <c r="AC37" s="219"/>
      <c r="AD37" s="219"/>
      <c r="AE37" s="219"/>
      <c r="AF37" s="219"/>
      <c r="AG37" s="219"/>
    </row>
    <row r="38" spans="1:33" x14ac:dyDescent="0.25">
      <c r="A38" s="5"/>
      <c r="D38" s="243"/>
      <c r="E38" s="219"/>
      <c r="F38" s="219"/>
      <c r="G38" s="219"/>
      <c r="H38" s="219"/>
      <c r="I38" s="219"/>
      <c r="J38" s="219"/>
      <c r="K38" s="219"/>
      <c r="L38" s="219"/>
      <c r="M38" s="219"/>
      <c r="N38" s="219"/>
      <c r="O38" s="219"/>
      <c r="P38" s="219"/>
      <c r="Q38" s="219"/>
      <c r="R38" s="219"/>
      <c r="S38" s="219"/>
      <c r="T38" s="53"/>
      <c r="U38" s="53"/>
      <c r="V38" s="294"/>
      <c r="W38" s="53"/>
      <c r="X38" s="294"/>
      <c r="Y38" s="219"/>
      <c r="Z38" s="219"/>
      <c r="AA38" s="219"/>
      <c r="AB38" s="219"/>
      <c r="AC38" s="219"/>
      <c r="AD38" s="219"/>
      <c r="AE38" s="219"/>
      <c r="AF38" s="219"/>
      <c r="AG38" s="219"/>
    </row>
    <row r="39" spans="1:33" x14ac:dyDescent="0.25">
      <c r="A39" s="5"/>
      <c r="B39" s="251"/>
      <c r="C39" s="243"/>
      <c r="D39" s="243"/>
      <c r="E39" s="219"/>
      <c r="F39" s="219"/>
      <c r="G39" s="219"/>
      <c r="H39" s="219"/>
      <c r="I39" s="219"/>
      <c r="J39" s="219"/>
      <c r="K39" s="219"/>
      <c r="L39" s="219"/>
      <c r="M39" s="219"/>
      <c r="N39" s="219"/>
      <c r="O39" s="219"/>
      <c r="P39" s="219"/>
      <c r="Q39" s="219"/>
      <c r="R39" s="219"/>
      <c r="S39" s="219"/>
      <c r="T39" s="53"/>
      <c r="U39" s="295"/>
      <c r="V39" s="53"/>
      <c r="W39" s="53"/>
      <c r="X39" s="53"/>
      <c r="Y39" s="219"/>
      <c r="Z39" s="219"/>
      <c r="AA39" s="219"/>
      <c r="AB39" s="219"/>
      <c r="AC39" s="219"/>
      <c r="AD39" s="219"/>
      <c r="AE39" s="219"/>
      <c r="AF39" s="219"/>
      <c r="AG39" s="219"/>
    </row>
    <row r="40" spans="1:33" x14ac:dyDescent="0.25">
      <c r="A40" s="5"/>
      <c r="B40" s="251"/>
      <c r="C40" s="243"/>
      <c r="D40" s="24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F40" s="53"/>
      <c r="AG40" s="53"/>
    </row>
    <row r="41" spans="1:33" x14ac:dyDescent="0.25">
      <c r="A41" s="5"/>
      <c r="B41" s="251"/>
      <c r="C41" s="243"/>
      <c r="D41" s="24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F41" s="53"/>
      <c r="AG41" s="53"/>
    </row>
    <row r="42" spans="1:33" x14ac:dyDescent="0.25">
      <c r="A42" s="5"/>
      <c r="B42" s="1"/>
      <c r="D42" s="243"/>
      <c r="E42" s="87"/>
      <c r="F42" s="87"/>
      <c r="G42" s="87"/>
      <c r="H42" s="87"/>
      <c r="I42" s="87"/>
      <c r="J42" s="53"/>
      <c r="K42" s="53"/>
      <c r="L42" s="53"/>
      <c r="M42" s="53"/>
      <c r="N42" s="53"/>
      <c r="O42" s="53"/>
      <c r="P42" s="53"/>
      <c r="Q42" s="53"/>
      <c r="R42" s="53"/>
      <c r="S42" s="53"/>
      <c r="T42" s="53"/>
      <c r="U42" s="53"/>
      <c r="V42" s="53"/>
      <c r="W42" s="53"/>
      <c r="X42" s="53"/>
      <c r="Y42" s="53"/>
      <c r="Z42" s="53"/>
      <c r="AA42" s="53"/>
      <c r="AB42" s="53"/>
      <c r="AC42" s="53"/>
      <c r="AD42" s="53"/>
      <c r="AF42" s="53"/>
      <c r="AG42" s="53"/>
    </row>
    <row r="43" spans="1:33" x14ac:dyDescent="0.25">
      <c r="A43" s="5"/>
      <c r="B43" s="251"/>
      <c r="C43" s="243"/>
      <c r="D43" s="243"/>
      <c r="E43" s="87"/>
      <c r="F43" s="87"/>
      <c r="G43" s="87"/>
      <c r="H43" s="87"/>
      <c r="I43" s="87"/>
      <c r="J43" s="53"/>
      <c r="K43" s="53"/>
      <c r="L43" s="53"/>
      <c r="M43" s="53"/>
      <c r="N43" s="53"/>
      <c r="O43" s="53"/>
      <c r="P43" s="53"/>
      <c r="Q43" s="53"/>
      <c r="R43" s="53"/>
      <c r="S43" s="53"/>
      <c r="T43" s="53"/>
      <c r="U43" s="53"/>
      <c r="V43" s="53"/>
      <c r="W43" s="53"/>
      <c r="X43" s="53"/>
      <c r="Y43" s="53"/>
      <c r="Z43" s="53"/>
      <c r="AA43" s="53"/>
      <c r="AB43" s="53"/>
      <c r="AC43" s="53"/>
      <c r="AD43" s="53"/>
      <c r="AF43" s="53"/>
      <c r="AG43" s="53"/>
    </row>
    <row r="44" spans="1:33" x14ac:dyDescent="0.25">
      <c r="A44" s="5"/>
      <c r="D44" s="243"/>
      <c r="E44" s="281"/>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81"/>
      <c r="AF44" s="219"/>
      <c r="AG44" s="219"/>
    </row>
    <row r="45" spans="1:33" x14ac:dyDescent="0.25">
      <c r="A45" s="5"/>
      <c r="D45" s="243"/>
      <c r="E45" s="281"/>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81"/>
      <c r="AF45" s="219"/>
      <c r="AG45" s="219"/>
    </row>
    <row r="46" spans="1:33" x14ac:dyDescent="0.25">
      <c r="A46" s="5"/>
      <c r="D46" s="243"/>
      <c r="E46" s="281"/>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81"/>
      <c r="AF46" s="219"/>
      <c r="AG46" s="219"/>
    </row>
    <row r="47" spans="1:33" x14ac:dyDescent="0.25">
      <c r="A47" s="5"/>
      <c r="D47" s="243"/>
      <c r="E47" s="281"/>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81"/>
      <c r="AF47" s="219"/>
      <c r="AG47" s="219"/>
    </row>
    <row r="48" spans="1:33" x14ac:dyDescent="0.25">
      <c r="A48" s="5"/>
      <c r="D48" s="243"/>
      <c r="E48" s="281"/>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81"/>
      <c r="AF48" s="219"/>
      <c r="AG48" s="219"/>
    </row>
    <row r="49" spans="1:33" x14ac:dyDescent="0.25">
      <c r="A49" s="5"/>
      <c r="D49" s="243"/>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19"/>
      <c r="AE49" s="281"/>
      <c r="AF49" s="219"/>
      <c r="AG49" s="219"/>
    </row>
    <row r="50" spans="1:33" x14ac:dyDescent="0.25">
      <c r="A50" s="5"/>
      <c r="D50" s="243"/>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19"/>
      <c r="AE50" s="281"/>
      <c r="AF50" s="219"/>
      <c r="AG50" s="219"/>
    </row>
    <row r="51" spans="1:33" x14ac:dyDescent="0.25">
      <c r="A51" s="5"/>
      <c r="D51" s="243"/>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19"/>
      <c r="AE51" s="281"/>
      <c r="AF51" s="219"/>
      <c r="AG51" s="219"/>
    </row>
    <row r="52" spans="1:33" x14ac:dyDescent="0.25">
      <c r="A52" s="5"/>
      <c r="D52" s="243"/>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19"/>
      <c r="AE52" s="281"/>
      <c r="AF52" s="219"/>
      <c r="AG52" s="219"/>
    </row>
    <row r="53" spans="1:33" x14ac:dyDescent="0.25">
      <c r="A53" s="5"/>
      <c r="D53" s="243"/>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19"/>
      <c r="AE53" s="281"/>
      <c r="AF53" s="219"/>
      <c r="AG53" s="219"/>
    </row>
    <row r="54" spans="1:33" x14ac:dyDescent="0.25">
      <c r="A54" s="5"/>
      <c r="D54" s="243"/>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19"/>
      <c r="AE54" s="281"/>
      <c r="AF54" s="219"/>
      <c r="AG54" s="219"/>
    </row>
    <row r="55" spans="1:33" x14ac:dyDescent="0.25">
      <c r="A55" s="5"/>
      <c r="D55" s="243"/>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19"/>
      <c r="AE55" s="281"/>
      <c r="AF55" s="219"/>
      <c r="AG55" s="219"/>
    </row>
    <row r="56" spans="1:33" x14ac:dyDescent="0.25">
      <c r="A56" s="5"/>
      <c r="B56" s="251"/>
      <c r="C56" s="243"/>
      <c r="D56" s="243"/>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row>
    <row r="57" spans="1:33" x14ac:dyDescent="0.25">
      <c r="A57" s="5"/>
      <c r="B57" s="251"/>
      <c r="C57" s="243"/>
      <c r="D57" s="24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F57" s="53"/>
      <c r="AG57" s="53"/>
    </row>
    <row r="58" spans="1:33" x14ac:dyDescent="0.25">
      <c r="A58" s="5"/>
      <c r="B58" s="251"/>
      <c r="C58" s="243"/>
      <c r="D58" s="24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F58" s="53"/>
      <c r="AG58" s="53"/>
    </row>
    <row r="59" spans="1:33" x14ac:dyDescent="0.25">
      <c r="A59" s="5"/>
      <c r="B59" s="1"/>
      <c r="D59" s="243"/>
      <c r="E59" s="87"/>
      <c r="F59" s="87"/>
      <c r="G59" s="87"/>
      <c r="H59" s="87"/>
      <c r="I59" s="87"/>
      <c r="J59" s="53"/>
      <c r="K59" s="53"/>
      <c r="L59" s="53"/>
      <c r="M59" s="53"/>
      <c r="N59" s="53"/>
      <c r="O59" s="53"/>
      <c r="P59" s="53"/>
      <c r="Q59" s="53"/>
      <c r="R59" s="53"/>
      <c r="S59" s="53"/>
      <c r="T59" s="53"/>
      <c r="U59" s="53"/>
      <c r="V59" s="53"/>
      <c r="W59" s="53"/>
      <c r="X59" s="53"/>
      <c r="Y59" s="53"/>
      <c r="Z59" s="53"/>
      <c r="AA59" s="53"/>
      <c r="AB59" s="53"/>
      <c r="AC59" s="53"/>
      <c r="AD59" s="53"/>
      <c r="AF59" s="53"/>
      <c r="AG59" s="53"/>
    </row>
    <row r="60" spans="1:33" x14ac:dyDescent="0.25">
      <c r="A60" s="5"/>
      <c r="B60" s="251"/>
      <c r="C60" s="243"/>
      <c r="D60" s="243"/>
      <c r="E60" s="87"/>
      <c r="F60" s="87"/>
      <c r="G60" s="87"/>
      <c r="H60" s="87"/>
      <c r="I60" s="87"/>
      <c r="J60" s="53"/>
      <c r="K60" s="53"/>
      <c r="L60" s="53"/>
      <c r="M60" s="53"/>
      <c r="N60" s="53"/>
      <c r="O60" s="53"/>
      <c r="P60" s="53"/>
      <c r="Q60" s="53"/>
      <c r="R60" s="53"/>
      <c r="S60" s="53"/>
      <c r="T60" s="53"/>
      <c r="U60" s="53"/>
      <c r="V60" s="53"/>
      <c r="W60" s="53"/>
      <c r="X60" s="53"/>
      <c r="Y60" s="53"/>
      <c r="Z60" s="53"/>
      <c r="AA60" s="53"/>
      <c r="AB60" s="53"/>
      <c r="AC60" s="53"/>
      <c r="AD60" s="53"/>
      <c r="AF60" s="53"/>
      <c r="AG60" s="53"/>
    </row>
    <row r="61" spans="1:33" x14ac:dyDescent="0.25">
      <c r="A61" s="5"/>
      <c r="D61" s="243"/>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19"/>
      <c r="AE61" s="281"/>
      <c r="AF61" s="219"/>
      <c r="AG61" s="219"/>
    </row>
    <row r="62" spans="1:33" x14ac:dyDescent="0.25">
      <c r="A62" s="5"/>
      <c r="D62" s="243"/>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19"/>
      <c r="AE62" s="281"/>
      <c r="AF62" s="219"/>
      <c r="AG62" s="219"/>
    </row>
    <row r="63" spans="1:33" x14ac:dyDescent="0.25">
      <c r="A63" s="5"/>
      <c r="D63" s="243"/>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19"/>
      <c r="AE63" s="281"/>
      <c r="AF63" s="219"/>
      <c r="AG63" s="219"/>
    </row>
    <row r="64" spans="1:33" x14ac:dyDescent="0.25">
      <c r="A64" s="5"/>
      <c r="D64" s="243"/>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19"/>
      <c r="AE64" s="281"/>
      <c r="AF64" s="219"/>
      <c r="AG64" s="219"/>
    </row>
    <row r="65" spans="1:33" x14ac:dyDescent="0.25">
      <c r="A65" s="5"/>
      <c r="D65" s="243"/>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19"/>
      <c r="AE65" s="281"/>
      <c r="AF65" s="219"/>
      <c r="AG65" s="219"/>
    </row>
    <row r="66" spans="1:33" x14ac:dyDescent="0.25">
      <c r="A66" s="5"/>
      <c r="D66" s="243"/>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19"/>
      <c r="AE66" s="281"/>
      <c r="AF66" s="219"/>
      <c r="AG66" s="219"/>
    </row>
    <row r="67" spans="1:33" x14ac:dyDescent="0.25">
      <c r="A67" s="5"/>
      <c r="D67" s="243"/>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19"/>
      <c r="AE67" s="281"/>
      <c r="AF67" s="219"/>
      <c r="AG67" s="219"/>
    </row>
    <row r="68" spans="1:33" x14ac:dyDescent="0.25">
      <c r="A68" s="5"/>
      <c r="D68" s="243"/>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19"/>
      <c r="AE68" s="281"/>
      <c r="AF68" s="219"/>
      <c r="AG68" s="219"/>
    </row>
    <row r="69" spans="1:33" x14ac:dyDescent="0.25">
      <c r="A69" s="5"/>
      <c r="D69" s="243"/>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19"/>
      <c r="AE69" s="281"/>
      <c r="AF69" s="219"/>
      <c r="AG69" s="219"/>
    </row>
    <row r="70" spans="1:33" x14ac:dyDescent="0.25">
      <c r="A70" s="5"/>
      <c r="D70" s="243"/>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19"/>
      <c r="AE70" s="281"/>
      <c r="AF70" s="219"/>
      <c r="AG70" s="219"/>
    </row>
    <row r="71" spans="1:33" x14ac:dyDescent="0.25">
      <c r="A71" s="5"/>
      <c r="D71" s="243"/>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19"/>
      <c r="AE71" s="281"/>
      <c r="AF71" s="219"/>
      <c r="AG71" s="219"/>
    </row>
    <row r="72" spans="1:33" x14ac:dyDescent="0.25">
      <c r="A72" s="5"/>
      <c r="D72" s="243"/>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19"/>
      <c r="AE72" s="281"/>
      <c r="AF72" s="219"/>
      <c r="AG72" s="219"/>
    </row>
    <row r="73" spans="1:33" x14ac:dyDescent="0.25">
      <c r="A73" s="5"/>
      <c r="B73" s="251"/>
      <c r="C73" s="243"/>
      <c r="D73" s="243"/>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row>
    <row r="74" spans="1:33" x14ac:dyDescent="0.25">
      <c r="A74" s="5"/>
      <c r="B74" s="251"/>
      <c r="C74" s="243"/>
      <c r="D74" s="24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F74" s="53"/>
      <c r="AG74" s="53"/>
    </row>
    <row r="75" spans="1:33" x14ac:dyDescent="0.25">
      <c r="A75" s="5"/>
      <c r="B75" s="251"/>
      <c r="C75" s="243"/>
      <c r="D75" s="24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F75" s="53"/>
      <c r="AG75" s="53"/>
    </row>
    <row r="76" spans="1:33" x14ac:dyDescent="0.25">
      <c r="A76" s="5"/>
      <c r="B76" s="251"/>
      <c r="C76" s="243"/>
      <c r="D76" s="24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F76" s="53"/>
      <c r="AG76" s="53"/>
    </row>
    <row r="77" spans="1:33" x14ac:dyDescent="0.25">
      <c r="B77" s="251"/>
      <c r="C77" s="243"/>
      <c r="D77" s="24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F77" s="53"/>
      <c r="AG77" s="53"/>
    </row>
    <row r="78" spans="1:33" x14ac:dyDescent="0.25">
      <c r="B78" s="251"/>
      <c r="C78" s="243"/>
      <c r="D78" s="24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F78" s="53"/>
      <c r="AG78" s="53"/>
    </row>
    <row r="79" spans="1:33" x14ac:dyDescent="0.25">
      <c r="B79" s="251"/>
      <c r="C79" s="243"/>
      <c r="D79" s="24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F79" s="53"/>
      <c r="AG79" s="53"/>
    </row>
    <row r="80" spans="1:33" x14ac:dyDescent="0.25">
      <c r="B80" s="251"/>
      <c r="C80" s="243"/>
      <c r="D80" s="24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F80" s="53"/>
      <c r="AG80" s="53"/>
    </row>
    <row r="81" spans="2:33" x14ac:dyDescent="0.25">
      <c r="B81" s="251"/>
      <c r="C81" s="243"/>
      <c r="D81" s="24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F81" s="53"/>
      <c r="AG81" s="53"/>
    </row>
    <row r="82" spans="2:33" x14ac:dyDescent="0.25">
      <c r="B82" s="251"/>
      <c r="C82" s="243"/>
      <c r="D82" s="24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F82" s="53"/>
      <c r="AG82" s="53"/>
    </row>
    <row r="83" spans="2:33" x14ac:dyDescent="0.25">
      <c r="B83" s="251"/>
      <c r="C83" s="243"/>
      <c r="D83" s="24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F83" s="53"/>
      <c r="AG83" s="53"/>
    </row>
    <row r="84" spans="2:33" x14ac:dyDescent="0.25">
      <c r="B84" s="251"/>
      <c r="C84" s="243"/>
      <c r="D84" s="24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F84" s="53"/>
      <c r="AG84" s="53"/>
    </row>
    <row r="85" spans="2:33" x14ac:dyDescent="0.25">
      <c r="B85" s="251"/>
      <c r="C85" s="243"/>
      <c r="D85" s="24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F85" s="53"/>
      <c r="AG85" s="53"/>
    </row>
    <row r="86" spans="2:33" x14ac:dyDescent="0.25">
      <c r="B86" s="251"/>
      <c r="C86" s="243"/>
      <c r="D86" s="24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F86" s="53"/>
      <c r="AG86" s="53"/>
    </row>
    <row r="87" spans="2:33" x14ac:dyDescent="0.25">
      <c r="B87" s="251"/>
      <c r="C87" s="243"/>
      <c r="D87" s="24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F87" s="53"/>
      <c r="AG87" s="53"/>
    </row>
    <row r="88" spans="2:33" x14ac:dyDescent="0.25">
      <c r="B88" s="251"/>
      <c r="C88" s="243"/>
      <c r="D88" s="24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F88" s="53"/>
      <c r="AG88" s="53"/>
    </row>
    <row r="89" spans="2:33" x14ac:dyDescent="0.25">
      <c r="B89" s="251"/>
      <c r="C89" s="243"/>
      <c r="D89" s="24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F89" s="53"/>
      <c r="AG89" s="53"/>
    </row>
    <row r="90" spans="2:33" x14ac:dyDescent="0.25">
      <c r="B90" s="251"/>
      <c r="C90" s="243"/>
      <c r="D90" s="24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F90" s="53"/>
      <c r="AG90" s="53"/>
    </row>
    <row r="91" spans="2:33" x14ac:dyDescent="0.25">
      <c r="B91" s="251"/>
      <c r="C91" s="243"/>
      <c r="D91" s="24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F91" s="53"/>
      <c r="AG91" s="53"/>
    </row>
    <row r="92" spans="2:33" x14ac:dyDescent="0.25">
      <c r="B92" s="251"/>
      <c r="C92" s="243"/>
      <c r="D92" s="24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F92" s="53"/>
      <c r="AG92" s="53"/>
    </row>
    <row r="93" spans="2:33" x14ac:dyDescent="0.25">
      <c r="B93" s="251"/>
      <c r="C93" s="243"/>
      <c r="D93" s="24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F93" s="53"/>
      <c r="AG93" s="53"/>
    </row>
    <row r="94" spans="2:33" x14ac:dyDescent="0.25">
      <c r="B94" s="251"/>
      <c r="C94" s="243"/>
      <c r="D94" s="24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F94" s="53"/>
      <c r="AG94" s="53"/>
    </row>
    <row r="95" spans="2:33" x14ac:dyDescent="0.25">
      <c r="B95" s="251"/>
      <c r="C95" s="243"/>
      <c r="D95" s="24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F95" s="53"/>
      <c r="AG95" s="53"/>
    </row>
    <row r="96" spans="2:33" x14ac:dyDescent="0.25">
      <c r="B96" s="251"/>
      <c r="C96" s="243"/>
      <c r="D96" s="24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F96" s="53"/>
      <c r="AG96" s="53"/>
    </row>
    <row r="97" spans="2:33" x14ac:dyDescent="0.25">
      <c r="B97" s="251"/>
      <c r="C97" s="243"/>
      <c r="D97" s="24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F97" s="53"/>
      <c r="AG97" s="53"/>
    </row>
    <row r="98" spans="2:33" x14ac:dyDescent="0.25">
      <c r="B98" s="251"/>
      <c r="C98" s="243"/>
      <c r="D98" s="24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F98" s="53"/>
      <c r="AG98" s="53"/>
    </row>
    <row r="99" spans="2:33" x14ac:dyDescent="0.25">
      <c r="B99" s="251"/>
      <c r="C99" s="243"/>
      <c r="D99" s="24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F99" s="53"/>
      <c r="AG99" s="53"/>
    </row>
    <row r="100" spans="2:33" x14ac:dyDescent="0.25">
      <c r="B100" s="251"/>
      <c r="C100" s="243"/>
      <c r="D100" s="24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F100" s="53"/>
      <c r="AG100" s="53"/>
    </row>
    <row r="101" spans="2:33" x14ac:dyDescent="0.25">
      <c r="B101" s="251"/>
      <c r="C101" s="243"/>
      <c r="D101" s="24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F101" s="53"/>
      <c r="AG101" s="53"/>
    </row>
    <row r="102" spans="2:33" x14ac:dyDescent="0.25">
      <c r="B102" s="251"/>
      <c r="C102" s="243"/>
      <c r="D102" s="24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F102" s="53"/>
      <c r="AG102" s="53"/>
    </row>
    <row r="103" spans="2:33" x14ac:dyDescent="0.25">
      <c r="B103" s="251"/>
      <c r="C103" s="243"/>
      <c r="D103" s="24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F103" s="53"/>
      <c r="AG103" s="53"/>
    </row>
    <row r="104" spans="2:33" x14ac:dyDescent="0.25">
      <c r="B104" s="251"/>
      <c r="C104" s="243"/>
      <c r="D104" s="24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F104" s="53"/>
      <c r="AG104" s="53"/>
    </row>
    <row r="105" spans="2:33" x14ac:dyDescent="0.25">
      <c r="B105" s="251"/>
      <c r="C105" s="243"/>
      <c r="D105" s="24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F105" s="53"/>
      <c r="AG105" s="53"/>
    </row>
    <row r="106" spans="2:33" x14ac:dyDescent="0.25">
      <c r="B106" s="251"/>
      <c r="C106" s="243"/>
      <c r="D106" s="24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F106" s="53"/>
      <c r="AG106" s="53"/>
    </row>
    <row r="107" spans="2:33" x14ac:dyDescent="0.25">
      <c r="B107" s="251"/>
      <c r="C107" s="243"/>
      <c r="D107" s="24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F107" s="53"/>
      <c r="AG107" s="53"/>
    </row>
    <row r="108" spans="2:33" x14ac:dyDescent="0.25">
      <c r="B108" s="251"/>
      <c r="C108" s="243"/>
      <c r="D108" s="24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F108" s="53"/>
      <c r="AG108" s="53"/>
    </row>
    <row r="109" spans="2:33" x14ac:dyDescent="0.25">
      <c r="B109" s="251"/>
      <c r="C109" s="243"/>
      <c r="D109" s="24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F109" s="53"/>
      <c r="AG109" s="53"/>
    </row>
    <row r="110" spans="2:33" x14ac:dyDescent="0.25">
      <c r="B110" s="251"/>
      <c r="C110" s="243"/>
      <c r="D110" s="24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F110" s="53"/>
      <c r="AG110" s="53"/>
    </row>
    <row r="111" spans="2:33" x14ac:dyDescent="0.25">
      <c r="B111" s="251"/>
      <c r="C111" s="243"/>
      <c r="D111" s="24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F111" s="53"/>
      <c r="AG111" s="53"/>
    </row>
    <row r="112" spans="2:33" x14ac:dyDescent="0.25">
      <c r="B112" s="251"/>
      <c r="C112" s="243"/>
      <c r="D112" s="24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F112" s="53"/>
      <c r="AG112" s="53"/>
    </row>
    <row r="113" spans="2:33" x14ac:dyDescent="0.25">
      <c r="B113" s="251"/>
      <c r="C113" s="243"/>
      <c r="D113" s="24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F113" s="53"/>
      <c r="AG113" s="53"/>
    </row>
    <row r="114" spans="2:33" x14ac:dyDescent="0.25">
      <c r="B114" s="251"/>
      <c r="C114" s="243"/>
      <c r="D114" s="24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F114" s="53"/>
      <c r="AG114" s="53"/>
    </row>
    <row r="115" spans="2:33" x14ac:dyDescent="0.25">
      <c r="B115" s="251"/>
      <c r="C115" s="243"/>
      <c r="D115" s="24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F115" s="53"/>
      <c r="AG115" s="53"/>
    </row>
    <row r="116" spans="2:33" x14ac:dyDescent="0.25">
      <c r="B116" s="251"/>
      <c r="C116" s="243"/>
      <c r="D116" s="24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F116" s="53"/>
      <c r="AG116" s="53"/>
    </row>
    <row r="117" spans="2:33" x14ac:dyDescent="0.25">
      <c r="B117" s="251"/>
      <c r="C117" s="243"/>
      <c r="D117" s="24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F117" s="53"/>
      <c r="AG117" s="53"/>
    </row>
    <row r="118" spans="2:33" x14ac:dyDescent="0.25">
      <c r="B118" s="251"/>
      <c r="C118" s="243"/>
      <c r="D118" s="24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F118" s="53"/>
      <c r="AG118" s="53"/>
    </row>
    <row r="119" spans="2:33" x14ac:dyDescent="0.25">
      <c r="B119" s="251"/>
      <c r="C119" s="243"/>
      <c r="D119" s="24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F119" s="53"/>
      <c r="AG119" s="53"/>
    </row>
    <row r="120" spans="2:33" x14ac:dyDescent="0.25">
      <c r="B120" s="251"/>
      <c r="C120" s="243"/>
      <c r="D120" s="24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F120" s="53"/>
      <c r="AG120" s="53"/>
    </row>
    <row r="121" spans="2:33" x14ac:dyDescent="0.25">
      <c r="B121" s="251"/>
      <c r="C121" s="243"/>
      <c r="D121" s="24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F121" s="53"/>
      <c r="AG121" s="53"/>
    </row>
    <row r="122" spans="2:33" x14ac:dyDescent="0.25">
      <c r="B122" s="251"/>
      <c r="C122" s="243"/>
      <c r="D122" s="24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F122" s="53"/>
      <c r="AG122" s="53"/>
    </row>
    <row r="123" spans="2:33" x14ac:dyDescent="0.25">
      <c r="B123" s="251"/>
      <c r="C123" s="243"/>
      <c r="D123" s="24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F123" s="53"/>
      <c r="AG123" s="53"/>
    </row>
    <row r="124" spans="2:33" x14ac:dyDescent="0.25">
      <c r="B124" s="251"/>
      <c r="C124" s="243"/>
      <c r="D124" s="24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F124" s="53"/>
      <c r="AG124" s="53"/>
    </row>
    <row r="125" spans="2:33" x14ac:dyDescent="0.25">
      <c r="B125" s="251"/>
      <c r="C125" s="243"/>
      <c r="D125" s="24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F125" s="53"/>
      <c r="AG125" s="53"/>
    </row>
    <row r="126" spans="2:33" x14ac:dyDescent="0.25">
      <c r="B126" s="251"/>
      <c r="C126" s="243"/>
      <c r="D126" s="24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F126" s="53"/>
      <c r="AG126" s="53"/>
    </row>
    <row r="127" spans="2:33" x14ac:dyDescent="0.25">
      <c r="B127" s="251"/>
      <c r="C127" s="243"/>
      <c r="D127" s="24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F127" s="53"/>
      <c r="AG127" s="53"/>
    </row>
    <row r="128" spans="2:33" x14ac:dyDescent="0.25">
      <c r="B128" s="251"/>
      <c r="C128" s="243"/>
      <c r="D128" s="24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F128" s="53"/>
      <c r="AG128" s="53"/>
    </row>
    <row r="129" spans="2:33" x14ac:dyDescent="0.25">
      <c r="B129" s="251"/>
      <c r="C129" s="243"/>
      <c r="D129" s="24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F129" s="53"/>
      <c r="AG129" s="53"/>
    </row>
    <row r="130" spans="2:33" x14ac:dyDescent="0.25">
      <c r="B130" s="251"/>
      <c r="C130" s="243"/>
      <c r="D130" s="24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F130" s="53"/>
      <c r="AG130" s="53"/>
    </row>
    <row r="131" spans="2:33" x14ac:dyDescent="0.25">
      <c r="B131" s="251"/>
      <c r="C131" s="243"/>
      <c r="D131" s="24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F131" s="53"/>
      <c r="AG131" s="53"/>
    </row>
    <row r="132" spans="2:33" x14ac:dyDescent="0.25">
      <c r="B132" s="251"/>
      <c r="C132" s="243"/>
      <c r="D132" s="24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F132" s="53"/>
      <c r="AG132" s="53"/>
    </row>
    <row r="133" spans="2:33" x14ac:dyDescent="0.25">
      <c r="B133" s="251"/>
      <c r="C133" s="243"/>
      <c r="D133" s="24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F133" s="53"/>
      <c r="AG133" s="53"/>
    </row>
    <row r="134" spans="2:33" x14ac:dyDescent="0.25">
      <c r="B134" s="251"/>
      <c r="C134" s="243"/>
      <c r="D134" s="24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F134" s="53"/>
      <c r="AG134" s="53"/>
    </row>
    <row r="135" spans="2:33" x14ac:dyDescent="0.25">
      <c r="B135" s="251"/>
      <c r="C135" s="243"/>
      <c r="D135" s="24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F135" s="53"/>
      <c r="AG135" s="53"/>
    </row>
    <row r="136" spans="2:33" x14ac:dyDescent="0.25">
      <c r="B136" s="251"/>
      <c r="C136" s="243"/>
      <c r="D136" s="24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F136" s="53"/>
      <c r="AG136" s="53"/>
    </row>
    <row r="137" spans="2:33" x14ac:dyDescent="0.25">
      <c r="B137" s="251"/>
      <c r="C137" s="243"/>
      <c r="D137" s="24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F137" s="53"/>
      <c r="AG137" s="53"/>
    </row>
    <row r="138" spans="2:33" x14ac:dyDescent="0.25">
      <c r="B138" s="251"/>
      <c r="C138" s="243"/>
      <c r="D138" s="24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F138" s="53"/>
      <c r="AG138" s="53"/>
    </row>
    <row r="139" spans="2:33" x14ac:dyDescent="0.25">
      <c r="B139" s="251"/>
      <c r="C139" s="243"/>
      <c r="D139" s="24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F139" s="53"/>
      <c r="AG139" s="53"/>
    </row>
    <row r="140" spans="2:33" x14ac:dyDescent="0.25">
      <c r="B140" s="251"/>
      <c r="C140" s="243"/>
      <c r="D140" s="24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F140" s="53"/>
      <c r="AG140" s="53"/>
    </row>
    <row r="141" spans="2:33" x14ac:dyDescent="0.25">
      <c r="B141" s="251"/>
      <c r="C141" s="243"/>
      <c r="D141" s="24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F141" s="53"/>
      <c r="AG141" s="53"/>
    </row>
    <row r="142" spans="2:33" x14ac:dyDescent="0.25">
      <c r="B142" s="251"/>
      <c r="C142" s="243"/>
      <c r="D142" s="24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F142" s="53"/>
      <c r="AG142" s="53"/>
    </row>
    <row r="143" spans="2:33" x14ac:dyDescent="0.25">
      <c r="B143" s="251"/>
      <c r="C143" s="243"/>
      <c r="D143" s="24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F143" s="53"/>
      <c r="AG143" s="53"/>
    </row>
    <row r="144" spans="2:33" x14ac:dyDescent="0.25">
      <c r="B144" s="251"/>
      <c r="C144" s="243"/>
      <c r="D144" s="24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F144" s="53"/>
      <c r="AG144" s="53"/>
    </row>
    <row r="145" spans="2:33" x14ac:dyDescent="0.25">
      <c r="B145" s="251"/>
      <c r="C145" s="243"/>
      <c r="D145" s="24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F145" s="53"/>
      <c r="AG145" s="53"/>
    </row>
    <row r="146" spans="2:33" x14ac:dyDescent="0.25">
      <c r="B146" s="251"/>
      <c r="C146" s="243"/>
      <c r="D146" s="24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F146" s="53"/>
      <c r="AG146" s="53"/>
    </row>
    <row r="147" spans="2:33" x14ac:dyDescent="0.25">
      <c r="B147" s="251"/>
      <c r="C147" s="243"/>
      <c r="D147" s="24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F147" s="53"/>
      <c r="AG147" s="53"/>
    </row>
    <row r="148" spans="2:33" x14ac:dyDescent="0.25">
      <c r="B148" s="251"/>
      <c r="C148" s="243"/>
      <c r="D148" s="24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F148" s="53"/>
      <c r="AG148" s="53"/>
    </row>
    <row r="149" spans="2:33" x14ac:dyDescent="0.25">
      <c r="B149" s="251"/>
      <c r="C149" s="243"/>
      <c r="D149" s="24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F149" s="53"/>
      <c r="AG149" s="53"/>
    </row>
    <row r="150" spans="2:33" x14ac:dyDescent="0.25">
      <c r="B150" s="251"/>
      <c r="C150" s="243"/>
      <c r="D150" s="24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F150" s="53"/>
      <c r="AG150" s="53"/>
    </row>
    <row r="151" spans="2:33" x14ac:dyDescent="0.25">
      <c r="B151" s="251"/>
      <c r="C151" s="243"/>
      <c r="D151" s="24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F151" s="53"/>
      <c r="AG151" s="53"/>
    </row>
    <row r="152" spans="2:33" x14ac:dyDescent="0.25">
      <c r="B152" s="251"/>
      <c r="C152" s="243"/>
      <c r="D152" s="24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F152" s="53"/>
      <c r="AG152" s="53"/>
    </row>
    <row r="153" spans="2:33" x14ac:dyDescent="0.25">
      <c r="B153" s="251"/>
      <c r="C153" s="243"/>
      <c r="D153" s="24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F153" s="53"/>
      <c r="AG153" s="53"/>
    </row>
    <row r="154" spans="2:33" x14ac:dyDescent="0.25">
      <c r="B154" s="251"/>
      <c r="C154" s="243"/>
      <c r="D154" s="24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F154" s="53"/>
      <c r="AG154" s="53"/>
    </row>
    <row r="155" spans="2:33" x14ac:dyDescent="0.25">
      <c r="B155" s="251"/>
      <c r="C155" s="243"/>
      <c r="D155" s="24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F155" s="53"/>
      <c r="AG155" s="53"/>
    </row>
    <row r="156" spans="2:33" x14ac:dyDescent="0.25">
      <c r="B156" s="251"/>
      <c r="C156" s="243"/>
      <c r="D156" s="24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F156" s="53"/>
      <c r="AG156" s="53"/>
    </row>
    <row r="157" spans="2:33" x14ac:dyDescent="0.25">
      <c r="B157" s="251"/>
      <c r="C157" s="243"/>
      <c r="D157" s="24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F157" s="53"/>
      <c r="AG157" s="53"/>
    </row>
    <row r="158" spans="2:33" x14ac:dyDescent="0.25">
      <c r="B158" s="251"/>
      <c r="C158" s="243"/>
      <c r="D158" s="24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F158" s="53"/>
      <c r="AG158" s="53"/>
    </row>
    <row r="159" spans="2:33" x14ac:dyDescent="0.25">
      <c r="B159" s="251"/>
      <c r="C159" s="243"/>
      <c r="D159" s="24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F159" s="53"/>
      <c r="AG159" s="53"/>
    </row>
    <row r="160" spans="2:33" x14ac:dyDescent="0.25">
      <c r="B160" s="251"/>
      <c r="C160" s="243"/>
      <c r="D160" s="24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F160" s="53"/>
      <c r="AG160" s="53"/>
    </row>
    <row r="161" spans="2:33" x14ac:dyDescent="0.25">
      <c r="B161" s="251"/>
      <c r="C161" s="243"/>
      <c r="D161" s="24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F161" s="53"/>
      <c r="AG161" s="53"/>
    </row>
    <row r="162" spans="2:33" x14ac:dyDescent="0.25">
      <c r="B162" s="251"/>
      <c r="C162" s="243"/>
      <c r="D162" s="24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F162" s="53"/>
      <c r="AG162" s="53"/>
    </row>
    <row r="163" spans="2:33" x14ac:dyDescent="0.25">
      <c r="B163" s="251"/>
      <c r="C163" s="243"/>
      <c r="D163" s="24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F163" s="53"/>
      <c r="AG163" s="53"/>
    </row>
    <row r="164" spans="2:33" x14ac:dyDescent="0.25">
      <c r="B164" s="251"/>
      <c r="C164" s="243"/>
      <c r="D164" s="24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F164" s="53"/>
      <c r="AG164" s="53"/>
    </row>
    <row r="165" spans="2:33" x14ac:dyDescent="0.25">
      <c r="B165" s="251"/>
      <c r="C165" s="243"/>
      <c r="D165" s="24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F165" s="53"/>
      <c r="AG165" s="53"/>
    </row>
    <row r="166" spans="2:33" x14ac:dyDescent="0.25">
      <c r="B166" s="251"/>
      <c r="C166" s="243"/>
      <c r="D166" s="24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F166" s="53"/>
      <c r="AG166" s="53"/>
    </row>
    <row r="167" spans="2:33" x14ac:dyDescent="0.25">
      <c r="B167" s="251"/>
      <c r="C167" s="243"/>
      <c r="D167" s="24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F167" s="53"/>
      <c r="AG167" s="53"/>
    </row>
    <row r="168" spans="2:33" x14ac:dyDescent="0.25">
      <c r="B168" s="251"/>
      <c r="C168" s="243"/>
      <c r="D168" s="24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F168" s="53"/>
      <c r="AG168" s="53"/>
    </row>
    <row r="169" spans="2:33" x14ac:dyDescent="0.25">
      <c r="B169" s="251"/>
      <c r="C169" s="243"/>
      <c r="D169" s="24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F169" s="53"/>
      <c r="AG169" s="53"/>
    </row>
    <row r="170" spans="2:33" x14ac:dyDescent="0.25">
      <c r="B170" s="251"/>
      <c r="C170" s="243"/>
      <c r="D170" s="24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F170" s="53"/>
      <c r="AG170" s="53"/>
    </row>
    <row r="171" spans="2:33" x14ac:dyDescent="0.25">
      <c r="B171" s="251"/>
      <c r="C171" s="243"/>
      <c r="D171" s="24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F171" s="53"/>
      <c r="AG171" s="53"/>
    </row>
    <row r="172" spans="2:33" x14ac:dyDescent="0.25">
      <c r="B172" s="251"/>
      <c r="C172" s="243"/>
      <c r="D172" s="24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F172" s="53"/>
      <c r="AG172" s="53"/>
    </row>
    <row r="173" spans="2:33" x14ac:dyDescent="0.25">
      <c r="B173" s="251"/>
      <c r="C173" s="243"/>
      <c r="D173" s="24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F173" s="53"/>
      <c r="AG173" s="53"/>
    </row>
    <row r="174" spans="2:33" x14ac:dyDescent="0.25">
      <c r="B174" s="251"/>
      <c r="C174" s="243"/>
      <c r="D174" s="24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F174" s="53"/>
      <c r="AG174" s="53"/>
    </row>
    <row r="175" spans="2:33" x14ac:dyDescent="0.25">
      <c r="B175" s="251"/>
      <c r="C175" s="243"/>
      <c r="D175" s="24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F175" s="53"/>
      <c r="AG175" s="53"/>
    </row>
    <row r="176" spans="2:33" x14ac:dyDescent="0.25">
      <c r="B176" s="251"/>
      <c r="C176" s="243"/>
      <c r="D176" s="24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F176" s="53"/>
      <c r="AG176" s="53"/>
    </row>
    <row r="177" spans="2:33" x14ac:dyDescent="0.25">
      <c r="B177" s="251"/>
      <c r="C177" s="243"/>
      <c r="D177" s="24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F177" s="53"/>
      <c r="AG177" s="53"/>
    </row>
    <row r="178" spans="2:33" x14ac:dyDescent="0.25">
      <c r="B178" s="251"/>
      <c r="C178" s="243"/>
      <c r="D178" s="24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F178" s="53"/>
      <c r="AG178" s="53"/>
    </row>
    <row r="179" spans="2:33" x14ac:dyDescent="0.25">
      <c r="B179" s="251"/>
      <c r="C179" s="243"/>
      <c r="D179" s="24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F179" s="53"/>
      <c r="AG179" s="53"/>
    </row>
    <row r="180" spans="2:33" x14ac:dyDescent="0.25">
      <c r="B180" s="251"/>
      <c r="C180" s="243"/>
      <c r="D180" s="24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F180" s="53"/>
      <c r="AG180" s="53"/>
    </row>
    <row r="181" spans="2:33" x14ac:dyDescent="0.25">
      <c r="B181" s="251"/>
      <c r="C181" s="243"/>
      <c r="D181" s="24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F181" s="53"/>
      <c r="AG181" s="53"/>
    </row>
    <row r="182" spans="2:33" x14ac:dyDescent="0.25">
      <c r="B182" s="251"/>
      <c r="C182" s="243"/>
      <c r="D182" s="24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F182" s="53"/>
      <c r="AG182" s="53"/>
    </row>
    <row r="183" spans="2:33" x14ac:dyDescent="0.25">
      <c r="B183" s="251"/>
      <c r="C183" s="243"/>
      <c r="D183" s="24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F183" s="53"/>
      <c r="AG183" s="53"/>
    </row>
    <row r="184" spans="2:33" x14ac:dyDescent="0.25">
      <c r="B184" s="251"/>
      <c r="C184" s="243"/>
      <c r="D184" s="24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F184" s="53"/>
      <c r="AG184" s="53"/>
    </row>
    <row r="185" spans="2:33" x14ac:dyDescent="0.25">
      <c r="B185" s="251"/>
      <c r="C185" s="243"/>
      <c r="D185" s="24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F185" s="53"/>
      <c r="AG185" s="53"/>
    </row>
    <row r="186" spans="2:33" x14ac:dyDescent="0.25">
      <c r="B186" s="251"/>
      <c r="C186" s="243"/>
      <c r="D186" s="24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F186" s="53"/>
      <c r="AG186" s="53"/>
    </row>
    <row r="187" spans="2:33" x14ac:dyDescent="0.25">
      <c r="B187" s="251"/>
      <c r="C187" s="243"/>
      <c r="D187" s="24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F187" s="53"/>
      <c r="AG187" s="53"/>
    </row>
    <row r="188" spans="2:33" x14ac:dyDescent="0.25">
      <c r="B188" s="251"/>
      <c r="C188" s="243"/>
      <c r="D188" s="24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F188" s="53"/>
      <c r="AG188" s="53"/>
    </row>
    <row r="189" spans="2:33" x14ac:dyDescent="0.25">
      <c r="B189" s="251"/>
      <c r="C189" s="243"/>
      <c r="D189" s="24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F189" s="53"/>
      <c r="AG189" s="53"/>
    </row>
    <row r="190" spans="2:33" x14ac:dyDescent="0.25">
      <c r="B190" s="251"/>
      <c r="C190" s="243"/>
      <c r="D190" s="24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F190" s="53"/>
      <c r="AG190" s="53"/>
    </row>
    <row r="191" spans="2:33" x14ac:dyDescent="0.25">
      <c r="B191" s="251"/>
      <c r="C191" s="243"/>
      <c r="D191" s="24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F191" s="53"/>
      <c r="AG191" s="53"/>
    </row>
    <row r="192" spans="2:33" x14ac:dyDescent="0.25">
      <c r="B192" s="251"/>
      <c r="C192" s="243"/>
      <c r="D192" s="24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F192" s="53"/>
      <c r="AG192" s="53"/>
    </row>
    <row r="193" spans="2:33" x14ac:dyDescent="0.25">
      <c r="B193" s="251"/>
      <c r="C193" s="243"/>
      <c r="D193" s="24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F193" s="53"/>
      <c r="AG193" s="53"/>
    </row>
    <row r="194" spans="2:33" x14ac:dyDescent="0.25">
      <c r="B194" s="251"/>
      <c r="C194" s="243"/>
      <c r="D194" s="24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F194" s="53"/>
      <c r="AG194" s="53"/>
    </row>
    <row r="195" spans="2:33" x14ac:dyDescent="0.25">
      <c r="B195" s="251"/>
      <c r="C195" s="243"/>
      <c r="D195" s="24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F195" s="53"/>
      <c r="AG195" s="53"/>
    </row>
    <row r="196" spans="2:33" x14ac:dyDescent="0.25">
      <c r="B196" s="251"/>
      <c r="C196" s="243"/>
      <c r="D196" s="24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F196" s="53"/>
      <c r="AG196" s="53"/>
    </row>
    <row r="197" spans="2:33" x14ac:dyDescent="0.25">
      <c r="B197" s="251"/>
      <c r="C197" s="243"/>
      <c r="D197" s="24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F197" s="53"/>
      <c r="AG197" s="53"/>
    </row>
    <row r="198" spans="2:33" x14ac:dyDescent="0.25">
      <c r="B198" s="251"/>
      <c r="C198" s="243"/>
      <c r="D198" s="24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F198" s="53"/>
      <c r="AG198" s="53"/>
    </row>
    <row r="199" spans="2:33" x14ac:dyDescent="0.25">
      <c r="B199" s="251"/>
      <c r="C199" s="243"/>
      <c r="D199" s="24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F199" s="53"/>
      <c r="AG199" s="53"/>
    </row>
    <row r="200" spans="2:33" x14ac:dyDescent="0.25">
      <c r="B200" s="251"/>
      <c r="C200" s="243"/>
      <c r="D200" s="24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F200" s="53"/>
      <c r="AG200" s="53"/>
    </row>
    <row r="201" spans="2:33" x14ac:dyDescent="0.25">
      <c r="B201" s="251"/>
      <c r="C201" s="243"/>
      <c r="D201" s="24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F201" s="53"/>
      <c r="AG201" s="53"/>
    </row>
    <row r="202" spans="2:33" x14ac:dyDescent="0.25">
      <c r="B202" s="251"/>
      <c r="C202" s="243"/>
      <c r="D202" s="24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F202" s="53"/>
      <c r="AG202" s="53"/>
    </row>
    <row r="203" spans="2:33" x14ac:dyDescent="0.25">
      <c r="B203" s="251"/>
      <c r="C203" s="243"/>
      <c r="D203" s="24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F203" s="53"/>
      <c r="AG203" s="53"/>
    </row>
    <row r="204" spans="2:33" x14ac:dyDescent="0.25">
      <c r="B204" s="251"/>
      <c r="C204" s="243"/>
      <c r="D204" s="24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F204" s="53"/>
      <c r="AG204" s="53"/>
    </row>
    <row r="205" spans="2:33" x14ac:dyDescent="0.25">
      <c r="B205" s="251"/>
      <c r="C205" s="243"/>
      <c r="D205" s="24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F205" s="53"/>
      <c r="AG205" s="53"/>
    </row>
    <row r="206" spans="2:33" x14ac:dyDescent="0.25">
      <c r="B206" s="251"/>
      <c r="C206" s="243"/>
      <c r="D206" s="24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F206" s="53"/>
      <c r="AG206" s="53"/>
    </row>
    <row r="207" spans="2:33" x14ac:dyDescent="0.25">
      <c r="B207" s="251"/>
      <c r="C207" s="243"/>
      <c r="D207" s="24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F207" s="53"/>
      <c r="AG207" s="53"/>
    </row>
    <row r="208" spans="2:33" x14ac:dyDescent="0.25">
      <c r="B208" s="251"/>
      <c r="C208" s="243"/>
      <c r="D208" s="24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F208" s="53"/>
      <c r="AG208" s="53"/>
    </row>
    <row r="209" spans="2:33" x14ac:dyDescent="0.25">
      <c r="B209" s="251"/>
      <c r="C209" s="243"/>
      <c r="D209" s="24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F209" s="53"/>
      <c r="AG209" s="53"/>
    </row>
    <row r="210" spans="2:33" x14ac:dyDescent="0.25">
      <c r="B210" s="251"/>
      <c r="C210" s="243"/>
      <c r="D210" s="24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F210" s="53"/>
      <c r="AG210" s="53"/>
    </row>
    <row r="211" spans="2:33" x14ac:dyDescent="0.25">
      <c r="B211" s="251"/>
      <c r="C211" s="243"/>
      <c r="D211" s="24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F211" s="53"/>
      <c r="AG211" s="53"/>
    </row>
    <row r="212" spans="2:33" x14ac:dyDescent="0.25">
      <c r="B212" s="251"/>
      <c r="C212" s="243"/>
      <c r="D212" s="24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F212" s="53"/>
      <c r="AG212" s="53"/>
    </row>
    <row r="213" spans="2:33" x14ac:dyDescent="0.25">
      <c r="B213" s="251"/>
      <c r="C213" s="243"/>
      <c r="D213" s="24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F213" s="53"/>
      <c r="AG213" s="53"/>
    </row>
    <row r="214" spans="2:33" x14ac:dyDescent="0.25">
      <c r="B214" s="251"/>
      <c r="C214" s="243"/>
      <c r="D214" s="24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F214" s="53"/>
      <c r="AG214" s="53"/>
    </row>
    <row r="215" spans="2:33" x14ac:dyDescent="0.25">
      <c r="B215" s="251"/>
      <c r="C215" s="243"/>
      <c r="D215" s="24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F215" s="53"/>
      <c r="AG215" s="53"/>
    </row>
    <row r="216" spans="2:33" x14ac:dyDescent="0.25">
      <c r="B216" s="251"/>
      <c r="C216" s="243"/>
      <c r="D216" s="24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F216" s="53"/>
      <c r="AG216" s="53"/>
    </row>
    <row r="217" spans="2:33" x14ac:dyDescent="0.25">
      <c r="B217" s="251"/>
      <c r="C217" s="243"/>
      <c r="D217" s="24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F217" s="53"/>
      <c r="AG217" s="53"/>
    </row>
    <row r="218" spans="2:33" x14ac:dyDescent="0.25">
      <c r="B218" s="251"/>
      <c r="C218" s="243"/>
      <c r="D218" s="24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F218" s="53"/>
      <c r="AG218" s="53"/>
    </row>
    <row r="219" spans="2:33" x14ac:dyDescent="0.25">
      <c r="B219" s="251"/>
      <c r="C219" s="243"/>
      <c r="D219" s="24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F219" s="53"/>
      <c r="AG219" s="53"/>
    </row>
    <row r="220" spans="2:33" x14ac:dyDescent="0.25">
      <c r="B220" s="251"/>
      <c r="C220" s="243"/>
      <c r="D220" s="24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F220" s="53"/>
      <c r="AG220" s="53"/>
    </row>
    <row r="221" spans="2:33" x14ac:dyDescent="0.25">
      <c r="B221" s="251"/>
      <c r="C221" s="243"/>
      <c r="D221" s="24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F221" s="53"/>
      <c r="AG221" s="53"/>
    </row>
    <row r="222" spans="2:33" x14ac:dyDescent="0.25">
      <c r="B222" s="251"/>
      <c r="C222" s="243"/>
      <c r="D222" s="24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F222" s="53"/>
      <c r="AG222" s="53"/>
    </row>
    <row r="223" spans="2:33" x14ac:dyDescent="0.25">
      <c r="B223" s="251"/>
      <c r="C223" s="243"/>
      <c r="D223" s="24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F223" s="53"/>
      <c r="AG223" s="53"/>
    </row>
    <row r="224" spans="2:33" x14ac:dyDescent="0.25">
      <c r="B224" s="251"/>
      <c r="C224" s="243"/>
      <c r="D224" s="24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F224" s="53"/>
      <c r="AG224" s="53"/>
    </row>
    <row r="225" spans="2:33" x14ac:dyDescent="0.25">
      <c r="B225" s="251"/>
      <c r="C225" s="243"/>
      <c r="D225" s="24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F225" s="53"/>
      <c r="AG225" s="53"/>
    </row>
    <row r="226" spans="2:33" x14ac:dyDescent="0.25">
      <c r="B226" s="251"/>
      <c r="C226" s="243"/>
      <c r="D226" s="24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F226" s="53"/>
      <c r="AG226" s="53"/>
    </row>
    <row r="227" spans="2:33" x14ac:dyDescent="0.25">
      <c r="B227" s="251"/>
      <c r="C227" s="243"/>
      <c r="D227" s="24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F227" s="53"/>
      <c r="AG227" s="53"/>
    </row>
    <row r="228" spans="2:33" x14ac:dyDescent="0.25">
      <c r="B228" s="251"/>
      <c r="C228" s="243"/>
      <c r="D228" s="24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F228" s="53"/>
      <c r="AG228" s="53"/>
    </row>
    <row r="229" spans="2:33" x14ac:dyDescent="0.25">
      <c r="B229" s="251"/>
      <c r="C229" s="243"/>
      <c r="D229" s="24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F229" s="53"/>
      <c r="AG229" s="53"/>
    </row>
    <row r="230" spans="2:33" x14ac:dyDescent="0.25">
      <c r="B230" s="251"/>
      <c r="C230" s="243"/>
      <c r="D230" s="24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F230" s="53"/>
      <c r="AG230" s="53"/>
    </row>
    <row r="231" spans="2:33" x14ac:dyDescent="0.25">
      <c r="B231" s="251"/>
      <c r="C231" s="243"/>
      <c r="D231" s="24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F231" s="53"/>
      <c r="AG231" s="53"/>
    </row>
    <row r="232" spans="2:33" x14ac:dyDescent="0.25">
      <c r="B232" s="251"/>
      <c r="C232" s="243"/>
      <c r="D232" s="24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F232" s="53"/>
      <c r="AG232" s="53"/>
    </row>
    <row r="233" spans="2:33" x14ac:dyDescent="0.25">
      <c r="B233" s="251"/>
      <c r="C233" s="243"/>
      <c r="D233" s="24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F233" s="53"/>
      <c r="AG233" s="53"/>
    </row>
    <row r="234" spans="2:33" x14ac:dyDescent="0.25">
      <c r="B234" s="251"/>
      <c r="C234" s="243"/>
      <c r="D234" s="24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F234" s="53"/>
      <c r="AG234" s="53"/>
    </row>
    <row r="235" spans="2:33" x14ac:dyDescent="0.25">
      <c r="B235" s="251"/>
      <c r="C235" s="243"/>
      <c r="D235" s="24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F235" s="53"/>
      <c r="AG235" s="53"/>
    </row>
    <row r="236" spans="2:33" x14ac:dyDescent="0.25">
      <c r="B236" s="251"/>
      <c r="C236" s="243"/>
      <c r="D236" s="24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F236" s="53"/>
      <c r="AG236" s="53"/>
    </row>
    <row r="237" spans="2:33" x14ac:dyDescent="0.25">
      <c r="B237" s="251"/>
      <c r="C237" s="243"/>
      <c r="D237" s="24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F237" s="53"/>
      <c r="AG237" s="53"/>
    </row>
    <row r="238" spans="2:33" x14ac:dyDescent="0.25">
      <c r="B238" s="251"/>
      <c r="C238" s="243"/>
      <c r="D238" s="24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F238" s="53"/>
      <c r="AG238" s="53"/>
    </row>
    <row r="239" spans="2:33" x14ac:dyDescent="0.25">
      <c r="B239" s="251"/>
      <c r="C239" s="243"/>
      <c r="D239" s="24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F239" s="53"/>
      <c r="AG239" s="53"/>
    </row>
    <row r="240" spans="2:33" x14ac:dyDescent="0.25">
      <c r="B240" s="251"/>
      <c r="C240" s="243"/>
      <c r="D240" s="243"/>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F240" s="53"/>
      <c r="AG240" s="53"/>
    </row>
    <row r="241" spans="2:33" x14ac:dyDescent="0.25">
      <c r="B241" s="251"/>
      <c r="C241" s="243"/>
      <c r="D241" s="24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F241" s="53"/>
      <c r="AG241" s="53"/>
    </row>
    <row r="242" spans="2:33" x14ac:dyDescent="0.25">
      <c r="B242" s="251"/>
      <c r="C242" s="243"/>
      <c r="D242" s="24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F242" s="53"/>
      <c r="AG242" s="53"/>
    </row>
    <row r="243" spans="2:33" x14ac:dyDescent="0.25">
      <c r="B243" s="251"/>
      <c r="C243" s="243"/>
      <c r="D243" s="24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F243" s="53"/>
      <c r="AG243" s="53"/>
    </row>
    <row r="244" spans="2:33" x14ac:dyDescent="0.25">
      <c r="B244" s="251"/>
      <c r="C244" s="243"/>
      <c r="D244" s="24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F244" s="53"/>
      <c r="AG244" s="53"/>
    </row>
    <row r="245" spans="2:33" x14ac:dyDescent="0.25">
      <c r="B245" s="251"/>
      <c r="C245" s="243"/>
      <c r="D245" s="24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F245" s="53"/>
      <c r="AG245" s="53"/>
    </row>
    <row r="246" spans="2:33" x14ac:dyDescent="0.25">
      <c r="B246" s="251"/>
      <c r="C246" s="243"/>
      <c r="D246" s="24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F246" s="53"/>
      <c r="AG246" s="53"/>
    </row>
    <row r="247" spans="2:33" x14ac:dyDescent="0.25">
      <c r="B247" s="251"/>
      <c r="C247" s="243"/>
      <c r="D247" s="24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F247" s="53"/>
      <c r="AG247" s="53"/>
    </row>
    <row r="248" spans="2:33" x14ac:dyDescent="0.25">
      <c r="B248" s="251"/>
      <c r="C248" s="243"/>
      <c r="D248" s="24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F248" s="53"/>
      <c r="AG248" s="53"/>
    </row>
    <row r="249" spans="2:33" x14ac:dyDescent="0.25">
      <c r="B249" s="251"/>
      <c r="C249" s="243"/>
      <c r="D249" s="24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F249" s="53"/>
      <c r="AG249" s="53"/>
    </row>
    <row r="250" spans="2:33" x14ac:dyDescent="0.25">
      <c r="B250" s="251"/>
      <c r="C250" s="243"/>
      <c r="D250" s="24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F250" s="53"/>
      <c r="AG250" s="53"/>
    </row>
    <row r="251" spans="2:33" x14ac:dyDescent="0.25">
      <c r="B251" s="251"/>
      <c r="C251" s="243"/>
      <c r="D251" s="24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F251" s="53"/>
      <c r="AG251" s="53"/>
    </row>
    <row r="252" spans="2:33" x14ac:dyDescent="0.25">
      <c r="B252" s="251"/>
      <c r="C252" s="243"/>
      <c r="D252" s="24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F252" s="53"/>
      <c r="AG252" s="53"/>
    </row>
    <row r="253" spans="2:33" x14ac:dyDescent="0.25">
      <c r="B253" s="251"/>
      <c r="C253" s="243"/>
      <c r="D253" s="24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F253" s="53"/>
      <c r="AG253" s="53"/>
    </row>
    <row r="254" spans="2:33" x14ac:dyDescent="0.25">
      <c r="B254" s="251"/>
      <c r="C254" s="243"/>
      <c r="D254" s="24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F254" s="53"/>
      <c r="AG254" s="53"/>
    </row>
    <row r="255" spans="2:33" x14ac:dyDescent="0.25">
      <c r="B255" s="251"/>
      <c r="C255" s="243"/>
      <c r="D255" s="24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F255" s="53"/>
      <c r="AG255" s="53"/>
    </row>
    <row r="256" spans="2:33" x14ac:dyDescent="0.25">
      <c r="B256" s="251"/>
      <c r="C256" s="243"/>
      <c r="D256" s="24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F256" s="53"/>
      <c r="AG256" s="53"/>
    </row>
    <row r="257" spans="2:33" x14ac:dyDescent="0.25">
      <c r="B257" s="251"/>
      <c r="C257" s="243"/>
      <c r="D257" s="24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F257" s="53"/>
      <c r="AG257" s="53"/>
    </row>
    <row r="258" spans="2:33" x14ac:dyDescent="0.25">
      <c r="B258" s="251"/>
      <c r="C258" s="243"/>
      <c r="D258" s="24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F258" s="53"/>
      <c r="AG258" s="53"/>
    </row>
    <row r="259" spans="2:33" x14ac:dyDescent="0.25">
      <c r="B259" s="251"/>
      <c r="C259" s="243"/>
      <c r="D259" s="24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F259" s="53"/>
      <c r="AG259" s="53"/>
    </row>
    <row r="260" spans="2:33" x14ac:dyDescent="0.25">
      <c r="B260" s="251"/>
      <c r="C260" s="243"/>
      <c r="D260" s="24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F260" s="53"/>
      <c r="AG260" s="53"/>
    </row>
    <row r="261" spans="2:33" x14ac:dyDescent="0.25">
      <c r="B261" s="251"/>
      <c r="C261" s="243"/>
      <c r="D261" s="24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F261" s="53"/>
      <c r="AG261" s="53"/>
    </row>
    <row r="262" spans="2:33" x14ac:dyDescent="0.25">
      <c r="B262" s="251"/>
      <c r="C262" s="243"/>
      <c r="D262" s="24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F262" s="53"/>
      <c r="AG262" s="53"/>
    </row>
    <row r="263" spans="2:33" x14ac:dyDescent="0.25">
      <c r="B263" s="251"/>
      <c r="C263" s="243"/>
      <c r="D263" s="24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F263" s="53"/>
      <c r="AG263" s="53"/>
    </row>
    <row r="264" spans="2:33" x14ac:dyDescent="0.25">
      <c r="B264" s="251"/>
      <c r="C264" s="243"/>
      <c r="D264" s="24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F264" s="53"/>
      <c r="AG264" s="53"/>
    </row>
    <row r="265" spans="2:33" x14ac:dyDescent="0.25">
      <c r="B265" s="251"/>
      <c r="C265" s="243"/>
      <c r="D265" s="24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F265" s="53"/>
      <c r="AG265" s="53"/>
    </row>
    <row r="266" spans="2:33" x14ac:dyDescent="0.25">
      <c r="B266" s="251"/>
      <c r="C266" s="243"/>
      <c r="D266" s="24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F266" s="53"/>
      <c r="AG266" s="53"/>
    </row>
    <row r="267" spans="2:33" x14ac:dyDescent="0.25">
      <c r="B267" s="251"/>
      <c r="C267" s="243"/>
      <c r="D267" s="24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F267" s="53"/>
      <c r="AG267" s="53"/>
    </row>
    <row r="268" spans="2:33" x14ac:dyDescent="0.25">
      <c r="B268" s="251"/>
      <c r="C268" s="243"/>
      <c r="D268" s="24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F268" s="53"/>
      <c r="AG268" s="53"/>
    </row>
    <row r="269" spans="2:33" x14ac:dyDescent="0.25">
      <c r="B269" s="251"/>
      <c r="C269" s="243"/>
      <c r="D269" s="24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F269" s="53"/>
      <c r="AG269" s="53"/>
    </row>
    <row r="270" spans="2:33" x14ac:dyDescent="0.25">
      <c r="B270" s="251"/>
      <c r="C270" s="243"/>
      <c r="D270" s="24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F270" s="53"/>
      <c r="AG270" s="53"/>
    </row>
    <row r="271" spans="2:33" x14ac:dyDescent="0.25">
      <c r="B271" s="251"/>
      <c r="C271" s="243"/>
      <c r="D271" s="24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F271" s="53"/>
      <c r="AG271" s="53"/>
    </row>
    <row r="272" spans="2:33" x14ac:dyDescent="0.25">
      <c r="B272" s="251"/>
      <c r="C272" s="243"/>
      <c r="D272" s="24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F272" s="53"/>
      <c r="AG272" s="53"/>
    </row>
    <row r="273" spans="2:33" x14ac:dyDescent="0.25">
      <c r="B273" s="251"/>
      <c r="C273" s="243"/>
      <c r="D273" s="24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F273" s="53"/>
      <c r="AG273" s="53"/>
    </row>
    <row r="274" spans="2:33" x14ac:dyDescent="0.25">
      <c r="B274" s="251"/>
      <c r="C274" s="243"/>
      <c r="D274" s="24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F274" s="53"/>
      <c r="AG274" s="53"/>
    </row>
    <row r="275" spans="2:33" x14ac:dyDescent="0.25">
      <c r="B275" s="251"/>
      <c r="C275" s="243"/>
      <c r="D275" s="24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F275" s="53"/>
      <c r="AG275" s="53"/>
    </row>
    <row r="276" spans="2:33" x14ac:dyDescent="0.25">
      <c r="B276" s="251"/>
      <c r="C276" s="243"/>
      <c r="D276" s="24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F276" s="53"/>
      <c r="AG276" s="53"/>
    </row>
    <row r="277" spans="2:33" x14ac:dyDescent="0.25">
      <c r="B277" s="251"/>
      <c r="C277" s="243"/>
      <c r="D277" s="243"/>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F277" s="53"/>
      <c r="AG277" s="53"/>
    </row>
    <row r="278" spans="2:33" x14ac:dyDescent="0.25">
      <c r="B278" s="251"/>
      <c r="C278" s="243"/>
      <c r="D278" s="24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F278" s="53"/>
      <c r="AG278" s="53"/>
    </row>
    <row r="279" spans="2:33" x14ac:dyDescent="0.25">
      <c r="B279" s="251"/>
      <c r="C279" s="243"/>
      <c r="D279" s="24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F279" s="53"/>
      <c r="AG279" s="53"/>
    </row>
    <row r="280" spans="2:33" x14ac:dyDescent="0.25">
      <c r="B280" s="251"/>
      <c r="C280" s="243"/>
      <c r="D280" s="24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F280" s="53"/>
      <c r="AG280" s="53"/>
    </row>
    <row r="281" spans="2:33" x14ac:dyDescent="0.25">
      <c r="B281" s="251"/>
      <c r="C281" s="243"/>
      <c r="D281" s="24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F281" s="53"/>
      <c r="AG281" s="53"/>
    </row>
    <row r="282" spans="2:33" x14ac:dyDescent="0.25">
      <c r="B282" s="251"/>
      <c r="C282" s="243"/>
      <c r="D282" s="24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F282" s="53"/>
      <c r="AG282" s="53"/>
    </row>
    <row r="283" spans="2:33" x14ac:dyDescent="0.25">
      <c r="B283" s="251"/>
      <c r="C283" s="243"/>
      <c r="D283" s="24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F283" s="53"/>
      <c r="AG283" s="53"/>
    </row>
    <row r="284" spans="2:33" x14ac:dyDescent="0.25">
      <c r="B284" s="251"/>
      <c r="C284" s="243"/>
      <c r="D284" s="24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F284" s="53"/>
      <c r="AG284" s="53"/>
    </row>
    <row r="285" spans="2:33" x14ac:dyDescent="0.25">
      <c r="B285" s="251"/>
      <c r="C285" s="243"/>
      <c r="D285" s="24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F285" s="53"/>
      <c r="AG285" s="53"/>
    </row>
    <row r="286" spans="2:33" x14ac:dyDescent="0.25">
      <c r="B286" s="251"/>
      <c r="C286" s="243"/>
      <c r="D286" s="24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F286" s="53"/>
      <c r="AG286" s="53"/>
    </row>
    <row r="287" spans="2:33" x14ac:dyDescent="0.25">
      <c r="B287" s="251"/>
      <c r="C287" s="243"/>
      <c r="D287" s="24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F287" s="53"/>
      <c r="AG287" s="53"/>
    </row>
    <row r="288" spans="2:33" x14ac:dyDescent="0.25">
      <c r="B288" s="251"/>
      <c r="C288" s="243"/>
      <c r="D288" s="24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F288" s="53"/>
      <c r="AG288" s="53"/>
    </row>
    <row r="289" spans="2:33" x14ac:dyDescent="0.25">
      <c r="B289" s="251"/>
      <c r="C289" s="243"/>
      <c r="D289" s="24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F289" s="53"/>
      <c r="AG289" s="53"/>
    </row>
    <row r="290" spans="2:33" x14ac:dyDescent="0.25">
      <c r="B290" s="251"/>
      <c r="C290" s="243"/>
      <c r="D290" s="24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F290" s="53"/>
      <c r="AG290" s="53"/>
    </row>
    <row r="291" spans="2:33" x14ac:dyDescent="0.25">
      <c r="B291" s="251"/>
      <c r="C291" s="243"/>
      <c r="D291" s="24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F291" s="53"/>
      <c r="AG291" s="53"/>
    </row>
    <row r="292" spans="2:33" x14ac:dyDescent="0.25">
      <c r="B292" s="251"/>
      <c r="C292" s="243"/>
      <c r="D292" s="24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F292" s="53"/>
      <c r="AG292" s="53"/>
    </row>
    <row r="293" spans="2:33" x14ac:dyDescent="0.25">
      <c r="B293" s="251"/>
      <c r="C293" s="243"/>
      <c r="D293" s="24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F293" s="53"/>
      <c r="AG293" s="53"/>
    </row>
    <row r="294" spans="2:33" x14ac:dyDescent="0.25">
      <c r="B294" s="251"/>
      <c r="C294" s="243"/>
      <c r="D294" s="24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F294" s="53"/>
      <c r="AG294" s="53"/>
    </row>
    <row r="295" spans="2:33" x14ac:dyDescent="0.25">
      <c r="B295" s="251"/>
      <c r="C295" s="243"/>
      <c r="D295" s="24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F295" s="53"/>
      <c r="AG295" s="53"/>
    </row>
    <row r="296" spans="2:33" x14ac:dyDescent="0.25">
      <c r="B296" s="251"/>
      <c r="C296" s="243"/>
      <c r="D296" s="24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F296" s="53"/>
      <c r="AG296" s="53"/>
    </row>
    <row r="297" spans="2:33" x14ac:dyDescent="0.25">
      <c r="B297" s="251"/>
      <c r="C297" s="243"/>
      <c r="D297" s="24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F297" s="53"/>
      <c r="AG297" s="53"/>
    </row>
    <row r="298" spans="2:33" x14ac:dyDescent="0.25">
      <c r="B298" s="251"/>
      <c r="C298" s="243"/>
      <c r="D298" s="24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F298" s="53"/>
      <c r="AG298" s="53"/>
    </row>
    <row r="299" spans="2:33" x14ac:dyDescent="0.25">
      <c r="B299" s="251"/>
      <c r="C299" s="243"/>
      <c r="D299" s="24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F299" s="53"/>
      <c r="AG299" s="53"/>
    </row>
    <row r="300" spans="2:33" x14ac:dyDescent="0.25">
      <c r="B300" s="251"/>
      <c r="C300" s="243"/>
      <c r="D300" s="24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F300" s="53"/>
      <c r="AG300" s="53"/>
    </row>
    <row r="301" spans="2:33" x14ac:dyDescent="0.25">
      <c r="B301" s="251"/>
      <c r="C301" s="243"/>
      <c r="D301" s="24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F301" s="53"/>
      <c r="AG301" s="53"/>
    </row>
    <row r="302" spans="2:33" x14ac:dyDescent="0.25">
      <c r="B302" s="251"/>
      <c r="C302" s="243"/>
      <c r="D302" s="24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F302" s="53"/>
      <c r="AG302" s="53"/>
    </row>
    <row r="303" spans="2:33" x14ac:dyDescent="0.25">
      <c r="B303" s="251"/>
      <c r="C303" s="243"/>
      <c r="D303" s="24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F303" s="53"/>
      <c r="AG303" s="53"/>
    </row>
    <row r="304" spans="2:33" x14ac:dyDescent="0.25">
      <c r="B304" s="251"/>
      <c r="C304" s="243"/>
      <c r="D304" s="24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F304" s="53"/>
      <c r="AG304" s="53"/>
    </row>
    <row r="305" spans="2:33" x14ac:dyDescent="0.25">
      <c r="B305" s="251"/>
      <c r="C305" s="243"/>
      <c r="D305" s="24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F305" s="53"/>
      <c r="AG305" s="53"/>
    </row>
    <row r="306" spans="2:33" x14ac:dyDescent="0.25">
      <c r="B306" s="251"/>
      <c r="C306" s="243"/>
      <c r="D306" s="24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F306" s="53"/>
      <c r="AG306" s="53"/>
    </row>
    <row r="307" spans="2:33" x14ac:dyDescent="0.25">
      <c r="B307" s="251"/>
      <c r="C307" s="243"/>
      <c r="D307" s="24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F307" s="53"/>
      <c r="AG307" s="53"/>
    </row>
    <row r="308" spans="2:33" x14ac:dyDescent="0.25">
      <c r="B308" s="251"/>
      <c r="C308" s="243"/>
      <c r="D308" s="24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F308" s="53"/>
      <c r="AG308" s="53"/>
    </row>
    <row r="309" spans="2:33" x14ac:dyDescent="0.25">
      <c r="B309" s="251"/>
      <c r="C309" s="243"/>
      <c r="D309" s="24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F309" s="53"/>
      <c r="AG309" s="53"/>
    </row>
    <row r="310" spans="2:33" x14ac:dyDescent="0.25">
      <c r="B310" s="251"/>
      <c r="C310" s="243"/>
      <c r="D310" s="24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F310" s="53"/>
      <c r="AG310" s="53"/>
    </row>
    <row r="311" spans="2:33" x14ac:dyDescent="0.25">
      <c r="B311" s="251"/>
      <c r="C311" s="243"/>
      <c r="D311" s="24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F311" s="53"/>
      <c r="AG311" s="53"/>
    </row>
    <row r="312" spans="2:33" x14ac:dyDescent="0.25">
      <c r="B312" s="251"/>
      <c r="C312" s="243"/>
      <c r="D312" s="24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F312" s="53"/>
      <c r="AG312" s="53"/>
    </row>
    <row r="313" spans="2:33" x14ac:dyDescent="0.25">
      <c r="B313" s="251"/>
      <c r="C313" s="243"/>
      <c r="D313" s="24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F313" s="53"/>
      <c r="AG313" s="53"/>
    </row>
    <row r="314" spans="2:33" x14ac:dyDescent="0.25">
      <c r="B314" s="251"/>
      <c r="C314" s="243"/>
      <c r="D314" s="24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F314" s="53"/>
      <c r="AG314" s="53"/>
    </row>
    <row r="315" spans="2:33" x14ac:dyDescent="0.25">
      <c r="B315" s="251"/>
      <c r="C315" s="243"/>
      <c r="D315" s="24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F315" s="53"/>
      <c r="AG315" s="53"/>
    </row>
    <row r="316" spans="2:33" x14ac:dyDescent="0.25">
      <c r="B316" s="251"/>
      <c r="C316" s="243"/>
      <c r="D316" s="24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F316" s="53"/>
      <c r="AG316" s="53"/>
    </row>
    <row r="317" spans="2:33" x14ac:dyDescent="0.25">
      <c r="B317" s="251"/>
      <c r="C317" s="243"/>
      <c r="D317" s="24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F317" s="53"/>
      <c r="AG317" s="53"/>
    </row>
    <row r="318" spans="2:33" x14ac:dyDescent="0.25">
      <c r="B318" s="251"/>
      <c r="C318" s="243"/>
      <c r="D318" s="24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F318" s="53"/>
      <c r="AG318" s="53"/>
    </row>
    <row r="319" spans="2:33" x14ac:dyDescent="0.25">
      <c r="B319" s="251"/>
      <c r="C319" s="243"/>
      <c r="D319" s="24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F319" s="53"/>
      <c r="AG319" s="53"/>
    </row>
    <row r="320" spans="2:33" x14ac:dyDescent="0.25">
      <c r="B320" s="251"/>
      <c r="C320" s="243"/>
      <c r="D320" s="24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F320" s="53"/>
      <c r="AG320" s="53"/>
    </row>
    <row r="321" spans="2:33" x14ac:dyDescent="0.25">
      <c r="B321" s="251"/>
      <c r="C321" s="243"/>
      <c r="D321" s="24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F321" s="53"/>
      <c r="AG321" s="53"/>
    </row>
    <row r="322" spans="2:33" x14ac:dyDescent="0.25">
      <c r="B322" s="251"/>
      <c r="C322" s="243"/>
      <c r="D322" s="24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F322" s="53"/>
      <c r="AG322" s="53"/>
    </row>
    <row r="323" spans="2:33" x14ac:dyDescent="0.25">
      <c r="B323" s="251"/>
      <c r="C323" s="243"/>
      <c r="D323" s="24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F323" s="53"/>
      <c r="AG323" s="53"/>
    </row>
    <row r="324" spans="2:33" x14ac:dyDescent="0.25">
      <c r="B324" s="251"/>
      <c r="C324" s="243"/>
      <c r="D324" s="24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F324" s="53"/>
      <c r="AG324" s="53"/>
    </row>
    <row r="325" spans="2:33" x14ac:dyDescent="0.25">
      <c r="B325" s="251"/>
      <c r="C325" s="243"/>
      <c r="D325" s="24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F325" s="53"/>
      <c r="AG325" s="53"/>
    </row>
    <row r="326" spans="2:33" x14ac:dyDescent="0.25">
      <c r="B326" s="251"/>
      <c r="C326" s="243"/>
      <c r="D326" s="24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F326" s="53"/>
      <c r="AG326" s="53"/>
    </row>
    <row r="327" spans="2:33" x14ac:dyDescent="0.25">
      <c r="B327" s="251"/>
      <c r="C327" s="243"/>
      <c r="D327" s="24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F327" s="53"/>
      <c r="AG327" s="53"/>
    </row>
    <row r="328" spans="2:33" x14ac:dyDescent="0.25">
      <c r="B328" s="251"/>
      <c r="C328" s="243"/>
      <c r="D328" s="24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F328" s="53"/>
      <c r="AG328" s="53"/>
    </row>
    <row r="329" spans="2:33" x14ac:dyDescent="0.25">
      <c r="B329" s="251"/>
      <c r="C329" s="243"/>
      <c r="D329" s="24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F329" s="53"/>
      <c r="AG329" s="53"/>
    </row>
    <row r="330" spans="2:33" x14ac:dyDescent="0.25">
      <c r="B330" s="251"/>
      <c r="C330" s="243"/>
      <c r="D330" s="24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F330" s="53"/>
      <c r="AG330" s="53"/>
    </row>
    <row r="331" spans="2:33" x14ac:dyDescent="0.25">
      <c r="B331" s="251"/>
      <c r="C331" s="243"/>
      <c r="D331" s="24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F331" s="53"/>
      <c r="AG331" s="53"/>
    </row>
    <row r="332" spans="2:33" x14ac:dyDescent="0.25">
      <c r="B332" s="251"/>
      <c r="C332" s="243"/>
      <c r="D332" s="24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F332" s="53"/>
      <c r="AG332" s="53"/>
    </row>
    <row r="333" spans="2:33" x14ac:dyDescent="0.25">
      <c r="B333" s="251"/>
      <c r="C333" s="243"/>
      <c r="D333" s="24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F333" s="53"/>
      <c r="AG333" s="53"/>
    </row>
    <row r="334" spans="2:33" x14ac:dyDescent="0.25">
      <c r="B334" s="251"/>
      <c r="C334" s="243"/>
      <c r="D334" s="24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F334" s="53"/>
      <c r="AG334" s="53"/>
    </row>
    <row r="335" spans="2:33" x14ac:dyDescent="0.25">
      <c r="B335" s="251"/>
      <c r="C335" s="243"/>
      <c r="D335" s="24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F335" s="53"/>
      <c r="AG335" s="53"/>
    </row>
    <row r="336" spans="2:33" x14ac:dyDescent="0.25">
      <c r="B336" s="251"/>
      <c r="C336" s="243"/>
      <c r="D336" s="24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F336" s="53"/>
      <c r="AG336" s="53"/>
    </row>
    <row r="337" spans="2:33" x14ac:dyDescent="0.25">
      <c r="B337" s="251"/>
      <c r="C337" s="243"/>
      <c r="D337" s="24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F337" s="53"/>
      <c r="AG337" s="53"/>
    </row>
    <row r="338" spans="2:33" x14ac:dyDescent="0.25">
      <c r="B338" s="251"/>
      <c r="C338" s="243"/>
      <c r="D338" s="24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F338" s="53"/>
      <c r="AG338" s="53"/>
    </row>
    <row r="339" spans="2:33" x14ac:dyDescent="0.25">
      <c r="B339" s="251"/>
      <c r="C339" s="243"/>
      <c r="D339" s="24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F339" s="53"/>
      <c r="AG339" s="53"/>
    </row>
    <row r="340" spans="2:33" x14ac:dyDescent="0.25">
      <c r="B340" s="251"/>
      <c r="C340" s="243"/>
      <c r="D340" s="24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F340" s="53"/>
      <c r="AG340" s="53"/>
    </row>
    <row r="341" spans="2:33" x14ac:dyDescent="0.25">
      <c r="B341" s="251"/>
      <c r="C341" s="243"/>
      <c r="D341" s="24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F341" s="53"/>
      <c r="AG341" s="53"/>
    </row>
    <row r="342" spans="2:33" x14ac:dyDescent="0.25">
      <c r="B342" s="251"/>
      <c r="C342" s="243"/>
      <c r="D342" s="24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F342" s="53"/>
      <c r="AG342" s="53"/>
    </row>
    <row r="343" spans="2:33" x14ac:dyDescent="0.25">
      <c r="B343" s="251"/>
      <c r="C343" s="243"/>
      <c r="D343" s="24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F343" s="53"/>
      <c r="AG343" s="53"/>
    </row>
    <row r="344" spans="2:33" x14ac:dyDescent="0.25">
      <c r="B344" s="251"/>
      <c r="C344" s="243"/>
      <c r="D344" s="24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F344" s="53"/>
      <c r="AG344" s="53"/>
    </row>
    <row r="345" spans="2:33" x14ac:dyDescent="0.25">
      <c r="B345" s="251"/>
      <c r="C345" s="243"/>
      <c r="D345" s="24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F345" s="53"/>
      <c r="AG345" s="53"/>
    </row>
    <row r="346" spans="2:33" x14ac:dyDescent="0.25">
      <c r="B346" s="251"/>
      <c r="C346" s="243"/>
      <c r="D346" s="24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F346" s="53"/>
      <c r="AG346" s="53"/>
    </row>
    <row r="347" spans="2:33" x14ac:dyDescent="0.25">
      <c r="B347" s="251"/>
      <c r="C347" s="243"/>
      <c r="D347" s="243"/>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F347" s="53"/>
      <c r="AG347" s="53"/>
    </row>
    <row r="348" spans="2:33" x14ac:dyDescent="0.25">
      <c r="B348" s="251"/>
      <c r="C348" s="243"/>
      <c r="D348" s="243"/>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F348" s="53"/>
      <c r="AG348" s="53"/>
    </row>
    <row r="349" spans="2:33" x14ac:dyDescent="0.25">
      <c r="B349" s="251"/>
      <c r="C349" s="243"/>
      <c r="D349" s="243"/>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F349" s="53"/>
      <c r="AG349" s="53"/>
    </row>
    <row r="350" spans="2:33" x14ac:dyDescent="0.25">
      <c r="B350" s="251"/>
      <c r="C350" s="243"/>
      <c r="D350" s="243"/>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F350" s="53"/>
      <c r="AG350" s="53"/>
    </row>
    <row r="351" spans="2:33" x14ac:dyDescent="0.25">
      <c r="B351" s="251"/>
      <c r="C351" s="243"/>
      <c r="D351" s="243"/>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F351" s="53"/>
      <c r="AG351" s="53"/>
    </row>
    <row r="352" spans="2:33" x14ac:dyDescent="0.25">
      <c r="B352" s="251"/>
      <c r="C352" s="243"/>
      <c r="D352" s="243"/>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F352" s="53"/>
      <c r="AG352" s="53"/>
    </row>
    <row r="353" spans="2:33" x14ac:dyDescent="0.25">
      <c r="B353" s="251"/>
      <c r="C353" s="243"/>
      <c r="D353" s="24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F353" s="53"/>
      <c r="AG353" s="53"/>
    </row>
    <row r="354" spans="2:33" x14ac:dyDescent="0.25">
      <c r="B354" s="251"/>
      <c r="C354" s="243"/>
      <c r="D354" s="243"/>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F354" s="53"/>
      <c r="AG354" s="53"/>
    </row>
    <row r="355" spans="2:33" x14ac:dyDescent="0.25">
      <c r="B355" s="251"/>
      <c r="C355" s="243"/>
      <c r="D355" s="243"/>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F355" s="53"/>
      <c r="AG355" s="53"/>
    </row>
    <row r="356" spans="2:33" x14ac:dyDescent="0.25">
      <c r="B356" s="251"/>
      <c r="C356" s="243"/>
      <c r="D356" s="24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F356" s="53"/>
      <c r="AG356" s="53"/>
    </row>
    <row r="357" spans="2:33" x14ac:dyDescent="0.25">
      <c r="B357" s="251"/>
      <c r="C357" s="243"/>
      <c r="D357" s="24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F357" s="53"/>
      <c r="AG357" s="53"/>
    </row>
    <row r="358" spans="2:33" x14ac:dyDescent="0.25">
      <c r="B358" s="251"/>
      <c r="C358" s="243"/>
      <c r="D358" s="24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F358" s="53"/>
      <c r="AG358" s="53"/>
    </row>
    <row r="359" spans="2:33" x14ac:dyDescent="0.25">
      <c r="B359" s="251"/>
      <c r="C359" s="243"/>
      <c r="D359" s="24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F359" s="53"/>
      <c r="AG359" s="53"/>
    </row>
    <row r="360" spans="2:33" x14ac:dyDescent="0.25">
      <c r="B360" s="251"/>
      <c r="C360" s="243"/>
      <c r="D360" s="24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F360" s="53"/>
      <c r="AG360" s="53"/>
    </row>
    <row r="361" spans="2:33" x14ac:dyDescent="0.25">
      <c r="B361" s="251"/>
      <c r="C361" s="243"/>
      <c r="D361" s="24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F361" s="53"/>
      <c r="AG361" s="53"/>
    </row>
    <row r="362" spans="2:33" x14ac:dyDescent="0.25">
      <c r="B362" s="251"/>
      <c r="C362" s="243"/>
      <c r="D362" s="24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F362" s="53"/>
      <c r="AG362" s="53"/>
    </row>
    <row r="363" spans="2:33" x14ac:dyDescent="0.25">
      <c r="B363" s="251"/>
      <c r="C363" s="243"/>
      <c r="D363" s="243"/>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F363" s="53"/>
      <c r="AG363" s="53"/>
    </row>
    <row r="364" spans="2:33" x14ac:dyDescent="0.25">
      <c r="B364" s="251"/>
      <c r="C364" s="243"/>
      <c r="D364" s="243"/>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F364" s="53"/>
      <c r="AG364" s="53"/>
    </row>
    <row r="365" spans="2:33" x14ac:dyDescent="0.25">
      <c r="B365" s="251"/>
      <c r="C365" s="243"/>
      <c r="D365" s="243"/>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F365" s="53"/>
      <c r="AG365" s="53"/>
    </row>
    <row r="366" spans="2:33" x14ac:dyDescent="0.25">
      <c r="B366" s="251"/>
      <c r="C366" s="243"/>
      <c r="D366" s="243"/>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F366" s="53"/>
      <c r="AG366" s="53"/>
    </row>
    <row r="367" spans="2:33" x14ac:dyDescent="0.25">
      <c r="B367" s="251"/>
      <c r="C367" s="243"/>
      <c r="D367" s="243"/>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F367" s="53"/>
      <c r="AG367" s="53"/>
    </row>
    <row r="368" spans="2:33" x14ac:dyDescent="0.25">
      <c r="B368" s="251"/>
      <c r="C368" s="243"/>
      <c r="D368" s="24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F368" s="53"/>
      <c r="AG368" s="53"/>
    </row>
    <row r="369" spans="2:33" x14ac:dyDescent="0.25">
      <c r="B369" s="251"/>
      <c r="C369" s="243"/>
      <c r="D369" s="243"/>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F369" s="53"/>
      <c r="AG369" s="53"/>
    </row>
    <row r="370" spans="2:33" x14ac:dyDescent="0.25">
      <c r="B370" s="251"/>
      <c r="C370" s="243"/>
      <c r="D370" s="243"/>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F370" s="53"/>
      <c r="AG370" s="53"/>
    </row>
    <row r="371" spans="2:33" x14ac:dyDescent="0.25">
      <c r="B371" s="251"/>
      <c r="C371" s="243"/>
      <c r="D371" s="243"/>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F371" s="53"/>
      <c r="AG371" s="53"/>
    </row>
    <row r="372" spans="2:33" x14ac:dyDescent="0.25">
      <c r="B372" s="251"/>
      <c r="C372" s="243"/>
      <c r="D372" s="243"/>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F372" s="53"/>
      <c r="AG372" s="53"/>
    </row>
    <row r="373" spans="2:33" x14ac:dyDescent="0.25">
      <c r="B373" s="251"/>
      <c r="C373" s="243"/>
      <c r="D373" s="243"/>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F373" s="53"/>
      <c r="AG373" s="53"/>
    </row>
    <row r="374" spans="2:33" x14ac:dyDescent="0.25">
      <c r="B374" s="251"/>
      <c r="C374" s="243"/>
      <c r="D374" s="243"/>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F374" s="53"/>
      <c r="AG374" s="53"/>
    </row>
    <row r="375" spans="2:33" x14ac:dyDescent="0.25">
      <c r="B375" s="251"/>
      <c r="C375" s="243"/>
      <c r="D375" s="24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F375" s="53"/>
      <c r="AG375" s="53"/>
    </row>
    <row r="376" spans="2:33" x14ac:dyDescent="0.25">
      <c r="B376" s="251"/>
      <c r="C376" s="243"/>
      <c r="D376" s="24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F376" s="53"/>
      <c r="AG376" s="53"/>
    </row>
    <row r="377" spans="2:33" x14ac:dyDescent="0.25">
      <c r="B377" s="251"/>
      <c r="C377" s="243"/>
      <c r="D377" s="24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F377" s="53"/>
      <c r="AG377" s="53"/>
    </row>
    <row r="378" spans="2:33" x14ac:dyDescent="0.25">
      <c r="B378" s="251"/>
      <c r="C378" s="243"/>
      <c r="D378" s="24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F378" s="53"/>
      <c r="AG378" s="53"/>
    </row>
    <row r="379" spans="2:33" x14ac:dyDescent="0.25">
      <c r="B379" s="251"/>
      <c r="C379" s="243"/>
      <c r="D379" s="24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F379" s="53"/>
      <c r="AG379" s="53"/>
    </row>
    <row r="380" spans="2:33" x14ac:dyDescent="0.25">
      <c r="B380" s="251"/>
      <c r="C380" s="243"/>
      <c r="D380" s="24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F380" s="53"/>
      <c r="AG380" s="53"/>
    </row>
    <row r="381" spans="2:33" x14ac:dyDescent="0.25">
      <c r="B381" s="251"/>
      <c r="C381" s="243"/>
      <c r="D381" s="24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F381" s="53"/>
      <c r="AG381" s="53"/>
    </row>
    <row r="382" spans="2:33" x14ac:dyDescent="0.25">
      <c r="B382" s="251"/>
      <c r="C382" s="243"/>
      <c r="D382" s="24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F382" s="53"/>
      <c r="AG382" s="53"/>
    </row>
    <row r="383" spans="2:33" x14ac:dyDescent="0.25">
      <c r="B383" s="251"/>
      <c r="C383" s="243"/>
      <c r="D383" s="24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F383" s="53"/>
      <c r="AG383" s="53"/>
    </row>
    <row r="384" spans="2:33" x14ac:dyDescent="0.25">
      <c r="B384" s="251"/>
      <c r="C384" s="243"/>
      <c r="D384" s="243"/>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F384" s="53"/>
      <c r="AG384" s="53"/>
    </row>
    <row r="385" spans="2:33" x14ac:dyDescent="0.25">
      <c r="B385" s="251"/>
      <c r="C385" s="243"/>
      <c r="D385" s="243"/>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F385" s="53"/>
      <c r="AG385" s="53"/>
    </row>
    <row r="386" spans="2:33" x14ac:dyDescent="0.25">
      <c r="B386" s="251"/>
      <c r="C386" s="243"/>
      <c r="D386" s="243"/>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F386" s="53"/>
      <c r="AG386" s="53"/>
    </row>
    <row r="387" spans="2:33" x14ac:dyDescent="0.25">
      <c r="B387" s="251"/>
      <c r="C387" s="243"/>
      <c r="D387" s="243"/>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F387" s="53"/>
      <c r="AG387" s="53"/>
    </row>
    <row r="388" spans="2:33" x14ac:dyDescent="0.25">
      <c r="B388" s="251"/>
      <c r="C388" s="243"/>
      <c r="D388" s="243"/>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F388" s="53"/>
      <c r="AG388" s="53"/>
    </row>
    <row r="389" spans="2:33" x14ac:dyDescent="0.25">
      <c r="B389" s="251"/>
      <c r="C389" s="243"/>
      <c r="D389" s="24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F389" s="53"/>
      <c r="AG389" s="53"/>
    </row>
    <row r="390" spans="2:33" x14ac:dyDescent="0.25">
      <c r="B390" s="251"/>
      <c r="C390" s="243"/>
      <c r="D390" s="24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F390" s="53"/>
      <c r="AG390" s="53"/>
    </row>
    <row r="391" spans="2:33" x14ac:dyDescent="0.25">
      <c r="B391" s="251"/>
      <c r="C391" s="243"/>
      <c r="D391" s="24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F391" s="53"/>
      <c r="AG391" s="53"/>
    </row>
    <row r="392" spans="2:33" x14ac:dyDescent="0.25">
      <c r="B392" s="251"/>
      <c r="C392" s="243"/>
      <c r="D392" s="24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F392" s="53"/>
      <c r="AG392" s="53"/>
    </row>
    <row r="393" spans="2:33" x14ac:dyDescent="0.25">
      <c r="B393" s="251"/>
      <c r="C393" s="243"/>
      <c r="D393" s="24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F393" s="53"/>
      <c r="AG393" s="53"/>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4647-AE4D-4370-A402-52417685BC2D}">
  <dimension ref="A1:F43"/>
  <sheetViews>
    <sheetView zoomScaleNormal="100" workbookViewId="0">
      <selection activeCell="F4" sqref="F4"/>
    </sheetView>
  </sheetViews>
  <sheetFormatPr defaultRowHeight="15" x14ac:dyDescent="0.25"/>
  <cols>
    <col min="2" max="2" width="23.28515625" customWidth="1"/>
    <col min="3" max="3" width="11.5703125" bestFit="1" customWidth="1"/>
    <col min="4" max="4" width="17.7109375" bestFit="1" customWidth="1"/>
    <col min="6" max="6" width="17.7109375" bestFit="1" customWidth="1"/>
  </cols>
  <sheetData>
    <row r="1" spans="1:6" x14ac:dyDescent="0.25">
      <c r="A1" s="2" t="str">
        <f>+'[2]Supply Contracts'!A1</f>
        <v>NW Natural</v>
      </c>
      <c r="B1" s="2"/>
      <c r="C1" s="2"/>
      <c r="D1" s="2"/>
      <c r="E1" s="2"/>
      <c r="F1" s="296" t="str">
        <f>IF(F43&lt;&gt;0,"Run goal seek","")</f>
        <v/>
      </c>
    </row>
    <row r="2" spans="1:6" x14ac:dyDescent="0.25">
      <c r="A2" s="2" t="str">
        <f>+'[2]Total Commodity Summary'!A2</f>
        <v>2022-2023 PGA - SYSTEM: September Filing</v>
      </c>
      <c r="B2" s="2"/>
      <c r="C2" s="2"/>
      <c r="D2" s="2"/>
      <c r="E2" s="2"/>
      <c r="F2" s="2"/>
    </row>
    <row r="3" spans="1:6" x14ac:dyDescent="0.25">
      <c r="A3" s="3" t="s">
        <v>254</v>
      </c>
      <c r="B3" s="2"/>
      <c r="C3" s="2"/>
      <c r="D3" s="2"/>
      <c r="E3" s="2"/>
      <c r="F3" s="2"/>
    </row>
    <row r="4" spans="1:6" x14ac:dyDescent="0.25">
      <c r="A4" s="221" t="s">
        <v>189</v>
      </c>
      <c r="B4" s="2"/>
      <c r="C4" s="2"/>
      <c r="D4" s="2"/>
      <c r="E4" s="2"/>
      <c r="F4" s="2"/>
    </row>
    <row r="5" spans="1:6" x14ac:dyDescent="0.25">
      <c r="A5" s="2"/>
      <c r="B5" s="2"/>
      <c r="C5" s="2"/>
      <c r="D5" s="2"/>
      <c r="E5" s="2"/>
      <c r="F5" s="2"/>
    </row>
    <row r="6" spans="1:6" x14ac:dyDescent="0.25">
      <c r="A6" s="1" t="s">
        <v>255</v>
      </c>
      <c r="B6" s="2"/>
      <c r="C6" s="2"/>
      <c r="D6" s="2"/>
      <c r="E6" s="2"/>
      <c r="F6" s="2"/>
    </row>
    <row r="7" spans="1:6" x14ac:dyDescent="0.25">
      <c r="A7" s="2"/>
      <c r="B7" s="2"/>
      <c r="C7" s="2"/>
      <c r="D7" s="2"/>
      <c r="E7" s="2"/>
      <c r="F7" s="2"/>
    </row>
    <row r="8" spans="1:6" x14ac:dyDescent="0.25">
      <c r="A8" s="1"/>
      <c r="B8" s="2"/>
      <c r="C8" s="2"/>
      <c r="D8" s="2"/>
      <c r="E8" s="2"/>
      <c r="F8" s="2"/>
    </row>
    <row r="9" spans="1:6" x14ac:dyDescent="0.25">
      <c r="A9" s="5">
        <v>1</v>
      </c>
      <c r="B9" s="2"/>
      <c r="C9" s="2"/>
      <c r="D9" s="5" t="s">
        <v>256</v>
      </c>
      <c r="E9" s="5"/>
      <c r="F9" s="5" t="s">
        <v>257</v>
      </c>
    </row>
    <row r="10" spans="1:6" x14ac:dyDescent="0.25">
      <c r="A10" s="5">
        <v>2</v>
      </c>
      <c r="B10" s="2"/>
      <c r="C10" s="2"/>
      <c r="D10" s="5" t="s">
        <v>258</v>
      </c>
      <c r="E10" s="5"/>
      <c r="F10" s="5" t="s">
        <v>258</v>
      </c>
    </row>
    <row r="11" spans="1:6" x14ac:dyDescent="0.25">
      <c r="A11" s="5">
        <v>3</v>
      </c>
      <c r="B11" s="223" t="s">
        <v>159</v>
      </c>
      <c r="C11" s="223" t="s">
        <v>160</v>
      </c>
      <c r="D11" s="223" t="s">
        <v>161</v>
      </c>
      <c r="E11" s="223"/>
      <c r="F11" s="223" t="s">
        <v>162</v>
      </c>
    </row>
    <row r="12" spans="1:6" x14ac:dyDescent="0.25">
      <c r="A12" s="5">
        <v>4</v>
      </c>
      <c r="B12" s="2" t="s">
        <v>259</v>
      </c>
      <c r="C12" s="2"/>
      <c r="D12" s="219">
        <f>'[2]Demand Charges'!P30</f>
        <v>64503333.25688</v>
      </c>
      <c r="E12" s="2"/>
      <c r="F12" s="2"/>
    </row>
    <row r="13" spans="1:6" x14ac:dyDescent="0.25">
      <c r="A13" s="5">
        <v>5</v>
      </c>
      <c r="B13" s="2" t="s">
        <v>260</v>
      </c>
      <c r="C13" s="2"/>
      <c r="D13" s="297">
        <f>C34</f>
        <v>0.11310000000000001</v>
      </c>
      <c r="E13" s="2"/>
      <c r="F13" s="2"/>
    </row>
    <row r="14" spans="1:6" x14ac:dyDescent="0.25">
      <c r="A14" s="5">
        <v>6</v>
      </c>
      <c r="B14" s="2" t="s">
        <v>261</v>
      </c>
      <c r="C14" s="2"/>
      <c r="D14" s="219">
        <f>ROUND(D12*D13,0)</f>
        <v>7295327</v>
      </c>
      <c r="E14" s="2"/>
      <c r="F14" s="2"/>
    </row>
    <row r="15" spans="1:6" x14ac:dyDescent="0.25">
      <c r="A15" s="5">
        <v>7</v>
      </c>
      <c r="B15" s="2"/>
      <c r="C15" s="2"/>
      <c r="D15" s="2"/>
      <c r="E15" s="2"/>
      <c r="F15" s="2"/>
    </row>
    <row r="16" spans="1:6" x14ac:dyDescent="0.25">
      <c r="A16" s="5">
        <v>8</v>
      </c>
      <c r="B16" s="2" t="s">
        <v>262</v>
      </c>
      <c r="C16" s="2"/>
      <c r="D16" s="53">
        <f>+'[2]General Inputs'!E68</f>
        <v>87302513.64957346</v>
      </c>
      <c r="E16" s="2"/>
      <c r="F16" s="2"/>
    </row>
    <row r="17" spans="1:6" x14ac:dyDescent="0.25">
      <c r="A17" s="5">
        <v>9</v>
      </c>
      <c r="B17" s="2" t="s">
        <v>263</v>
      </c>
      <c r="C17" s="2"/>
      <c r="D17" s="53">
        <f>+'[2]General Inputs'!E69</f>
        <v>1168374</v>
      </c>
      <c r="E17" s="2"/>
      <c r="F17" s="2"/>
    </row>
    <row r="18" spans="1:6" x14ac:dyDescent="0.25">
      <c r="A18" s="5">
        <v>10</v>
      </c>
      <c r="B18" s="2"/>
      <c r="C18" s="2"/>
      <c r="D18" s="2"/>
      <c r="E18" s="2"/>
      <c r="F18" s="2"/>
    </row>
    <row r="19" spans="1:6" x14ac:dyDescent="0.25">
      <c r="A19" s="5">
        <v>11</v>
      </c>
      <c r="B19" s="2"/>
      <c r="C19" s="2"/>
      <c r="D19" s="2"/>
      <c r="E19" s="2"/>
      <c r="F19" s="2"/>
    </row>
    <row r="20" spans="1:6" x14ac:dyDescent="0.25">
      <c r="A20" s="5">
        <v>12</v>
      </c>
      <c r="B20" s="2" t="s">
        <v>264</v>
      </c>
      <c r="C20" s="2"/>
      <c r="D20" s="85">
        <f>ROUND(F40/D16,5)</f>
        <v>8.3169999999999994E-2</v>
      </c>
      <c r="E20" s="2"/>
      <c r="F20" s="85">
        <f>ROUND(D20/(1-wa_revsens),5)</f>
        <v>8.6959999999999996E-2</v>
      </c>
    </row>
    <row r="21" spans="1:6" x14ac:dyDescent="0.25">
      <c r="A21" s="5">
        <v>13</v>
      </c>
      <c r="B21" s="2" t="s">
        <v>265</v>
      </c>
      <c r="C21" s="2"/>
      <c r="D21" s="85">
        <f>ROUND(F41/D17,5)</f>
        <v>2.9059999999999999E-2</v>
      </c>
      <c r="E21" s="2"/>
      <c r="F21" s="85">
        <f>ROUND(D21/(1-wa_revsens),5)</f>
        <v>3.0380000000000001E-2</v>
      </c>
    </row>
    <row r="22" spans="1:6" x14ac:dyDescent="0.25">
      <c r="A22" s="5">
        <v>14</v>
      </c>
      <c r="B22" s="2" t="s">
        <v>266</v>
      </c>
      <c r="C22" s="2"/>
      <c r="D22" s="91">
        <f>ROUND(D26*(1+D28),2)</f>
        <v>1.24</v>
      </c>
      <c r="E22" s="2"/>
      <c r="F22" s="91">
        <f>ROUND(D22/(1-wa_revsens),2)</f>
        <v>1.3</v>
      </c>
    </row>
    <row r="23" spans="1:6" x14ac:dyDescent="0.25">
      <c r="A23" s="5">
        <v>15</v>
      </c>
      <c r="B23" s="2"/>
      <c r="C23" s="2"/>
      <c r="D23" s="2"/>
      <c r="E23" s="2"/>
      <c r="F23" s="2"/>
    </row>
    <row r="24" spans="1:6" x14ac:dyDescent="0.25">
      <c r="A24" s="5">
        <v>16</v>
      </c>
      <c r="B24" s="2" t="s">
        <v>267</v>
      </c>
      <c r="C24" s="2"/>
      <c r="D24" s="85">
        <f>+'[2]General Inputs'!D77</f>
        <v>0.10245</v>
      </c>
      <c r="E24" s="2"/>
      <c r="F24" s="85">
        <f>+'[2]General Inputs'!E77</f>
        <v>0.10689</v>
      </c>
    </row>
    <row r="25" spans="1:6" x14ac:dyDescent="0.25">
      <c r="A25" s="5">
        <v>17</v>
      </c>
      <c r="B25" s="2" t="s">
        <v>268</v>
      </c>
      <c r="C25" s="2"/>
      <c r="D25" s="85">
        <f>+'[2]General Inputs'!D78</f>
        <v>3.5790000000000002E-2</v>
      </c>
      <c r="E25" s="2"/>
      <c r="F25" s="85">
        <f>+'[2]General Inputs'!E78</f>
        <v>3.7339999999999998E-2</v>
      </c>
    </row>
    <row r="26" spans="1:6" x14ac:dyDescent="0.25">
      <c r="A26" s="5">
        <v>18</v>
      </c>
      <c r="B26" s="2" t="s">
        <v>269</v>
      </c>
      <c r="C26" s="2"/>
      <c r="D26" s="91">
        <f>+'[2]General Inputs'!D79</f>
        <v>1.53</v>
      </c>
      <c r="E26" s="91"/>
      <c r="F26" s="91">
        <f>+'[2]General Inputs'!E79</f>
        <v>1.6</v>
      </c>
    </row>
    <row r="27" spans="1:6" x14ac:dyDescent="0.25">
      <c r="A27" s="5">
        <v>19</v>
      </c>
      <c r="B27" s="2"/>
      <c r="C27" s="2"/>
      <c r="D27" s="2"/>
      <c r="E27" s="2"/>
      <c r="F27" s="2"/>
    </row>
    <row r="28" spans="1:6" x14ac:dyDescent="0.25">
      <c r="A28" s="5">
        <v>20</v>
      </c>
      <c r="B28" s="2" t="s">
        <v>270</v>
      </c>
      <c r="C28" s="2"/>
      <c r="D28" s="298">
        <f>ROUND((D20-D24)/D24,4)</f>
        <v>-0.18820000000000001</v>
      </c>
      <c r="E28" s="2"/>
      <c r="F28" s="299"/>
    </row>
    <row r="29" spans="1:6" x14ac:dyDescent="0.25">
      <c r="A29" s="5">
        <v>21</v>
      </c>
      <c r="B29" s="2"/>
      <c r="C29" s="2"/>
      <c r="D29" s="2"/>
      <c r="E29" s="2"/>
      <c r="F29" s="2"/>
    </row>
    <row r="30" spans="1:6" x14ac:dyDescent="0.25">
      <c r="A30" s="5">
        <v>22</v>
      </c>
      <c r="B30" s="2"/>
      <c r="C30" s="2"/>
      <c r="D30" s="2"/>
      <c r="E30" s="2"/>
      <c r="F30" s="2"/>
    </row>
    <row r="31" spans="1:6" x14ac:dyDescent="0.25">
      <c r="A31" s="5">
        <v>23</v>
      </c>
      <c r="B31" s="282" t="s">
        <v>271</v>
      </c>
      <c r="C31" s="2"/>
      <c r="D31" s="2"/>
      <c r="E31" s="2"/>
      <c r="F31" s="2"/>
    </row>
    <row r="32" spans="1:6" x14ac:dyDescent="0.25">
      <c r="A32" s="5">
        <v>24</v>
      </c>
      <c r="B32" s="2"/>
      <c r="C32" s="300" t="s">
        <v>67</v>
      </c>
      <c r="D32" s="300" t="s">
        <v>272</v>
      </c>
      <c r="E32" s="300"/>
      <c r="F32" s="300" t="s">
        <v>273</v>
      </c>
    </row>
    <row r="33" spans="1:6" x14ac:dyDescent="0.25">
      <c r="A33" s="5">
        <v>25</v>
      </c>
      <c r="B33" s="2" t="s">
        <v>274</v>
      </c>
      <c r="C33" s="53">
        <f>'[2]General Inputs'!E68</f>
        <v>87302513.64957346</v>
      </c>
      <c r="D33" s="53">
        <f>'[2]General Inputs'!D68</f>
        <v>684781417.60758531</v>
      </c>
      <c r="E33" s="2"/>
      <c r="F33" s="53">
        <f>+C33+D33</f>
        <v>772083931.25715876</v>
      </c>
    </row>
    <row r="34" spans="1:6" x14ac:dyDescent="0.25">
      <c r="A34" s="5">
        <v>26</v>
      </c>
      <c r="B34" s="2"/>
      <c r="C34" s="297">
        <f>ROUND(C33/F33,4)</f>
        <v>0.11310000000000001</v>
      </c>
      <c r="D34" s="297">
        <f>1-C34</f>
        <v>0.88690000000000002</v>
      </c>
      <c r="E34" s="2"/>
      <c r="F34" s="297">
        <f>+C34+D34</f>
        <v>1</v>
      </c>
    </row>
    <row r="35" spans="1:6" x14ac:dyDescent="0.25">
      <c r="A35" s="5">
        <v>27</v>
      </c>
      <c r="B35" s="2"/>
      <c r="C35" s="297"/>
      <c r="D35" s="297"/>
      <c r="E35" s="2"/>
      <c r="F35" s="297"/>
    </row>
    <row r="36" spans="1:6" x14ac:dyDescent="0.25">
      <c r="A36" s="5">
        <v>28</v>
      </c>
      <c r="B36" s="282" t="s">
        <v>275</v>
      </c>
      <c r="C36" s="297"/>
      <c r="D36" s="297"/>
      <c r="E36" s="2"/>
      <c r="F36" s="297"/>
    </row>
    <row r="37" spans="1:6" x14ac:dyDescent="0.25">
      <c r="A37" s="5">
        <v>29</v>
      </c>
      <c r="B37" s="2"/>
      <c r="C37" s="2"/>
      <c r="D37" s="2"/>
      <c r="E37" s="2"/>
      <c r="F37" s="2"/>
    </row>
    <row r="38" spans="1:6" x14ac:dyDescent="0.25">
      <c r="A38" s="5">
        <v>30</v>
      </c>
      <c r="B38" s="2" t="s">
        <v>276</v>
      </c>
      <c r="C38" s="2"/>
      <c r="D38" s="301">
        <v>0.81185862026835343</v>
      </c>
      <c r="E38" s="2"/>
      <c r="F38" s="2"/>
    </row>
    <row r="39" spans="1:6" x14ac:dyDescent="0.25">
      <c r="A39" s="5">
        <v>31</v>
      </c>
      <c r="B39" s="2"/>
      <c r="C39" s="2"/>
      <c r="D39" s="2"/>
      <c r="E39" s="2"/>
      <c r="F39" s="2"/>
    </row>
    <row r="40" spans="1:6" x14ac:dyDescent="0.25">
      <c r="A40" s="5">
        <v>32</v>
      </c>
      <c r="B40" s="2" t="s">
        <v>277</v>
      </c>
      <c r="C40" s="2"/>
      <c r="D40" s="85">
        <f>+D38*D24</f>
        <v>8.3174915646492806E-2</v>
      </c>
      <c r="E40" s="2"/>
      <c r="F40" s="219">
        <f>ROUND(+D40*D16,0)</f>
        <v>7261379</v>
      </c>
    </row>
    <row r="41" spans="1:6" x14ac:dyDescent="0.25">
      <c r="A41" s="5">
        <v>33</v>
      </c>
      <c r="B41" s="2" t="s">
        <v>278</v>
      </c>
      <c r="C41" s="2"/>
      <c r="D41" s="85">
        <f>ROUND(D38*D25,6)</f>
        <v>2.9055999999999998E-2</v>
      </c>
      <c r="E41" s="2"/>
      <c r="F41" s="302">
        <f>ROUND(+D41*D17,0)</f>
        <v>33948</v>
      </c>
    </row>
    <row r="42" spans="1:6" x14ac:dyDescent="0.25">
      <c r="A42" s="5">
        <v>34</v>
      </c>
      <c r="B42" s="2"/>
      <c r="C42" s="2"/>
      <c r="D42" s="2"/>
      <c r="E42" s="2"/>
      <c r="F42" s="219">
        <f>SUM(F40:F41)</f>
        <v>7295327</v>
      </c>
    </row>
    <row r="43" spans="1:6" x14ac:dyDescent="0.25">
      <c r="A43" s="5">
        <v>35</v>
      </c>
      <c r="B43" s="2"/>
      <c r="C43" s="2"/>
      <c r="D43" s="2"/>
      <c r="E43" s="2"/>
      <c r="F43" s="219">
        <f>D14-F42</f>
        <v>0</v>
      </c>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1F3A-234E-4D86-B7C6-995251F9CAD9}">
  <dimension ref="A1:E37"/>
  <sheetViews>
    <sheetView zoomScaleNormal="100" workbookViewId="0">
      <selection activeCell="H5" sqref="H5"/>
    </sheetView>
  </sheetViews>
  <sheetFormatPr defaultRowHeight="15" x14ac:dyDescent="0.25"/>
  <cols>
    <col min="4" max="4" width="16.42578125" bestFit="1" customWidth="1"/>
    <col min="5" max="5" width="17" bestFit="1" customWidth="1"/>
  </cols>
  <sheetData>
    <row r="1" spans="1:5" x14ac:dyDescent="0.25">
      <c r="A1" s="1" t="str">
        <f>+'[2]Supply Contracts'!A1</f>
        <v>NW Natural</v>
      </c>
      <c r="B1" s="2"/>
      <c r="C1" s="2"/>
      <c r="D1" s="2"/>
      <c r="E1" s="2"/>
    </row>
    <row r="2" spans="1:5" x14ac:dyDescent="0.25">
      <c r="A2" s="1" t="str">
        <f>+'[2]Supply Contracts'!A2</f>
        <v>2022-2023 PGA - SYSTEM: September Filing</v>
      </c>
      <c r="B2" s="2"/>
      <c r="C2" s="2"/>
      <c r="D2" s="2"/>
      <c r="E2" s="2"/>
    </row>
    <row r="3" spans="1:5" x14ac:dyDescent="0.25">
      <c r="A3" s="3" t="s">
        <v>279</v>
      </c>
      <c r="B3" s="2"/>
      <c r="C3" s="2"/>
      <c r="D3" s="2"/>
      <c r="E3" s="2"/>
    </row>
    <row r="4" spans="1:5" x14ac:dyDescent="0.25">
      <c r="A4" s="2" t="s">
        <v>280</v>
      </c>
      <c r="B4" s="2"/>
      <c r="C4" s="2"/>
      <c r="D4" s="2"/>
      <c r="E4" s="2"/>
    </row>
    <row r="5" spans="1:5" x14ac:dyDescent="0.25">
      <c r="A5" s="2"/>
      <c r="B5" s="2"/>
      <c r="C5" s="2"/>
      <c r="D5" s="2"/>
      <c r="E5" s="2"/>
    </row>
    <row r="6" spans="1:5" x14ac:dyDescent="0.25">
      <c r="A6" s="2"/>
      <c r="B6" s="2"/>
      <c r="C6" s="2"/>
      <c r="D6" s="2"/>
      <c r="E6" s="2"/>
    </row>
    <row r="7" spans="1:5" x14ac:dyDescent="0.25">
      <c r="A7" s="2"/>
      <c r="B7" s="2"/>
      <c r="C7" s="2"/>
      <c r="D7" s="2"/>
      <c r="E7" s="2"/>
    </row>
    <row r="8" spans="1:5" x14ac:dyDescent="0.25">
      <c r="A8" s="2"/>
      <c r="B8" s="2"/>
      <c r="C8" s="2"/>
      <c r="D8" s="2"/>
      <c r="E8" s="2"/>
    </row>
    <row r="9" spans="1:5" x14ac:dyDescent="0.25">
      <c r="A9" s="5">
        <v>1</v>
      </c>
      <c r="B9" s="2" t="s">
        <v>281</v>
      </c>
      <c r="C9" s="2"/>
      <c r="D9" s="2"/>
      <c r="E9" s="2"/>
    </row>
    <row r="10" spans="1:5" x14ac:dyDescent="0.25">
      <c r="A10" s="5">
        <f>+A9+1</f>
        <v>2</v>
      </c>
      <c r="B10" s="2"/>
      <c r="C10" s="2"/>
      <c r="D10" s="303"/>
      <c r="E10" s="2"/>
    </row>
    <row r="11" spans="1:5" x14ac:dyDescent="0.25">
      <c r="A11" s="5">
        <f t="shared" ref="A11:A34" si="0">+A10+1</f>
        <v>3</v>
      </c>
      <c r="B11" s="2"/>
      <c r="C11" s="12" t="s">
        <v>282</v>
      </c>
      <c r="D11" s="2"/>
      <c r="E11" s="2"/>
    </row>
    <row r="12" spans="1:5" x14ac:dyDescent="0.25">
      <c r="A12" s="5">
        <f t="shared" si="0"/>
        <v>4</v>
      </c>
      <c r="B12" s="2"/>
      <c r="C12" s="304"/>
      <c r="D12" s="2"/>
      <c r="E12" s="2"/>
    </row>
    <row r="13" spans="1:5" x14ac:dyDescent="0.25">
      <c r="A13" s="5">
        <f t="shared" si="0"/>
        <v>5</v>
      </c>
      <c r="B13" s="2" t="s">
        <v>198</v>
      </c>
      <c r="C13" s="305">
        <f>+'[2]Index Prices'!E13</f>
        <v>0.49861704545454549</v>
      </c>
      <c r="D13" s="2"/>
      <c r="E13" s="2"/>
    </row>
    <row r="14" spans="1:5" x14ac:dyDescent="0.25">
      <c r="A14" s="5">
        <f t="shared" si="0"/>
        <v>6</v>
      </c>
      <c r="B14" s="2" t="s">
        <v>199</v>
      </c>
      <c r="C14" s="305">
        <f>+'[2]Index Prices'!E14</f>
        <v>0.53559204545454542</v>
      </c>
      <c r="D14" s="2"/>
      <c r="E14" s="2"/>
    </row>
    <row r="15" spans="1:5" x14ac:dyDescent="0.25">
      <c r="A15" s="5">
        <f t="shared" si="0"/>
        <v>7</v>
      </c>
      <c r="B15" s="2" t="s">
        <v>200</v>
      </c>
      <c r="C15" s="305">
        <f>+'[2]Index Prices'!E15</f>
        <v>0.54386931818181816</v>
      </c>
      <c r="D15" s="2"/>
      <c r="E15" s="2"/>
    </row>
    <row r="16" spans="1:5" x14ac:dyDescent="0.25">
      <c r="A16" s="5">
        <f t="shared" si="0"/>
        <v>8</v>
      </c>
      <c r="B16" s="2" t="s">
        <v>201</v>
      </c>
      <c r="C16" s="305">
        <f>+'[2]Index Prices'!E16</f>
        <v>0.54032159090909104</v>
      </c>
      <c r="D16" s="2"/>
      <c r="E16" s="2"/>
    </row>
    <row r="17" spans="1:5" x14ac:dyDescent="0.25">
      <c r="A17" s="5">
        <f t="shared" si="0"/>
        <v>9</v>
      </c>
      <c r="B17" s="2" t="s">
        <v>202</v>
      </c>
      <c r="C17" s="305">
        <f>+'[2]Index Prices'!E17</f>
        <v>0.46861704545454563</v>
      </c>
      <c r="D17" s="2"/>
      <c r="E17" s="2"/>
    </row>
    <row r="18" spans="1:5" x14ac:dyDescent="0.25">
      <c r="A18" s="5">
        <f t="shared" si="0"/>
        <v>10</v>
      </c>
      <c r="B18" s="2" t="s">
        <v>203</v>
      </c>
      <c r="C18" s="305">
        <f>+'[2]Index Prices'!E18</f>
        <v>0.38261250000000002</v>
      </c>
      <c r="D18" s="2"/>
      <c r="E18" s="2"/>
    </row>
    <row r="19" spans="1:5" x14ac:dyDescent="0.25">
      <c r="A19" s="5">
        <f t="shared" si="0"/>
        <v>11</v>
      </c>
      <c r="B19" s="2" t="s">
        <v>204</v>
      </c>
      <c r="C19" s="305">
        <f>+'[2]Index Prices'!E19</f>
        <v>0.3666011363636365</v>
      </c>
      <c r="D19" s="2"/>
      <c r="E19" s="2"/>
    </row>
    <row r="20" spans="1:5" x14ac:dyDescent="0.25">
      <c r="A20" s="5">
        <f t="shared" si="0"/>
        <v>12</v>
      </c>
      <c r="B20" s="2" t="s">
        <v>205</v>
      </c>
      <c r="C20" s="305">
        <f>+'[2]Index Prices'!E20</f>
        <v>0.35948636363636371</v>
      </c>
      <c r="D20" s="2"/>
      <c r="E20" s="2"/>
    </row>
    <row r="21" spans="1:5" x14ac:dyDescent="0.25">
      <c r="A21" s="5">
        <f t="shared" si="0"/>
        <v>13</v>
      </c>
      <c r="B21" s="2" t="s">
        <v>206</v>
      </c>
      <c r="C21" s="305">
        <f>+'[2]Index Prices'!E21</f>
        <v>0.35444431818181815</v>
      </c>
      <c r="D21" s="2"/>
      <c r="E21" s="2"/>
    </row>
    <row r="22" spans="1:5" x14ac:dyDescent="0.25">
      <c r="A22" s="5">
        <f t="shared" si="0"/>
        <v>14</v>
      </c>
      <c r="B22" s="2" t="s">
        <v>207</v>
      </c>
      <c r="C22" s="305">
        <f>+'[2]Index Prices'!E22</f>
        <v>0.35081477272727268</v>
      </c>
      <c r="D22" s="2"/>
      <c r="E22" s="2"/>
    </row>
    <row r="23" spans="1:5" x14ac:dyDescent="0.25">
      <c r="A23" s="5">
        <f t="shared" si="0"/>
        <v>15</v>
      </c>
      <c r="B23" s="2" t="s">
        <v>208</v>
      </c>
      <c r="C23" s="305">
        <f>+'[2]Index Prices'!E23</f>
        <v>0.35274204545454552</v>
      </c>
      <c r="D23" s="2"/>
      <c r="E23" s="2"/>
    </row>
    <row r="24" spans="1:5" x14ac:dyDescent="0.25">
      <c r="A24" s="5">
        <f t="shared" si="0"/>
        <v>16</v>
      </c>
      <c r="B24" s="2" t="s">
        <v>209</v>
      </c>
      <c r="C24" s="305">
        <f>+'[2]Index Prices'!E24</f>
        <v>0.36587613636363631</v>
      </c>
      <c r="D24" s="2"/>
      <c r="E24" s="2"/>
    </row>
    <row r="25" spans="1:5" x14ac:dyDescent="0.25">
      <c r="A25" s="5">
        <f t="shared" si="0"/>
        <v>17</v>
      </c>
      <c r="B25" s="2"/>
      <c r="C25" s="2"/>
      <c r="D25" s="2"/>
      <c r="E25" s="2"/>
    </row>
    <row r="26" spans="1:5" x14ac:dyDescent="0.25">
      <c r="A26" s="5">
        <f t="shared" si="0"/>
        <v>18</v>
      </c>
      <c r="B26" s="2"/>
      <c r="C26" s="2"/>
      <c r="D26" s="2"/>
      <c r="E26" s="2"/>
    </row>
    <row r="27" spans="1:5" x14ac:dyDescent="0.25">
      <c r="A27" s="5">
        <f t="shared" si="0"/>
        <v>19</v>
      </c>
      <c r="B27" s="2" t="s">
        <v>283</v>
      </c>
      <c r="C27" s="2"/>
      <c r="D27" s="305">
        <f>ROUND(AVERAGE(C13:C17),5)</f>
        <v>0.51739999999999997</v>
      </c>
      <c r="E27" s="2" t="s">
        <v>284</v>
      </c>
    </row>
    <row r="28" spans="1:5" x14ac:dyDescent="0.25">
      <c r="A28" s="5">
        <f t="shared" si="0"/>
        <v>20</v>
      </c>
      <c r="B28" s="2"/>
      <c r="C28" s="2"/>
      <c r="D28" s="5"/>
      <c r="E28" s="2"/>
    </row>
    <row r="29" spans="1:5" x14ac:dyDescent="0.25">
      <c r="A29" s="5">
        <f t="shared" si="0"/>
        <v>21</v>
      </c>
      <c r="B29" s="2" t="s">
        <v>285</v>
      </c>
      <c r="C29" s="2"/>
      <c r="D29" s="305">
        <f>ROUND(AVERAGE(C13:C24),5)</f>
        <v>0.42663000000000001</v>
      </c>
      <c r="E29" s="2" t="s">
        <v>286</v>
      </c>
    </row>
    <row r="30" spans="1:5" x14ac:dyDescent="0.25">
      <c r="A30" s="5">
        <f t="shared" si="0"/>
        <v>22</v>
      </c>
      <c r="B30" s="2"/>
      <c r="C30" s="2"/>
      <c r="D30" s="5"/>
      <c r="E30" s="2"/>
    </row>
    <row r="31" spans="1:5" x14ac:dyDescent="0.25">
      <c r="A31" s="5">
        <f t="shared" si="0"/>
        <v>23</v>
      </c>
      <c r="B31" s="2" t="s">
        <v>287</v>
      </c>
      <c r="C31" s="2"/>
      <c r="D31" s="5">
        <f>ROUND(D27/D29,5)</f>
        <v>1.2127600000000001</v>
      </c>
      <c r="E31" s="2" t="s">
        <v>288</v>
      </c>
    </row>
    <row r="32" spans="1:5" x14ac:dyDescent="0.25">
      <c r="A32" s="5">
        <f t="shared" si="0"/>
        <v>24</v>
      </c>
      <c r="B32" s="2"/>
      <c r="C32" s="2"/>
      <c r="D32" s="2"/>
      <c r="E32" s="2"/>
    </row>
    <row r="33" spans="1:5" x14ac:dyDescent="0.25">
      <c r="A33" s="5">
        <f t="shared" si="0"/>
        <v>25</v>
      </c>
      <c r="B33" s="2"/>
      <c r="C33" s="2"/>
      <c r="D33" s="5" t="s">
        <v>289</v>
      </c>
      <c r="E33" s="5" t="s">
        <v>290</v>
      </c>
    </row>
    <row r="34" spans="1:5" x14ac:dyDescent="0.25">
      <c r="A34" s="5">
        <f t="shared" si="0"/>
        <v>26</v>
      </c>
      <c r="B34" s="2"/>
      <c r="C34" s="2"/>
      <c r="D34" s="300" t="s">
        <v>291</v>
      </c>
      <c r="E34" s="300" t="s">
        <v>291</v>
      </c>
    </row>
    <row r="35" spans="1:5" x14ac:dyDescent="0.25">
      <c r="A35" s="5" t="s">
        <v>292</v>
      </c>
      <c r="B35" s="2" t="s">
        <v>293</v>
      </c>
      <c r="C35" s="2"/>
      <c r="D35" s="305">
        <f>+'[2]Total Commodity Summary'!P57</f>
        <v>0.44924999999999998</v>
      </c>
      <c r="E35" s="305">
        <f>+'[2]Total Commodity Summary'!P59</f>
        <v>0.46972000000000003</v>
      </c>
    </row>
    <row r="36" spans="1:5" x14ac:dyDescent="0.25">
      <c r="A36" s="5" t="s">
        <v>292</v>
      </c>
      <c r="B36" s="2" t="s">
        <v>294</v>
      </c>
      <c r="C36" s="2"/>
      <c r="D36" s="305">
        <f>ROUND(D31*D35,5)</f>
        <v>0.54483000000000004</v>
      </c>
      <c r="E36" s="305">
        <f>ROUND(D36/(1-wa_revsens),5)</f>
        <v>0.56964999999999999</v>
      </c>
    </row>
    <row r="37" spans="1:5" x14ac:dyDescent="0.25">
      <c r="A37" s="5"/>
      <c r="B37" s="2"/>
      <c r="C37" s="2"/>
      <c r="D37" s="5" t="str">
        <f>CONCATENATE("line 23 * $"&amp;D35)</f>
        <v>line 23 * $0.44925</v>
      </c>
      <c r="E37" s="2"/>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10F68-D635-4DE8-BE55-7375C7C354E3}">
  <dimension ref="A1:K32"/>
  <sheetViews>
    <sheetView topLeftCell="B1" zoomScaleNormal="100" workbookViewId="0">
      <selection activeCell="P15" sqref="P15"/>
    </sheetView>
  </sheetViews>
  <sheetFormatPr defaultRowHeight="15" x14ac:dyDescent="0.25"/>
  <cols>
    <col min="1" max="5" width="9.140625" style="90"/>
    <col min="6" max="6" width="13.42578125" style="90" bestFit="1" customWidth="1"/>
    <col min="7" max="7" width="9.140625" style="90"/>
    <col min="8" max="8" width="43.85546875" style="90" bestFit="1" customWidth="1"/>
    <col min="9" max="10" width="9.140625" style="335"/>
    <col min="11" max="16384" width="9.140625" style="90"/>
  </cols>
  <sheetData>
    <row r="1" spans="1:11" x14ac:dyDescent="0.25">
      <c r="A1" s="306" t="s">
        <v>0</v>
      </c>
      <c r="B1" s="307"/>
      <c r="C1" s="307"/>
      <c r="D1" s="307"/>
      <c r="E1" s="307"/>
      <c r="F1" s="307"/>
      <c r="G1" s="307"/>
      <c r="H1" s="307"/>
      <c r="I1" s="326"/>
      <c r="J1" s="326"/>
      <c r="K1" s="307"/>
    </row>
    <row r="2" spans="1:11" x14ac:dyDescent="0.25">
      <c r="A2" s="306" t="s">
        <v>1</v>
      </c>
      <c r="B2" s="307"/>
      <c r="C2" s="307"/>
      <c r="D2" s="307"/>
      <c r="E2" s="307"/>
      <c r="F2" s="307"/>
      <c r="G2" s="307"/>
      <c r="H2" s="307"/>
      <c r="I2" s="326"/>
      <c r="J2" s="326"/>
      <c r="K2" s="307"/>
    </row>
    <row r="3" spans="1:11" x14ac:dyDescent="0.25">
      <c r="A3" s="308" t="s">
        <v>295</v>
      </c>
      <c r="B3" s="307"/>
      <c r="C3" s="307"/>
      <c r="D3" s="307"/>
      <c r="E3" s="307"/>
      <c r="F3" s="307"/>
      <c r="G3" s="307"/>
      <c r="H3" s="307"/>
      <c r="I3" s="326"/>
      <c r="J3" s="326"/>
      <c r="K3" s="307"/>
    </row>
    <row r="4" spans="1:11" x14ac:dyDescent="0.25">
      <c r="A4" s="308" t="s">
        <v>296</v>
      </c>
      <c r="B4" s="307"/>
      <c r="C4" s="307"/>
      <c r="D4" s="307"/>
      <c r="E4" s="307"/>
      <c r="F4" s="307"/>
      <c r="G4" s="307"/>
      <c r="H4" s="307"/>
      <c r="I4" s="326"/>
      <c r="J4" s="326"/>
      <c r="K4" s="307"/>
    </row>
    <row r="5" spans="1:11" x14ac:dyDescent="0.25">
      <c r="A5" s="307"/>
      <c r="B5" s="307"/>
      <c r="C5" s="307"/>
      <c r="D5" s="307"/>
      <c r="E5" s="307"/>
      <c r="F5" s="307"/>
      <c r="G5" s="307"/>
      <c r="H5" s="307"/>
      <c r="I5" s="326"/>
      <c r="J5" s="326"/>
      <c r="K5" s="307"/>
    </row>
    <row r="6" spans="1:11" x14ac:dyDescent="0.25">
      <c r="A6" s="307"/>
      <c r="B6" s="307"/>
      <c r="C6" s="307"/>
      <c r="D6" s="307"/>
      <c r="E6" s="307"/>
      <c r="F6" s="307"/>
      <c r="G6" s="307"/>
      <c r="H6" s="307"/>
      <c r="I6" s="326"/>
      <c r="J6" s="326"/>
      <c r="K6" s="307"/>
    </row>
    <row r="7" spans="1:11" x14ac:dyDescent="0.25">
      <c r="A7" s="309">
        <v>1</v>
      </c>
      <c r="B7" s="307"/>
      <c r="C7" s="307"/>
      <c r="D7" s="307"/>
      <c r="E7" s="307"/>
      <c r="F7" s="310" t="s">
        <v>297</v>
      </c>
      <c r="G7" s="307"/>
      <c r="H7" s="310" t="s">
        <v>298</v>
      </c>
      <c r="I7" s="327"/>
      <c r="J7" s="327"/>
      <c r="K7" s="307"/>
    </row>
    <row r="8" spans="1:11" x14ac:dyDescent="0.25">
      <c r="A8" s="309">
        <f>+A7+1</f>
        <v>2</v>
      </c>
      <c r="B8" s="311" t="s">
        <v>299</v>
      </c>
      <c r="C8" s="307"/>
      <c r="D8" s="307"/>
      <c r="E8" s="307"/>
      <c r="F8" s="307"/>
      <c r="G8" s="307"/>
      <c r="H8" s="307"/>
      <c r="I8" s="326"/>
      <c r="J8" s="326"/>
      <c r="K8" s="307"/>
    </row>
    <row r="9" spans="1:11" x14ac:dyDescent="0.25">
      <c r="A9" s="309">
        <f>+A8+1</f>
        <v>3</v>
      </c>
      <c r="B9" s="307"/>
      <c r="C9" s="307"/>
      <c r="D9" s="307"/>
      <c r="E9" s="307"/>
      <c r="F9" s="307"/>
      <c r="G9" s="307"/>
      <c r="H9" s="312"/>
      <c r="I9" s="326"/>
      <c r="J9" s="326"/>
      <c r="K9" s="307"/>
    </row>
    <row r="10" spans="1:11" x14ac:dyDescent="0.25">
      <c r="A10" s="309">
        <f t="shared" ref="A10:A31" si="0">+A9+1</f>
        <v>4</v>
      </c>
      <c r="B10" s="307" t="s">
        <v>300</v>
      </c>
      <c r="C10" s="307"/>
      <c r="D10" s="307"/>
      <c r="E10" s="307"/>
      <c r="F10" s="313">
        <f>'[3]21-09 Combined'!F10</f>
        <v>10639473</v>
      </c>
      <c r="G10" s="307"/>
      <c r="H10" s="312" t="str">
        <f>'[3]21-09 Combined'!H10</f>
        <v>NWN PGA gas cost development file September filing_WA.xls</v>
      </c>
      <c r="I10" s="328"/>
      <c r="J10" s="328"/>
      <c r="K10" s="307"/>
    </row>
    <row r="11" spans="1:11" x14ac:dyDescent="0.25">
      <c r="A11" s="309">
        <f t="shared" si="0"/>
        <v>5</v>
      </c>
      <c r="B11" s="307"/>
      <c r="C11" s="307"/>
      <c r="D11" s="307"/>
      <c r="E11" s="307"/>
      <c r="F11" s="314"/>
      <c r="G11" s="307"/>
      <c r="H11" s="312"/>
      <c r="I11" s="329"/>
      <c r="J11" s="329"/>
      <c r="K11" s="307"/>
    </row>
    <row r="12" spans="1:11" x14ac:dyDescent="0.25">
      <c r="A12" s="309">
        <f t="shared" si="0"/>
        <v>6</v>
      </c>
      <c r="B12" s="307" t="s">
        <v>301</v>
      </c>
      <c r="C12" s="307"/>
      <c r="D12" s="307"/>
      <c r="E12" s="307"/>
      <c r="F12" s="316">
        <f>'[3]21-09 Combined'!F12</f>
        <v>-1476323</v>
      </c>
      <c r="G12" s="307"/>
      <c r="H12" s="312" t="str">
        <f>+H10</f>
        <v>NWN PGA gas cost development file September filing_WA.xls</v>
      </c>
      <c r="I12" s="329"/>
      <c r="J12" s="329"/>
      <c r="K12" s="307"/>
    </row>
    <row r="13" spans="1:11" x14ac:dyDescent="0.25">
      <c r="A13" s="309">
        <f t="shared" si="0"/>
        <v>7</v>
      </c>
      <c r="B13" s="307"/>
      <c r="C13" s="307"/>
      <c r="D13" s="307"/>
      <c r="E13" s="307"/>
      <c r="F13" s="314"/>
      <c r="G13" s="307"/>
      <c r="H13" s="312"/>
      <c r="I13" s="330"/>
      <c r="J13" s="330"/>
      <c r="K13" s="307"/>
    </row>
    <row r="14" spans="1:11" x14ac:dyDescent="0.25">
      <c r="A14" s="309">
        <f t="shared" si="0"/>
        <v>8</v>
      </c>
      <c r="B14" s="318" t="s">
        <v>302</v>
      </c>
      <c r="C14" s="307"/>
      <c r="D14" s="307"/>
      <c r="E14" s="307"/>
      <c r="F14" s="316">
        <f>SUM(F10:F12)</f>
        <v>9163150</v>
      </c>
      <c r="G14" s="307"/>
      <c r="H14" s="312"/>
      <c r="I14" s="330"/>
      <c r="J14" s="330"/>
      <c r="K14" s="307"/>
    </row>
    <row r="15" spans="1:11" x14ac:dyDescent="0.25">
      <c r="A15" s="309">
        <f t="shared" si="0"/>
        <v>9</v>
      </c>
      <c r="B15" s="307"/>
      <c r="C15" s="307"/>
      <c r="D15" s="307"/>
      <c r="E15" s="307"/>
      <c r="F15" s="314"/>
      <c r="G15" s="307"/>
      <c r="H15" s="312"/>
      <c r="I15" s="330"/>
      <c r="J15" s="330"/>
      <c r="K15" s="307"/>
    </row>
    <row r="16" spans="1:11" x14ac:dyDescent="0.25">
      <c r="A16" s="309">
        <f t="shared" si="0"/>
        <v>10</v>
      </c>
      <c r="B16" s="311" t="s">
        <v>303</v>
      </c>
      <c r="C16" s="307"/>
      <c r="D16" s="307"/>
      <c r="E16" s="307"/>
      <c r="F16" s="314"/>
      <c r="G16" s="307"/>
      <c r="H16" s="312"/>
      <c r="I16" s="330"/>
      <c r="J16" s="330"/>
      <c r="K16" s="307"/>
    </row>
    <row r="17" spans="1:11" x14ac:dyDescent="0.25">
      <c r="A17" s="309">
        <f t="shared" si="0"/>
        <v>11</v>
      </c>
      <c r="B17" s="307"/>
      <c r="C17" s="307"/>
      <c r="D17" s="307"/>
      <c r="E17" s="307"/>
      <c r="F17" s="314"/>
      <c r="G17" s="307"/>
      <c r="H17" s="312"/>
      <c r="I17" s="330"/>
      <c r="J17" s="330"/>
      <c r="K17" s="307"/>
    </row>
    <row r="18" spans="1:11" x14ac:dyDescent="0.25">
      <c r="A18" s="309">
        <f t="shared" si="0"/>
        <v>12</v>
      </c>
      <c r="B18" s="307" t="s">
        <v>304</v>
      </c>
      <c r="C18" s="307"/>
      <c r="D18" s="307"/>
      <c r="E18" s="307"/>
      <c r="F18" s="314">
        <f>'[1]Allocation equal ¢ per therm'!$F$10+'[1]Allocation equal ¢ per therm'!$I$10+'[1]Allocation equal ¢ per therm'!$L$10</f>
        <v>10356915</v>
      </c>
      <c r="G18" s="307"/>
      <c r="H18" s="312" t="s">
        <v>305</v>
      </c>
      <c r="I18" s="329"/>
      <c r="J18" s="329"/>
      <c r="K18" s="307"/>
    </row>
    <row r="19" spans="1:11" x14ac:dyDescent="0.25">
      <c r="A19" s="309">
        <f t="shared" si="0"/>
        <v>13</v>
      </c>
      <c r="B19" s="307"/>
      <c r="C19" s="307"/>
      <c r="D19" s="307"/>
      <c r="E19" s="307"/>
      <c r="F19" s="315"/>
      <c r="G19" s="307"/>
      <c r="H19" s="312"/>
      <c r="I19" s="329"/>
      <c r="J19" s="329"/>
      <c r="K19" s="307"/>
    </row>
    <row r="20" spans="1:11" x14ac:dyDescent="0.25">
      <c r="A20" s="309">
        <f t="shared" si="0"/>
        <v>14</v>
      </c>
      <c r="B20" s="307" t="s">
        <v>306</v>
      </c>
      <c r="C20" s="307"/>
      <c r="D20" s="307"/>
      <c r="E20" s="307"/>
      <c r="F20" s="317">
        <v>-81273</v>
      </c>
      <c r="G20" s="307"/>
      <c r="H20" s="312" t="s">
        <v>305</v>
      </c>
      <c r="I20" s="329"/>
      <c r="J20" s="329"/>
      <c r="K20" s="307"/>
    </row>
    <row r="21" spans="1:11" x14ac:dyDescent="0.25">
      <c r="A21" s="309">
        <f t="shared" si="0"/>
        <v>15</v>
      </c>
      <c r="B21" s="307"/>
      <c r="C21" s="307"/>
      <c r="D21" s="307"/>
      <c r="E21" s="307"/>
      <c r="F21" s="314"/>
      <c r="G21" s="307"/>
      <c r="H21" s="307"/>
      <c r="I21" s="330"/>
      <c r="J21" s="330"/>
      <c r="K21" s="307"/>
    </row>
    <row r="22" spans="1:11" x14ac:dyDescent="0.25">
      <c r="A22" s="309">
        <f t="shared" si="0"/>
        <v>16</v>
      </c>
      <c r="B22" s="318" t="s">
        <v>307</v>
      </c>
      <c r="C22" s="307"/>
      <c r="D22" s="307"/>
      <c r="E22" s="307"/>
      <c r="F22" s="316">
        <f>+F18+F20</f>
        <v>10275642</v>
      </c>
      <c r="G22" s="307"/>
      <c r="H22" s="307"/>
      <c r="I22" s="330"/>
      <c r="J22" s="330"/>
      <c r="K22" s="307"/>
    </row>
    <row r="23" spans="1:11" x14ac:dyDescent="0.25">
      <c r="A23" s="309">
        <f t="shared" si="0"/>
        <v>17</v>
      </c>
      <c r="B23" s="307"/>
      <c r="C23" s="307"/>
      <c r="D23" s="307"/>
      <c r="E23" s="307"/>
      <c r="F23" s="314"/>
      <c r="G23" s="307"/>
      <c r="H23" s="307"/>
      <c r="I23" s="330"/>
      <c r="J23" s="330"/>
      <c r="K23" s="307"/>
    </row>
    <row r="24" spans="1:11" x14ac:dyDescent="0.25">
      <c r="A24" s="309">
        <f>+A23+1</f>
        <v>18</v>
      </c>
      <c r="B24" s="307"/>
      <c r="C24" s="307"/>
      <c r="D24" s="307"/>
      <c r="E24" s="307"/>
      <c r="F24" s="315"/>
      <c r="G24" s="307"/>
      <c r="H24" s="307"/>
      <c r="I24" s="330"/>
      <c r="J24" s="330"/>
      <c r="K24" s="307"/>
    </row>
    <row r="25" spans="1:11" ht="15.75" thickBot="1" x14ac:dyDescent="0.3">
      <c r="A25" s="309">
        <f t="shared" si="0"/>
        <v>19</v>
      </c>
      <c r="B25" s="319" t="s">
        <v>308</v>
      </c>
      <c r="C25" s="307"/>
      <c r="D25" s="307"/>
      <c r="E25" s="307"/>
      <c r="F25" s="320">
        <f>+F22+F14</f>
        <v>19438792</v>
      </c>
      <c r="G25" s="307"/>
      <c r="H25" s="307"/>
      <c r="I25" s="331"/>
      <c r="J25" s="331"/>
      <c r="K25" s="307"/>
    </row>
    <row r="26" spans="1:11" ht="15.75" thickTop="1" x14ac:dyDescent="0.25">
      <c r="A26" s="309">
        <f t="shared" si="0"/>
        <v>20</v>
      </c>
      <c r="B26" s="307"/>
      <c r="C26" s="307"/>
      <c r="D26" s="307"/>
      <c r="E26" s="307"/>
      <c r="F26" s="314"/>
      <c r="G26" s="307"/>
      <c r="H26" s="307"/>
      <c r="I26" s="330"/>
      <c r="J26" s="330"/>
      <c r="K26" s="307"/>
    </row>
    <row r="27" spans="1:11" x14ac:dyDescent="0.25">
      <c r="A27" s="309">
        <f t="shared" si="0"/>
        <v>21</v>
      </c>
      <c r="B27" s="307"/>
      <c r="C27" s="307"/>
      <c r="D27" s="307"/>
      <c r="E27" s="307"/>
      <c r="F27" s="314"/>
      <c r="G27" s="307"/>
      <c r="H27" s="307"/>
      <c r="I27" s="330"/>
      <c r="J27" s="330"/>
      <c r="K27" s="307"/>
    </row>
    <row r="28" spans="1:11" x14ac:dyDescent="0.25">
      <c r="A28" s="309">
        <f t="shared" si="0"/>
        <v>22</v>
      </c>
      <c r="B28" s="307"/>
      <c r="C28" s="307"/>
      <c r="D28" s="307"/>
      <c r="E28" s="307"/>
      <c r="F28" s="314"/>
      <c r="G28" s="307"/>
      <c r="H28" s="307"/>
      <c r="I28" s="330"/>
      <c r="J28" s="330"/>
      <c r="K28" s="307"/>
    </row>
    <row r="29" spans="1:11" x14ac:dyDescent="0.25">
      <c r="A29" s="309">
        <f t="shared" si="0"/>
        <v>23</v>
      </c>
      <c r="B29" s="321" t="str">
        <f>'[3]21-09 Combined'!B32</f>
        <v>2021 Washington CBR Normalized Total Revenues</v>
      </c>
      <c r="C29" s="322"/>
      <c r="D29" s="322"/>
      <c r="E29" s="307"/>
      <c r="F29" s="323">
        <f>'[3]21-09 Combined'!F32</f>
        <v>83232692.878956497</v>
      </c>
      <c r="G29" s="307"/>
      <c r="H29" s="307"/>
      <c r="I29" s="332"/>
      <c r="J29" s="332"/>
      <c r="K29" s="307"/>
    </row>
    <row r="30" spans="1:11" x14ac:dyDescent="0.25">
      <c r="A30" s="309">
        <f t="shared" si="0"/>
        <v>24</v>
      </c>
      <c r="B30" s="319"/>
      <c r="C30" s="307"/>
      <c r="D30" s="307"/>
      <c r="E30" s="307"/>
      <c r="F30" s="324"/>
      <c r="G30" s="307"/>
      <c r="H30" s="307"/>
      <c r="I30" s="333"/>
      <c r="J30" s="333"/>
      <c r="K30" s="307"/>
    </row>
    <row r="31" spans="1:11" x14ac:dyDescent="0.25">
      <c r="A31" s="309">
        <f t="shared" si="0"/>
        <v>25</v>
      </c>
      <c r="B31" s="319" t="s">
        <v>309</v>
      </c>
      <c r="C31" s="307"/>
      <c r="D31" s="307"/>
      <c r="E31" s="307"/>
      <c r="F31" s="325">
        <f>ROUND(F25/F29,4)</f>
        <v>0.23350000000000001</v>
      </c>
      <c r="G31" s="307"/>
      <c r="H31" s="307"/>
      <c r="I31" s="334"/>
      <c r="J31" s="334"/>
      <c r="K31" s="307"/>
    </row>
    <row r="32" spans="1:11" x14ac:dyDescent="0.25">
      <c r="A32" s="309"/>
      <c r="B32" s="307"/>
      <c r="C32" s="307"/>
      <c r="D32" s="307"/>
      <c r="E32" s="307"/>
      <c r="F32" s="324"/>
      <c r="G32" s="307"/>
      <c r="H32" s="307"/>
      <c r="I32" s="326"/>
      <c r="J32" s="326"/>
      <c r="K32" s="307"/>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1F76-602D-42D8-9E54-D868772982B5}">
  <dimension ref="A1:N88"/>
  <sheetViews>
    <sheetView topLeftCell="C4" zoomScaleNormal="100" workbookViewId="0">
      <selection activeCell="R19" sqref="R19"/>
    </sheetView>
  </sheetViews>
  <sheetFormatPr defaultRowHeight="15" x14ac:dyDescent="0.25"/>
  <cols>
    <col min="1" max="1" width="10.85546875" customWidth="1"/>
    <col min="2" max="2" width="23" style="90" bestFit="1" customWidth="1"/>
    <col min="4" max="4" width="14.28515625" bestFit="1" customWidth="1"/>
    <col min="5" max="5" width="27.85546875" bestFit="1" customWidth="1"/>
    <col min="6" max="6" width="10.85546875" bestFit="1" customWidth="1"/>
    <col min="7" max="7" width="15.28515625" customWidth="1"/>
    <col min="8" max="8" width="10.140625" bestFit="1" customWidth="1"/>
    <col min="10" max="10" width="17.42578125" customWidth="1"/>
    <col min="11" max="11" width="10.140625" bestFit="1" customWidth="1"/>
    <col min="14" max="14" width="15.28515625" customWidth="1"/>
  </cols>
  <sheetData>
    <row r="1" spans="1:14" x14ac:dyDescent="0.25">
      <c r="A1" s="1" t="str">
        <f>+'[1]Washington volumes'!A1</f>
        <v>NW Natural</v>
      </c>
      <c r="B1" s="22"/>
      <c r="C1" s="2"/>
      <c r="D1" s="3"/>
      <c r="E1" s="3"/>
      <c r="F1" s="3"/>
      <c r="G1" s="2"/>
      <c r="H1" s="2"/>
      <c r="I1" s="2"/>
      <c r="J1" s="2"/>
      <c r="K1" s="2"/>
      <c r="L1" s="2"/>
      <c r="M1" s="2"/>
      <c r="N1" s="2"/>
    </row>
    <row r="2" spans="1:14" x14ac:dyDescent="0.25">
      <c r="A2" s="1" t="str">
        <f>+'[1]Washington volumes'!A2</f>
        <v>Rates &amp; Regulatory Affairs</v>
      </c>
      <c r="B2" s="22"/>
      <c r="C2" s="2"/>
      <c r="D2" s="3"/>
      <c r="E2" s="3"/>
      <c r="F2" s="3"/>
      <c r="G2" s="2"/>
      <c r="H2" s="2"/>
      <c r="I2" s="2"/>
      <c r="J2" s="2"/>
      <c r="K2" s="2"/>
      <c r="L2" s="2"/>
      <c r="M2" s="2"/>
      <c r="N2" s="2"/>
    </row>
    <row r="3" spans="1:14" x14ac:dyDescent="0.25">
      <c r="A3" s="1" t="str">
        <f>+'[1]Washington volumes'!A3</f>
        <v>2022-2023 PGA Filing - Washington: September Filing</v>
      </c>
      <c r="B3" s="22"/>
      <c r="C3" s="2"/>
      <c r="D3" s="3"/>
      <c r="E3" s="3"/>
      <c r="F3" s="3"/>
      <c r="G3" s="2"/>
      <c r="H3" s="2"/>
      <c r="I3" s="2"/>
      <c r="J3" s="2"/>
      <c r="K3" s="2"/>
      <c r="L3" s="2"/>
      <c r="M3" s="2"/>
      <c r="N3" s="2"/>
    </row>
    <row r="4" spans="1:14" x14ac:dyDescent="0.25">
      <c r="A4" s="1" t="s">
        <v>66</v>
      </c>
      <c r="B4" s="22"/>
      <c r="C4" s="2"/>
      <c r="D4" s="3"/>
      <c r="E4" s="3"/>
      <c r="F4" s="3"/>
      <c r="G4" s="2"/>
      <c r="H4" s="2"/>
      <c r="I4" s="2"/>
      <c r="J4" s="2"/>
      <c r="K4" s="2"/>
      <c r="L4" s="2"/>
      <c r="M4" s="2"/>
      <c r="N4" s="2"/>
    </row>
    <row r="5" spans="1:14" x14ac:dyDescent="0.25">
      <c r="A5" s="4"/>
      <c r="B5" s="24"/>
      <c r="C5" s="4"/>
      <c r="D5" s="4"/>
      <c r="E5" s="2"/>
      <c r="F5" s="53"/>
      <c r="G5" s="2"/>
      <c r="H5" s="2"/>
      <c r="I5" s="2"/>
      <c r="J5" s="2"/>
      <c r="K5" s="53"/>
      <c r="L5" s="2"/>
      <c r="M5" s="2"/>
      <c r="N5" s="2"/>
    </row>
    <row r="6" spans="1:14" x14ac:dyDescent="0.25">
      <c r="A6" s="2"/>
      <c r="B6" s="22"/>
      <c r="C6" s="2"/>
      <c r="D6" s="2"/>
      <c r="E6" s="3"/>
      <c r="F6" s="54"/>
      <c r="G6" s="2"/>
      <c r="H6" s="2"/>
      <c r="I6" s="2"/>
      <c r="J6" s="2"/>
      <c r="K6" s="2"/>
      <c r="L6" s="2"/>
      <c r="M6" s="2"/>
      <c r="N6" s="2"/>
    </row>
    <row r="7" spans="1:14" ht="15.75" thickBot="1" x14ac:dyDescent="0.3">
      <c r="A7" s="5">
        <v>1</v>
      </c>
      <c r="B7" s="22"/>
      <c r="C7" s="2"/>
      <c r="D7" s="5" t="s">
        <v>67</v>
      </c>
      <c r="E7" s="1"/>
      <c r="F7" s="55" t="str">
        <f>+[1]Inputs!C36</f>
        <v>WACOG Deferral</v>
      </c>
      <c r="G7" s="56"/>
      <c r="H7" s="57"/>
      <c r="I7" s="55" t="str">
        <f>+[1]Inputs!C38</f>
        <v>Demand Deferral - FIRM</v>
      </c>
      <c r="J7" s="56"/>
      <c r="K7" s="57"/>
      <c r="L7" s="55" t="str">
        <f>+[1]Inputs!C40</f>
        <v>Demand Deferral - INTERRUPTIBLE</v>
      </c>
      <c r="M7" s="56"/>
      <c r="N7" s="57"/>
    </row>
    <row r="8" spans="1:14" ht="15.75" thickBot="1" x14ac:dyDescent="0.3">
      <c r="A8" s="5">
        <f t="shared" ref="A8:A71" si="0">+A7+1</f>
        <v>2</v>
      </c>
      <c r="B8" s="22"/>
      <c r="C8" s="2"/>
      <c r="D8" s="5" t="s">
        <v>68</v>
      </c>
      <c r="E8" s="58" t="s">
        <v>69</v>
      </c>
      <c r="F8" s="59">
        <f>+[1]Inputs!B36</f>
        <v>10556330</v>
      </c>
      <c r="G8" s="18" t="s">
        <v>70</v>
      </c>
      <c r="H8" s="60"/>
      <c r="I8" s="59">
        <f>+[1]Inputs!B38</f>
        <v>-641351</v>
      </c>
      <c r="J8" s="18" t="s">
        <v>70</v>
      </c>
      <c r="K8" s="60"/>
      <c r="L8" s="59">
        <f>+[1]Inputs!B40</f>
        <v>-9304</v>
      </c>
      <c r="M8" s="18" t="s">
        <v>70</v>
      </c>
      <c r="N8" s="60"/>
    </row>
    <row r="9" spans="1:14" ht="15.75" thickBot="1" x14ac:dyDescent="0.3">
      <c r="A9" s="5">
        <f t="shared" si="0"/>
        <v>3</v>
      </c>
      <c r="B9" s="22"/>
      <c r="C9" s="2"/>
      <c r="D9" s="5" t="s">
        <v>71</v>
      </c>
      <c r="E9" s="58" t="s">
        <v>72</v>
      </c>
      <c r="F9" s="61">
        <f>+revsens</f>
        <v>4.3568999999999997E-2</v>
      </c>
      <c r="G9" s="18" t="s">
        <v>73</v>
      </c>
      <c r="H9" s="60"/>
      <c r="I9" s="61">
        <f>+revsens</f>
        <v>4.3568999999999997E-2</v>
      </c>
      <c r="J9" s="18" t="s">
        <v>73</v>
      </c>
      <c r="K9" s="60"/>
      <c r="L9" s="61">
        <f>+revsens</f>
        <v>4.3568999999999997E-2</v>
      </c>
      <c r="M9" s="18" t="s">
        <v>73</v>
      </c>
      <c r="N9" s="60"/>
    </row>
    <row r="10" spans="1:14" ht="15.75" thickBot="1" x14ac:dyDescent="0.3">
      <c r="A10" s="5">
        <f t="shared" si="0"/>
        <v>4</v>
      </c>
      <c r="B10" s="22"/>
      <c r="C10" s="2"/>
      <c r="D10" s="62" t="s">
        <v>74</v>
      </c>
      <c r="E10" s="63" t="s">
        <v>75</v>
      </c>
      <c r="F10" s="59">
        <f>ROUND(+F8/(1-F9),0)</f>
        <v>11037210</v>
      </c>
      <c r="G10" s="64" t="s">
        <v>76</v>
      </c>
      <c r="H10" s="65"/>
      <c r="I10" s="59">
        <f>ROUND(+I8/(1-I9),0)</f>
        <v>-670567</v>
      </c>
      <c r="J10" s="64" t="s">
        <v>77</v>
      </c>
      <c r="K10" s="65"/>
      <c r="L10" s="59">
        <f>ROUND(+L8/(1-L9),0)</f>
        <v>-9728</v>
      </c>
      <c r="M10" s="64" t="s">
        <v>78</v>
      </c>
      <c r="N10" s="65"/>
    </row>
    <row r="11" spans="1:14" x14ac:dyDescent="0.25">
      <c r="A11" s="5">
        <f t="shared" si="0"/>
        <v>5</v>
      </c>
      <c r="B11" s="22"/>
      <c r="C11" s="2"/>
      <c r="D11" s="7"/>
      <c r="E11" s="66"/>
      <c r="F11" s="67" t="s">
        <v>79</v>
      </c>
      <c r="G11" s="6" t="s">
        <v>80</v>
      </c>
      <c r="H11" s="68" t="s">
        <v>81</v>
      </c>
      <c r="I11" s="67" t="s">
        <v>79</v>
      </c>
      <c r="J11" s="6" t="s">
        <v>80</v>
      </c>
      <c r="K11" s="68" t="s">
        <v>81</v>
      </c>
      <c r="L11" s="67" t="s">
        <v>79</v>
      </c>
      <c r="M11" s="6" t="s">
        <v>80</v>
      </c>
      <c r="N11" s="68" t="s">
        <v>81</v>
      </c>
    </row>
    <row r="12" spans="1:14" x14ac:dyDescent="0.25">
      <c r="A12" s="5">
        <f t="shared" si="0"/>
        <v>6</v>
      </c>
      <c r="B12" s="32" t="s">
        <v>17</v>
      </c>
      <c r="C12" s="8" t="s">
        <v>18</v>
      </c>
      <c r="D12" s="9" t="s">
        <v>19</v>
      </c>
      <c r="E12" s="69"/>
      <c r="F12" s="70" t="s">
        <v>20</v>
      </c>
      <c r="G12" s="9" t="s">
        <v>21</v>
      </c>
      <c r="H12" s="71" t="s">
        <v>22</v>
      </c>
      <c r="I12" s="70" t="s">
        <v>23</v>
      </c>
      <c r="J12" s="9" t="s">
        <v>24</v>
      </c>
      <c r="K12" s="71" t="s">
        <v>25</v>
      </c>
      <c r="L12" s="70" t="s">
        <v>82</v>
      </c>
      <c r="M12" s="9" t="s">
        <v>83</v>
      </c>
      <c r="N12" s="71" t="s">
        <v>84</v>
      </c>
    </row>
    <row r="13" spans="1:14" x14ac:dyDescent="0.25">
      <c r="A13" s="5">
        <f t="shared" si="0"/>
        <v>7</v>
      </c>
      <c r="B13" s="34" t="s">
        <v>26</v>
      </c>
      <c r="C13" s="10"/>
      <c r="D13" s="72">
        <f>+'[1]Washington volumes'!J13</f>
        <v>271947.40000000002</v>
      </c>
      <c r="E13" s="73"/>
      <c r="F13" s="74">
        <v>1</v>
      </c>
      <c r="G13" s="72">
        <f t="shared" ref="G13:G80" si="1">+$D13*F13</f>
        <v>271947.40000000002</v>
      </c>
      <c r="H13" s="75">
        <f t="shared" ref="H13:H76" si="2">+F13*$H$83</f>
        <v>0.12476</v>
      </c>
      <c r="I13" s="74">
        <v>1</v>
      </c>
      <c r="J13" s="72">
        <f t="shared" ref="J13:J80" si="3">+$D13*I13</f>
        <v>271947.40000000002</v>
      </c>
      <c r="K13" s="75">
        <f t="shared" ref="K13:K76" si="4">+I13*$K$83</f>
        <v>-7.6800000000000002E-3</v>
      </c>
      <c r="L13" s="74">
        <v>0</v>
      </c>
      <c r="M13" s="72">
        <f t="shared" ref="M13:M80" si="5">+$D13*L13</f>
        <v>0</v>
      </c>
      <c r="N13" s="75">
        <f t="shared" ref="N13:N76" si="6">+L13*$N$83</f>
        <v>0</v>
      </c>
    </row>
    <row r="14" spans="1:14" x14ac:dyDescent="0.25">
      <c r="A14" s="5">
        <f t="shared" si="0"/>
        <v>8</v>
      </c>
      <c r="B14" s="34" t="s">
        <v>27</v>
      </c>
      <c r="C14" s="10"/>
      <c r="D14" s="72">
        <f>+'[1]Washington volumes'!J14</f>
        <v>26595.599999999999</v>
      </c>
      <c r="E14" s="73"/>
      <c r="F14" s="74">
        <v>1</v>
      </c>
      <c r="G14" s="72">
        <f t="shared" si="1"/>
        <v>26595.599999999999</v>
      </c>
      <c r="H14" s="75">
        <f t="shared" si="2"/>
        <v>0.12476</v>
      </c>
      <c r="I14" s="74">
        <v>1</v>
      </c>
      <c r="J14" s="72">
        <f t="shared" si="3"/>
        <v>26595.599999999999</v>
      </c>
      <c r="K14" s="75">
        <f t="shared" si="4"/>
        <v>-7.6800000000000002E-3</v>
      </c>
      <c r="L14" s="74">
        <v>0</v>
      </c>
      <c r="M14" s="72">
        <f t="shared" si="5"/>
        <v>0</v>
      </c>
      <c r="N14" s="75">
        <f t="shared" si="6"/>
        <v>0</v>
      </c>
    </row>
    <row r="15" spans="1:14" x14ac:dyDescent="0.25">
      <c r="A15" s="5">
        <f t="shared" si="0"/>
        <v>9</v>
      </c>
      <c r="B15" s="34" t="s">
        <v>28</v>
      </c>
      <c r="C15" s="10"/>
      <c r="D15" s="72">
        <f>+'[1]Washington volumes'!J15</f>
        <v>59339066.200000003</v>
      </c>
      <c r="E15" s="73"/>
      <c r="F15" s="74">
        <v>1</v>
      </c>
      <c r="G15" s="72">
        <f t="shared" si="1"/>
        <v>59339066.200000003</v>
      </c>
      <c r="H15" s="75">
        <f t="shared" si="2"/>
        <v>0.12476</v>
      </c>
      <c r="I15" s="74">
        <v>1</v>
      </c>
      <c r="J15" s="72">
        <f t="shared" si="3"/>
        <v>59339066.200000003</v>
      </c>
      <c r="K15" s="75">
        <f t="shared" si="4"/>
        <v>-7.6800000000000002E-3</v>
      </c>
      <c r="L15" s="74">
        <v>0</v>
      </c>
      <c r="M15" s="72">
        <f t="shared" si="5"/>
        <v>0</v>
      </c>
      <c r="N15" s="75">
        <f t="shared" si="6"/>
        <v>0</v>
      </c>
    </row>
    <row r="16" spans="1:14" x14ac:dyDescent="0.25">
      <c r="A16" s="5">
        <f t="shared" si="0"/>
        <v>10</v>
      </c>
      <c r="B16" s="34" t="s">
        <v>29</v>
      </c>
      <c r="C16" s="10"/>
      <c r="D16" s="72">
        <f>+'[1]Washington volumes'!J16</f>
        <v>18510467.399999999</v>
      </c>
      <c r="E16" s="73"/>
      <c r="F16" s="74">
        <v>1</v>
      </c>
      <c r="G16" s="72">
        <f t="shared" si="1"/>
        <v>18510467.399999999</v>
      </c>
      <c r="H16" s="75">
        <f t="shared" si="2"/>
        <v>0.12476</v>
      </c>
      <c r="I16" s="74">
        <v>1</v>
      </c>
      <c r="J16" s="72">
        <f t="shared" si="3"/>
        <v>18510467.399999999</v>
      </c>
      <c r="K16" s="75">
        <f t="shared" si="4"/>
        <v>-7.6800000000000002E-3</v>
      </c>
      <c r="L16" s="74">
        <v>0</v>
      </c>
      <c r="M16" s="72">
        <f t="shared" si="5"/>
        <v>0</v>
      </c>
      <c r="N16" s="75">
        <f t="shared" si="6"/>
        <v>0</v>
      </c>
    </row>
    <row r="17" spans="1:14" x14ac:dyDescent="0.25">
      <c r="A17" s="5">
        <f t="shared" si="0"/>
        <v>11</v>
      </c>
      <c r="B17" s="34" t="s">
        <v>30</v>
      </c>
      <c r="C17" s="10"/>
      <c r="D17" s="72">
        <f>+'[1]Washington volumes'!J17</f>
        <v>468493</v>
      </c>
      <c r="E17" s="73"/>
      <c r="F17" s="74">
        <v>1</v>
      </c>
      <c r="G17" s="72">
        <f t="shared" si="1"/>
        <v>468493</v>
      </c>
      <c r="H17" s="75">
        <f t="shared" si="2"/>
        <v>0.12476</v>
      </c>
      <c r="I17" s="74">
        <v>1</v>
      </c>
      <c r="J17" s="72">
        <f t="shared" si="3"/>
        <v>468493</v>
      </c>
      <c r="K17" s="75">
        <f t="shared" si="4"/>
        <v>-7.6800000000000002E-3</v>
      </c>
      <c r="L17" s="74">
        <v>0</v>
      </c>
      <c r="M17" s="72">
        <f t="shared" si="5"/>
        <v>0</v>
      </c>
      <c r="N17" s="75">
        <f t="shared" si="6"/>
        <v>0</v>
      </c>
    </row>
    <row r="18" spans="1:14" x14ac:dyDescent="0.25">
      <c r="A18" s="5">
        <f t="shared" si="0"/>
        <v>12</v>
      </c>
      <c r="B18" s="38">
        <v>27</v>
      </c>
      <c r="C18" s="12"/>
      <c r="D18" s="72">
        <f>+'[1]Washington volumes'!J18</f>
        <v>220539.3</v>
      </c>
      <c r="E18" s="73"/>
      <c r="F18" s="74">
        <v>1</v>
      </c>
      <c r="G18" s="72">
        <f t="shared" si="1"/>
        <v>220539.3</v>
      </c>
      <c r="H18" s="75">
        <f t="shared" si="2"/>
        <v>0.12476</v>
      </c>
      <c r="I18" s="74">
        <v>1</v>
      </c>
      <c r="J18" s="72">
        <f t="shared" si="3"/>
        <v>220539.3</v>
      </c>
      <c r="K18" s="75">
        <f t="shared" si="4"/>
        <v>-7.6800000000000002E-3</v>
      </c>
      <c r="L18" s="74">
        <v>0</v>
      </c>
      <c r="M18" s="72">
        <f t="shared" si="5"/>
        <v>0</v>
      </c>
      <c r="N18" s="75">
        <f t="shared" si="6"/>
        <v>0</v>
      </c>
    </row>
    <row r="19" spans="1:14" x14ac:dyDescent="0.25">
      <c r="A19" s="5">
        <f t="shared" si="0"/>
        <v>13</v>
      </c>
      <c r="B19" s="26" t="s">
        <v>31</v>
      </c>
      <c r="C19" s="13" t="s">
        <v>32</v>
      </c>
      <c r="D19" s="53">
        <f>+'[1]Washington volumes'!J19</f>
        <v>1710730.7</v>
      </c>
      <c r="E19" s="76"/>
      <c r="F19" s="77">
        <v>1</v>
      </c>
      <c r="G19" s="53">
        <f t="shared" si="1"/>
        <v>1710730.7</v>
      </c>
      <c r="H19" s="78">
        <f t="shared" si="2"/>
        <v>0.12476</v>
      </c>
      <c r="I19" s="77">
        <v>1</v>
      </c>
      <c r="J19" s="53">
        <f t="shared" si="3"/>
        <v>1710730.7</v>
      </c>
      <c r="K19" s="78">
        <f t="shared" si="4"/>
        <v>-7.6800000000000002E-3</v>
      </c>
      <c r="L19" s="77">
        <v>0</v>
      </c>
      <c r="M19" s="53">
        <f t="shared" si="5"/>
        <v>0</v>
      </c>
      <c r="N19" s="78">
        <f t="shared" si="6"/>
        <v>0</v>
      </c>
    </row>
    <row r="20" spans="1:14" x14ac:dyDescent="0.25">
      <c r="A20" s="5">
        <f t="shared" si="0"/>
        <v>14</v>
      </c>
      <c r="B20" s="38"/>
      <c r="C20" s="14" t="s">
        <v>33</v>
      </c>
      <c r="D20" s="72">
        <f>+'[1]Washington volumes'!J20</f>
        <v>2037786.1</v>
      </c>
      <c r="E20" s="73"/>
      <c r="F20" s="74">
        <v>1</v>
      </c>
      <c r="G20" s="72">
        <f t="shared" si="1"/>
        <v>2037786.1</v>
      </c>
      <c r="H20" s="75">
        <f t="shared" si="2"/>
        <v>0.12476</v>
      </c>
      <c r="I20" s="74">
        <v>1</v>
      </c>
      <c r="J20" s="72">
        <f t="shared" si="3"/>
        <v>2037786.1</v>
      </c>
      <c r="K20" s="75">
        <f t="shared" si="4"/>
        <v>-7.6800000000000002E-3</v>
      </c>
      <c r="L20" s="74">
        <v>0</v>
      </c>
      <c r="M20" s="72">
        <f t="shared" si="5"/>
        <v>0</v>
      </c>
      <c r="N20" s="75">
        <f t="shared" si="6"/>
        <v>0</v>
      </c>
    </row>
    <row r="21" spans="1:14" x14ac:dyDescent="0.25">
      <c r="A21" s="5">
        <f t="shared" si="0"/>
        <v>15</v>
      </c>
      <c r="B21" s="26" t="s">
        <v>34</v>
      </c>
      <c r="C21" s="13" t="s">
        <v>32</v>
      </c>
      <c r="D21" s="53">
        <f>+'[1]Washington volumes'!J23</f>
        <v>0</v>
      </c>
      <c r="E21" s="76"/>
      <c r="F21" s="77">
        <v>1</v>
      </c>
      <c r="G21" s="53">
        <f>+$D21*F21</f>
        <v>0</v>
      </c>
      <c r="H21" s="78">
        <f t="shared" si="2"/>
        <v>0.12476</v>
      </c>
      <c r="I21" s="77">
        <v>0</v>
      </c>
      <c r="J21" s="53">
        <f>+$D21*I21</f>
        <v>0</v>
      </c>
      <c r="K21" s="78">
        <f t="shared" si="4"/>
        <v>0</v>
      </c>
      <c r="L21" s="77">
        <v>1</v>
      </c>
      <c r="M21" s="53">
        <f>+$D21*L21</f>
        <v>0</v>
      </c>
      <c r="N21" s="78">
        <f t="shared" si="6"/>
        <v>-8.3300000000000006E-3</v>
      </c>
    </row>
    <row r="22" spans="1:14" x14ac:dyDescent="0.25">
      <c r="A22" s="5">
        <f t="shared" si="0"/>
        <v>16</v>
      </c>
      <c r="B22" s="38"/>
      <c r="C22" s="14" t="s">
        <v>33</v>
      </c>
      <c r="D22" s="72">
        <f>+'[1]Washington volumes'!J24</f>
        <v>0</v>
      </c>
      <c r="E22" s="73"/>
      <c r="F22" s="74">
        <v>1</v>
      </c>
      <c r="G22" s="72">
        <f>+$D22*F22</f>
        <v>0</v>
      </c>
      <c r="H22" s="75">
        <f t="shared" si="2"/>
        <v>0.12476</v>
      </c>
      <c r="I22" s="74">
        <v>0</v>
      </c>
      <c r="J22" s="72">
        <f>+$D22*I22</f>
        <v>0</v>
      </c>
      <c r="K22" s="75">
        <f t="shared" si="4"/>
        <v>0</v>
      </c>
      <c r="L22" s="74">
        <v>1</v>
      </c>
      <c r="M22" s="72">
        <f>+$D22*L22</f>
        <v>0</v>
      </c>
      <c r="N22" s="75">
        <f t="shared" si="6"/>
        <v>-8.3300000000000006E-3</v>
      </c>
    </row>
    <row r="23" spans="1:14" x14ac:dyDescent="0.25">
      <c r="A23" s="5">
        <f t="shared" si="0"/>
        <v>17</v>
      </c>
      <c r="B23" s="26" t="s">
        <v>35</v>
      </c>
      <c r="C23" s="13" t="s">
        <v>32</v>
      </c>
      <c r="D23" s="53">
        <f>+'[1]Washington volumes'!J27</f>
        <v>163493</v>
      </c>
      <c r="E23" s="76"/>
      <c r="F23" s="77">
        <v>0</v>
      </c>
      <c r="G23" s="53">
        <f t="shared" si="1"/>
        <v>0</v>
      </c>
      <c r="H23" s="78">
        <f t="shared" si="2"/>
        <v>0</v>
      </c>
      <c r="I23" s="77">
        <v>0</v>
      </c>
      <c r="J23" s="53">
        <f t="shared" si="3"/>
        <v>0</v>
      </c>
      <c r="K23" s="78">
        <f t="shared" si="4"/>
        <v>0</v>
      </c>
      <c r="L23" s="77">
        <v>0</v>
      </c>
      <c r="M23" s="53">
        <f t="shared" si="5"/>
        <v>0</v>
      </c>
      <c r="N23" s="78">
        <f t="shared" si="6"/>
        <v>0</v>
      </c>
    </row>
    <row r="24" spans="1:14" x14ac:dyDescent="0.25">
      <c r="A24" s="5">
        <f t="shared" si="0"/>
        <v>18</v>
      </c>
      <c r="B24" s="38"/>
      <c r="C24" s="14" t="s">
        <v>33</v>
      </c>
      <c r="D24" s="72">
        <f>+'[1]Washington volumes'!J28</f>
        <v>280928</v>
      </c>
      <c r="E24" s="73"/>
      <c r="F24" s="74">
        <v>0</v>
      </c>
      <c r="G24" s="72">
        <f t="shared" si="1"/>
        <v>0</v>
      </c>
      <c r="H24" s="75">
        <f t="shared" si="2"/>
        <v>0</v>
      </c>
      <c r="I24" s="74">
        <v>0</v>
      </c>
      <c r="J24" s="72">
        <f t="shared" si="3"/>
        <v>0</v>
      </c>
      <c r="K24" s="75">
        <f t="shared" si="4"/>
        <v>0</v>
      </c>
      <c r="L24" s="74">
        <v>0</v>
      </c>
      <c r="M24" s="72">
        <f t="shared" si="5"/>
        <v>0</v>
      </c>
      <c r="N24" s="75">
        <f t="shared" si="6"/>
        <v>0</v>
      </c>
    </row>
    <row r="25" spans="1:14" x14ac:dyDescent="0.25">
      <c r="A25" s="5">
        <f t="shared" si="0"/>
        <v>19</v>
      </c>
      <c r="B25" s="26" t="s">
        <v>85</v>
      </c>
      <c r="C25" s="13" t="s">
        <v>32</v>
      </c>
      <c r="D25" s="79">
        <f>+'[1]Washington volumes'!J29</f>
        <v>0</v>
      </c>
      <c r="E25" s="80"/>
      <c r="F25" s="81">
        <v>0</v>
      </c>
      <c r="G25" s="79">
        <f t="shared" si="1"/>
        <v>0</v>
      </c>
      <c r="H25" s="82">
        <f>+F25*$H$83</f>
        <v>0</v>
      </c>
      <c r="I25" s="81">
        <v>0</v>
      </c>
      <c r="J25" s="79">
        <f t="shared" si="3"/>
        <v>0</v>
      </c>
      <c r="K25" s="82">
        <f t="shared" si="4"/>
        <v>0</v>
      </c>
      <c r="L25" s="81">
        <v>0</v>
      </c>
      <c r="M25" s="79">
        <f t="shared" si="5"/>
        <v>0</v>
      </c>
      <c r="N25" s="82">
        <f t="shared" si="6"/>
        <v>0</v>
      </c>
    </row>
    <row r="26" spans="1:14" x14ac:dyDescent="0.25">
      <c r="A26" s="5">
        <f t="shared" si="0"/>
        <v>20</v>
      </c>
      <c r="B26" s="26"/>
      <c r="C26" s="14" t="s">
        <v>33</v>
      </c>
      <c r="D26" s="72">
        <f>+'[1]Washington volumes'!J30</f>
        <v>0</v>
      </c>
      <c r="E26" s="73"/>
      <c r="F26" s="74">
        <v>0</v>
      </c>
      <c r="G26" s="72">
        <f t="shared" si="1"/>
        <v>0</v>
      </c>
      <c r="H26" s="75">
        <f t="shared" si="2"/>
        <v>0</v>
      </c>
      <c r="I26" s="74">
        <v>0</v>
      </c>
      <c r="J26" s="72">
        <f t="shared" si="3"/>
        <v>0</v>
      </c>
      <c r="K26" s="75">
        <f t="shared" si="4"/>
        <v>0</v>
      </c>
      <c r="L26" s="74">
        <v>0</v>
      </c>
      <c r="M26" s="72">
        <f t="shared" si="5"/>
        <v>0</v>
      </c>
      <c r="N26" s="75">
        <f t="shared" si="6"/>
        <v>0</v>
      </c>
    </row>
    <row r="27" spans="1:14" x14ac:dyDescent="0.25">
      <c r="A27" s="5">
        <f t="shared" si="0"/>
        <v>21</v>
      </c>
      <c r="B27" s="26" t="s">
        <v>37</v>
      </c>
      <c r="C27" s="13" t="s">
        <v>32</v>
      </c>
      <c r="D27" s="53">
        <f>+'[1]Washington volumes'!J21</f>
        <v>1054</v>
      </c>
      <c r="E27" s="76"/>
      <c r="F27" s="77">
        <v>1</v>
      </c>
      <c r="G27" s="53">
        <f>+$D27*F27</f>
        <v>1054</v>
      </c>
      <c r="H27" s="78">
        <f t="shared" si="2"/>
        <v>0.12476</v>
      </c>
      <c r="I27" s="77">
        <v>1</v>
      </c>
      <c r="J27" s="53">
        <f>+$D27*I27</f>
        <v>1054</v>
      </c>
      <c r="K27" s="78">
        <f t="shared" si="4"/>
        <v>-7.6800000000000002E-3</v>
      </c>
      <c r="L27" s="77">
        <v>0</v>
      </c>
      <c r="M27" s="53">
        <f>+$D27*L27</f>
        <v>0</v>
      </c>
      <c r="N27" s="78">
        <f t="shared" si="6"/>
        <v>0</v>
      </c>
    </row>
    <row r="28" spans="1:14" x14ac:dyDescent="0.25">
      <c r="A28" s="5">
        <f t="shared" si="0"/>
        <v>22</v>
      </c>
      <c r="B28" s="38"/>
      <c r="C28" s="14" t="s">
        <v>33</v>
      </c>
      <c r="D28" s="72">
        <f>+'[1]Washington volumes'!J22</f>
        <v>0</v>
      </c>
      <c r="E28" s="73"/>
      <c r="F28" s="74">
        <v>1</v>
      </c>
      <c r="G28" s="72">
        <f>+$D28*F28</f>
        <v>0</v>
      </c>
      <c r="H28" s="75">
        <f t="shared" si="2"/>
        <v>0.12476</v>
      </c>
      <c r="I28" s="74">
        <v>1</v>
      </c>
      <c r="J28" s="72">
        <f>+$D28*I28</f>
        <v>0</v>
      </c>
      <c r="K28" s="75">
        <f t="shared" si="4"/>
        <v>-7.6800000000000002E-3</v>
      </c>
      <c r="L28" s="74">
        <v>0</v>
      </c>
      <c r="M28" s="72">
        <f>+$D28*L28</f>
        <v>0</v>
      </c>
      <c r="N28" s="75">
        <f t="shared" si="6"/>
        <v>0</v>
      </c>
    </row>
    <row r="29" spans="1:14" x14ac:dyDescent="0.25">
      <c r="A29" s="5">
        <f t="shared" si="0"/>
        <v>23</v>
      </c>
      <c r="B29" s="26" t="s">
        <v>38</v>
      </c>
      <c r="C29" s="13" t="s">
        <v>32</v>
      </c>
      <c r="D29" s="53">
        <f>'[1]Washington volumes'!J25</f>
        <v>0</v>
      </c>
      <c r="E29" s="76"/>
      <c r="F29" s="77">
        <v>1</v>
      </c>
      <c r="G29" s="53">
        <f t="shared" si="1"/>
        <v>0</v>
      </c>
      <c r="H29" s="78">
        <f t="shared" si="2"/>
        <v>0.12476</v>
      </c>
      <c r="I29" s="77">
        <v>0</v>
      </c>
      <c r="J29" s="53">
        <f t="shared" si="3"/>
        <v>0</v>
      </c>
      <c r="K29" s="78">
        <f t="shared" si="4"/>
        <v>0</v>
      </c>
      <c r="L29" s="77">
        <v>1</v>
      </c>
      <c r="M29" s="53">
        <f t="shared" si="5"/>
        <v>0</v>
      </c>
      <c r="N29" s="78">
        <f t="shared" si="6"/>
        <v>-8.3300000000000006E-3</v>
      </c>
    </row>
    <row r="30" spans="1:14" x14ac:dyDescent="0.25">
      <c r="A30" s="5">
        <f t="shared" si="0"/>
        <v>24</v>
      </c>
      <c r="B30" s="38"/>
      <c r="C30" s="14" t="s">
        <v>33</v>
      </c>
      <c r="D30" s="83">
        <f>'[1]Washington volumes'!J26</f>
        <v>0</v>
      </c>
      <c r="E30" s="73"/>
      <c r="F30" s="74">
        <v>1</v>
      </c>
      <c r="G30" s="72">
        <f t="shared" si="1"/>
        <v>0</v>
      </c>
      <c r="H30" s="75">
        <f t="shared" si="2"/>
        <v>0.12476</v>
      </c>
      <c r="I30" s="74">
        <v>0</v>
      </c>
      <c r="J30" s="72">
        <f t="shared" si="3"/>
        <v>0</v>
      </c>
      <c r="K30" s="75">
        <f t="shared" si="4"/>
        <v>0</v>
      </c>
      <c r="L30" s="74">
        <v>1</v>
      </c>
      <c r="M30" s="72">
        <f t="shared" si="5"/>
        <v>0</v>
      </c>
      <c r="N30" s="75">
        <f t="shared" si="6"/>
        <v>-8.3300000000000006E-3</v>
      </c>
    </row>
    <row r="31" spans="1:14" x14ac:dyDescent="0.25">
      <c r="A31" s="5">
        <f t="shared" si="0"/>
        <v>25</v>
      </c>
      <c r="B31" s="26" t="s">
        <v>39</v>
      </c>
      <c r="C31" s="13" t="s">
        <v>32</v>
      </c>
      <c r="D31" s="53">
        <f>+'[1]Washington volumes'!J31</f>
        <v>672391.7</v>
      </c>
      <c r="E31" s="76"/>
      <c r="F31" s="77">
        <v>1</v>
      </c>
      <c r="G31" s="53">
        <f t="shared" si="1"/>
        <v>672391.7</v>
      </c>
      <c r="H31" s="78">
        <f t="shared" si="2"/>
        <v>0.12476</v>
      </c>
      <c r="I31" s="77">
        <v>1</v>
      </c>
      <c r="J31" s="53">
        <f t="shared" si="3"/>
        <v>672391.7</v>
      </c>
      <c r="K31" s="78">
        <f t="shared" si="4"/>
        <v>-7.6800000000000002E-3</v>
      </c>
      <c r="L31" s="77">
        <v>0</v>
      </c>
      <c r="M31" s="53">
        <f t="shared" si="5"/>
        <v>0</v>
      </c>
      <c r="N31" s="78">
        <f t="shared" si="6"/>
        <v>0</v>
      </c>
    </row>
    <row r="32" spans="1:14" x14ac:dyDescent="0.25">
      <c r="A32" s="5">
        <f t="shared" si="0"/>
        <v>26</v>
      </c>
      <c r="B32" s="26"/>
      <c r="C32" s="13" t="s">
        <v>33</v>
      </c>
      <c r="D32" s="53">
        <f>+'[1]Washington volumes'!J32</f>
        <v>721397.8</v>
      </c>
      <c r="E32" s="76"/>
      <c r="F32" s="77">
        <v>1</v>
      </c>
      <c r="G32" s="53">
        <f t="shared" si="1"/>
        <v>721397.8</v>
      </c>
      <c r="H32" s="78">
        <f t="shared" si="2"/>
        <v>0.12476</v>
      </c>
      <c r="I32" s="77">
        <v>1</v>
      </c>
      <c r="J32" s="53">
        <f t="shared" si="3"/>
        <v>721397.8</v>
      </c>
      <c r="K32" s="78">
        <f t="shared" si="4"/>
        <v>-7.6800000000000002E-3</v>
      </c>
      <c r="L32" s="77">
        <v>0</v>
      </c>
      <c r="M32" s="53">
        <f t="shared" si="5"/>
        <v>0</v>
      </c>
      <c r="N32" s="78">
        <f t="shared" si="6"/>
        <v>0</v>
      </c>
    </row>
    <row r="33" spans="1:14" x14ac:dyDescent="0.25">
      <c r="A33" s="5">
        <f t="shared" si="0"/>
        <v>27</v>
      </c>
      <c r="B33" s="26"/>
      <c r="C33" s="13" t="s">
        <v>40</v>
      </c>
      <c r="D33" s="53">
        <f>+'[1]Washington volumes'!J33</f>
        <v>191980.4</v>
      </c>
      <c r="E33" s="76"/>
      <c r="F33" s="77">
        <v>1</v>
      </c>
      <c r="G33" s="53">
        <f t="shared" si="1"/>
        <v>191980.4</v>
      </c>
      <c r="H33" s="78">
        <f t="shared" si="2"/>
        <v>0.12476</v>
      </c>
      <c r="I33" s="77">
        <v>1</v>
      </c>
      <c r="J33" s="53">
        <f t="shared" si="3"/>
        <v>191980.4</v>
      </c>
      <c r="K33" s="78">
        <f t="shared" si="4"/>
        <v>-7.6800000000000002E-3</v>
      </c>
      <c r="L33" s="77">
        <v>0</v>
      </c>
      <c r="M33" s="53">
        <f t="shared" si="5"/>
        <v>0</v>
      </c>
      <c r="N33" s="78">
        <f t="shared" si="6"/>
        <v>0</v>
      </c>
    </row>
    <row r="34" spans="1:14" x14ac:dyDescent="0.25">
      <c r="A34" s="5">
        <f t="shared" si="0"/>
        <v>28</v>
      </c>
      <c r="B34" s="26"/>
      <c r="C34" s="13" t="s">
        <v>41</v>
      </c>
      <c r="D34" s="53">
        <f>+'[1]Washington volumes'!J34</f>
        <v>8502.1</v>
      </c>
      <c r="E34" s="76"/>
      <c r="F34" s="77">
        <v>1</v>
      </c>
      <c r="G34" s="53">
        <f t="shared" si="1"/>
        <v>8502.1</v>
      </c>
      <c r="H34" s="78">
        <f t="shared" si="2"/>
        <v>0.12476</v>
      </c>
      <c r="I34" s="77">
        <v>1</v>
      </c>
      <c r="J34" s="53">
        <f t="shared" si="3"/>
        <v>8502.1</v>
      </c>
      <c r="K34" s="78">
        <f t="shared" si="4"/>
        <v>-7.6800000000000002E-3</v>
      </c>
      <c r="L34" s="77">
        <v>0</v>
      </c>
      <c r="M34" s="53">
        <f t="shared" si="5"/>
        <v>0</v>
      </c>
      <c r="N34" s="78">
        <f t="shared" si="6"/>
        <v>0</v>
      </c>
    </row>
    <row r="35" spans="1:14" x14ac:dyDescent="0.25">
      <c r="A35" s="5">
        <f t="shared" si="0"/>
        <v>29</v>
      </c>
      <c r="B35" s="26"/>
      <c r="C35" s="13" t="s">
        <v>42</v>
      </c>
      <c r="D35" s="53">
        <f>+'[1]Washington volumes'!J35</f>
        <v>0</v>
      </c>
      <c r="E35" s="76"/>
      <c r="F35" s="77">
        <v>1</v>
      </c>
      <c r="G35" s="53">
        <f t="shared" si="1"/>
        <v>0</v>
      </c>
      <c r="H35" s="78">
        <f t="shared" si="2"/>
        <v>0.12476</v>
      </c>
      <c r="I35" s="77">
        <v>1</v>
      </c>
      <c r="J35" s="53">
        <f t="shared" si="3"/>
        <v>0</v>
      </c>
      <c r="K35" s="78">
        <f t="shared" si="4"/>
        <v>-7.6800000000000002E-3</v>
      </c>
      <c r="L35" s="77">
        <v>0</v>
      </c>
      <c r="M35" s="53">
        <f t="shared" si="5"/>
        <v>0</v>
      </c>
      <c r="N35" s="78">
        <f t="shared" si="6"/>
        <v>0</v>
      </c>
    </row>
    <row r="36" spans="1:14" x14ac:dyDescent="0.25">
      <c r="A36" s="5">
        <f t="shared" si="0"/>
        <v>30</v>
      </c>
      <c r="B36" s="38"/>
      <c r="C36" s="14" t="s">
        <v>43</v>
      </c>
      <c r="D36" s="72">
        <f>+'[1]Washington volumes'!J36</f>
        <v>0</v>
      </c>
      <c r="E36" s="73"/>
      <c r="F36" s="74">
        <v>1</v>
      </c>
      <c r="G36" s="72">
        <f t="shared" si="1"/>
        <v>0</v>
      </c>
      <c r="H36" s="75">
        <f t="shared" si="2"/>
        <v>0.12476</v>
      </c>
      <c r="I36" s="74">
        <v>1</v>
      </c>
      <c r="J36" s="72">
        <f t="shared" si="3"/>
        <v>0</v>
      </c>
      <c r="K36" s="75">
        <f t="shared" si="4"/>
        <v>-7.6800000000000002E-3</v>
      </c>
      <c r="L36" s="74">
        <v>0</v>
      </c>
      <c r="M36" s="72">
        <f t="shared" si="5"/>
        <v>0</v>
      </c>
      <c r="N36" s="75">
        <f t="shared" si="6"/>
        <v>0</v>
      </c>
    </row>
    <row r="37" spans="1:14" x14ac:dyDescent="0.25">
      <c r="A37" s="5">
        <f t="shared" si="0"/>
        <v>31</v>
      </c>
      <c r="B37" s="26" t="s">
        <v>44</v>
      </c>
      <c r="C37" s="13" t="s">
        <v>32</v>
      </c>
      <c r="D37" s="53">
        <f>+'[1]Washington volumes'!J37</f>
        <v>1685063</v>
      </c>
      <c r="E37" s="76"/>
      <c r="F37" s="77">
        <v>1</v>
      </c>
      <c r="G37" s="53">
        <f t="shared" si="1"/>
        <v>1685063</v>
      </c>
      <c r="H37" s="78">
        <f t="shared" si="2"/>
        <v>0.12476</v>
      </c>
      <c r="I37" s="77">
        <v>1</v>
      </c>
      <c r="J37" s="53">
        <f t="shared" si="3"/>
        <v>1685063</v>
      </c>
      <c r="K37" s="78">
        <f t="shared" si="4"/>
        <v>-7.6800000000000002E-3</v>
      </c>
      <c r="L37" s="77">
        <v>0</v>
      </c>
      <c r="M37" s="53">
        <f t="shared" si="5"/>
        <v>0</v>
      </c>
      <c r="N37" s="78">
        <f t="shared" si="6"/>
        <v>0</v>
      </c>
    </row>
    <row r="38" spans="1:14" x14ac:dyDescent="0.25">
      <c r="A38" s="5">
        <f t="shared" si="0"/>
        <v>32</v>
      </c>
      <c r="B38" s="26"/>
      <c r="C38" s="13" t="s">
        <v>33</v>
      </c>
      <c r="D38" s="53">
        <f>+'[1]Washington volumes'!J38</f>
        <v>1177850</v>
      </c>
      <c r="E38" s="76"/>
      <c r="F38" s="77">
        <v>1</v>
      </c>
      <c r="G38" s="53">
        <f t="shared" si="1"/>
        <v>1177850</v>
      </c>
      <c r="H38" s="78">
        <f t="shared" si="2"/>
        <v>0.12476</v>
      </c>
      <c r="I38" s="77">
        <v>1</v>
      </c>
      <c r="J38" s="53">
        <f t="shared" si="3"/>
        <v>1177850</v>
      </c>
      <c r="K38" s="78">
        <f t="shared" si="4"/>
        <v>-7.6800000000000002E-3</v>
      </c>
      <c r="L38" s="77">
        <v>0</v>
      </c>
      <c r="M38" s="53">
        <f t="shared" si="5"/>
        <v>0</v>
      </c>
      <c r="N38" s="78">
        <f t="shared" si="6"/>
        <v>0</v>
      </c>
    </row>
    <row r="39" spans="1:14" x14ac:dyDescent="0.25">
      <c r="A39" s="5">
        <f t="shared" si="0"/>
        <v>33</v>
      </c>
      <c r="B39" s="26"/>
      <c r="C39" s="13" t="s">
        <v>40</v>
      </c>
      <c r="D39" s="53">
        <f>+'[1]Washington volumes'!J39</f>
        <v>242671</v>
      </c>
      <c r="E39" s="76"/>
      <c r="F39" s="77">
        <v>1</v>
      </c>
      <c r="G39" s="53">
        <f t="shared" si="1"/>
        <v>242671</v>
      </c>
      <c r="H39" s="78">
        <f t="shared" si="2"/>
        <v>0.12476</v>
      </c>
      <c r="I39" s="77">
        <v>1</v>
      </c>
      <c r="J39" s="53">
        <f t="shared" si="3"/>
        <v>242671</v>
      </c>
      <c r="K39" s="78">
        <f t="shared" si="4"/>
        <v>-7.6800000000000002E-3</v>
      </c>
      <c r="L39" s="77">
        <v>0</v>
      </c>
      <c r="M39" s="53">
        <f t="shared" si="5"/>
        <v>0</v>
      </c>
      <c r="N39" s="78">
        <f t="shared" si="6"/>
        <v>0</v>
      </c>
    </row>
    <row r="40" spans="1:14" x14ac:dyDescent="0.25">
      <c r="A40" s="5">
        <f t="shared" si="0"/>
        <v>34</v>
      </c>
      <c r="B40" s="26"/>
      <c r="C40" s="13" t="s">
        <v>41</v>
      </c>
      <c r="D40" s="53">
        <f>+'[1]Washington volumes'!J40</f>
        <v>15978</v>
      </c>
      <c r="E40" s="76"/>
      <c r="F40" s="77">
        <v>1</v>
      </c>
      <c r="G40" s="53">
        <f t="shared" si="1"/>
        <v>15978</v>
      </c>
      <c r="H40" s="78">
        <f t="shared" si="2"/>
        <v>0.12476</v>
      </c>
      <c r="I40" s="77">
        <v>1</v>
      </c>
      <c r="J40" s="53">
        <f t="shared" si="3"/>
        <v>15978</v>
      </c>
      <c r="K40" s="78">
        <f t="shared" si="4"/>
        <v>-7.6800000000000002E-3</v>
      </c>
      <c r="L40" s="77">
        <v>0</v>
      </c>
      <c r="M40" s="53">
        <f t="shared" si="5"/>
        <v>0</v>
      </c>
      <c r="N40" s="78">
        <f t="shared" si="6"/>
        <v>0</v>
      </c>
    </row>
    <row r="41" spans="1:14" x14ac:dyDescent="0.25">
      <c r="A41" s="5">
        <f t="shared" si="0"/>
        <v>35</v>
      </c>
      <c r="B41" s="26"/>
      <c r="C41" s="13" t="s">
        <v>42</v>
      </c>
      <c r="D41" s="53">
        <f>+'[1]Washington volumes'!J41</f>
        <v>0</v>
      </c>
      <c r="E41" s="76"/>
      <c r="F41" s="77">
        <v>1</v>
      </c>
      <c r="G41" s="53">
        <f t="shared" si="1"/>
        <v>0</v>
      </c>
      <c r="H41" s="78">
        <f t="shared" si="2"/>
        <v>0.12476</v>
      </c>
      <c r="I41" s="77">
        <v>1</v>
      </c>
      <c r="J41" s="53">
        <f t="shared" si="3"/>
        <v>0</v>
      </c>
      <c r="K41" s="78">
        <f t="shared" si="4"/>
        <v>-7.6800000000000002E-3</v>
      </c>
      <c r="L41" s="77">
        <v>0</v>
      </c>
      <c r="M41" s="53">
        <f t="shared" si="5"/>
        <v>0</v>
      </c>
      <c r="N41" s="78">
        <f t="shared" si="6"/>
        <v>0</v>
      </c>
    </row>
    <row r="42" spans="1:14" x14ac:dyDescent="0.25">
      <c r="A42" s="5">
        <f t="shared" si="0"/>
        <v>36</v>
      </c>
      <c r="B42" s="38"/>
      <c r="C42" s="14" t="s">
        <v>43</v>
      </c>
      <c r="D42" s="72">
        <f>+'[1]Washington volumes'!J42</f>
        <v>0</v>
      </c>
      <c r="E42" s="73"/>
      <c r="F42" s="74">
        <v>1</v>
      </c>
      <c r="G42" s="72">
        <f t="shared" si="1"/>
        <v>0</v>
      </c>
      <c r="H42" s="75">
        <f t="shared" si="2"/>
        <v>0.12476</v>
      </c>
      <c r="I42" s="74">
        <v>1</v>
      </c>
      <c r="J42" s="72" t="s">
        <v>86</v>
      </c>
      <c r="K42" s="75">
        <f t="shared" si="4"/>
        <v>-7.6800000000000002E-3</v>
      </c>
      <c r="L42" s="74">
        <v>0</v>
      </c>
      <c r="M42" s="72">
        <f t="shared" si="5"/>
        <v>0</v>
      </c>
      <c r="N42" s="75">
        <f t="shared" si="6"/>
        <v>0</v>
      </c>
    </row>
    <row r="43" spans="1:14" x14ac:dyDescent="0.25">
      <c r="A43" s="5">
        <f t="shared" si="0"/>
        <v>37</v>
      </c>
      <c r="B43" s="26" t="s">
        <v>45</v>
      </c>
      <c r="C43" s="13" t="s">
        <v>32</v>
      </c>
      <c r="D43" s="53">
        <f>+'[1]Washington volumes'!J43</f>
        <v>240000</v>
      </c>
      <c r="E43" s="76"/>
      <c r="F43" s="77">
        <v>0</v>
      </c>
      <c r="G43" s="53">
        <f t="shared" si="1"/>
        <v>0</v>
      </c>
      <c r="H43" s="78">
        <f t="shared" si="2"/>
        <v>0</v>
      </c>
      <c r="I43" s="77">
        <v>0</v>
      </c>
      <c r="J43" s="53">
        <f t="shared" si="3"/>
        <v>0</v>
      </c>
      <c r="K43" s="78">
        <f t="shared" si="4"/>
        <v>0</v>
      </c>
      <c r="L43" s="77">
        <v>0</v>
      </c>
      <c r="M43" s="53">
        <f t="shared" si="5"/>
        <v>0</v>
      </c>
      <c r="N43" s="78">
        <f t="shared" si="6"/>
        <v>0</v>
      </c>
    </row>
    <row r="44" spans="1:14" x14ac:dyDescent="0.25">
      <c r="A44" s="5">
        <f t="shared" si="0"/>
        <v>38</v>
      </c>
      <c r="B44" s="26"/>
      <c r="C44" s="13" t="s">
        <v>33</v>
      </c>
      <c r="D44" s="53">
        <f>+'[1]Washington volumes'!J44</f>
        <v>480000</v>
      </c>
      <c r="E44" s="76"/>
      <c r="F44" s="77">
        <v>0</v>
      </c>
      <c r="G44" s="53">
        <f t="shared" si="1"/>
        <v>0</v>
      </c>
      <c r="H44" s="78">
        <f t="shared" si="2"/>
        <v>0</v>
      </c>
      <c r="I44" s="77">
        <v>0</v>
      </c>
      <c r="J44" s="53">
        <f t="shared" si="3"/>
        <v>0</v>
      </c>
      <c r="K44" s="78">
        <f t="shared" si="4"/>
        <v>0</v>
      </c>
      <c r="L44" s="77">
        <v>0</v>
      </c>
      <c r="M44" s="53">
        <f t="shared" si="5"/>
        <v>0</v>
      </c>
      <c r="N44" s="78">
        <f t="shared" si="6"/>
        <v>0</v>
      </c>
    </row>
    <row r="45" spans="1:14" x14ac:dyDescent="0.25">
      <c r="A45" s="5">
        <f t="shared" si="0"/>
        <v>39</v>
      </c>
      <c r="B45" s="26"/>
      <c r="C45" s="13" t="s">
        <v>40</v>
      </c>
      <c r="D45" s="53">
        <f>+'[1]Washington volumes'!J45</f>
        <v>463625</v>
      </c>
      <c r="E45" s="76"/>
      <c r="F45" s="77">
        <v>0</v>
      </c>
      <c r="G45" s="53">
        <f t="shared" si="1"/>
        <v>0</v>
      </c>
      <c r="H45" s="78">
        <f t="shared" si="2"/>
        <v>0</v>
      </c>
      <c r="I45" s="77">
        <v>0</v>
      </c>
      <c r="J45" s="53">
        <f t="shared" si="3"/>
        <v>0</v>
      </c>
      <c r="K45" s="78">
        <f t="shared" si="4"/>
        <v>0</v>
      </c>
      <c r="L45" s="77">
        <v>0</v>
      </c>
      <c r="M45" s="53">
        <f t="shared" si="5"/>
        <v>0</v>
      </c>
      <c r="N45" s="78">
        <f t="shared" si="6"/>
        <v>0</v>
      </c>
    </row>
    <row r="46" spans="1:14" x14ac:dyDescent="0.25">
      <c r="A46" s="5">
        <f t="shared" si="0"/>
        <v>40</v>
      </c>
      <c r="B46" s="26"/>
      <c r="C46" s="13" t="s">
        <v>41</v>
      </c>
      <c r="D46" s="53">
        <f>+'[1]Washington volumes'!J46</f>
        <v>605238</v>
      </c>
      <c r="E46" s="76"/>
      <c r="F46" s="77">
        <v>0</v>
      </c>
      <c r="G46" s="53">
        <f t="shared" si="1"/>
        <v>0</v>
      </c>
      <c r="H46" s="78">
        <f t="shared" si="2"/>
        <v>0</v>
      </c>
      <c r="I46" s="77">
        <v>0</v>
      </c>
      <c r="J46" s="53">
        <f t="shared" si="3"/>
        <v>0</v>
      </c>
      <c r="K46" s="78">
        <f t="shared" si="4"/>
        <v>0</v>
      </c>
      <c r="L46" s="77">
        <v>0</v>
      </c>
      <c r="M46" s="53">
        <f t="shared" si="5"/>
        <v>0</v>
      </c>
      <c r="N46" s="78">
        <f t="shared" si="6"/>
        <v>0</v>
      </c>
    </row>
    <row r="47" spans="1:14" x14ac:dyDescent="0.25">
      <c r="A47" s="5">
        <f t="shared" si="0"/>
        <v>41</v>
      </c>
      <c r="B47" s="26"/>
      <c r="C47" s="13" t="s">
        <v>42</v>
      </c>
      <c r="D47" s="53">
        <f>+'[1]Washington volumes'!J47</f>
        <v>0</v>
      </c>
      <c r="E47" s="76"/>
      <c r="F47" s="77">
        <v>0</v>
      </c>
      <c r="G47" s="53">
        <f t="shared" si="1"/>
        <v>0</v>
      </c>
      <c r="H47" s="78">
        <f t="shared" si="2"/>
        <v>0</v>
      </c>
      <c r="I47" s="77">
        <v>0</v>
      </c>
      <c r="J47" s="53">
        <f t="shared" si="3"/>
        <v>0</v>
      </c>
      <c r="K47" s="78">
        <f t="shared" si="4"/>
        <v>0</v>
      </c>
      <c r="L47" s="77">
        <v>0</v>
      </c>
      <c r="M47" s="53">
        <f t="shared" si="5"/>
        <v>0</v>
      </c>
      <c r="N47" s="78">
        <f t="shared" si="6"/>
        <v>0</v>
      </c>
    </row>
    <row r="48" spans="1:14" x14ac:dyDescent="0.25">
      <c r="A48" s="5">
        <f t="shared" si="0"/>
        <v>42</v>
      </c>
      <c r="B48" s="38"/>
      <c r="C48" s="14" t="s">
        <v>43</v>
      </c>
      <c r="D48" s="72">
        <f>+'[1]Washington volumes'!J48</f>
        <v>0</v>
      </c>
      <c r="E48" s="73"/>
      <c r="F48" s="74">
        <v>0</v>
      </c>
      <c r="G48" s="72">
        <f t="shared" si="1"/>
        <v>0</v>
      </c>
      <c r="H48" s="75">
        <f t="shared" si="2"/>
        <v>0</v>
      </c>
      <c r="I48" s="74">
        <v>0</v>
      </c>
      <c r="J48" s="72">
        <f t="shared" si="3"/>
        <v>0</v>
      </c>
      <c r="K48" s="75">
        <f t="shared" si="4"/>
        <v>0</v>
      </c>
      <c r="L48" s="74">
        <v>0</v>
      </c>
      <c r="M48" s="72">
        <f t="shared" si="5"/>
        <v>0</v>
      </c>
      <c r="N48" s="75">
        <f t="shared" si="6"/>
        <v>0</v>
      </c>
    </row>
    <row r="49" spans="1:14" x14ac:dyDescent="0.25">
      <c r="A49" s="5">
        <f t="shared" si="0"/>
        <v>43</v>
      </c>
      <c r="B49" s="26" t="s">
        <v>46</v>
      </c>
      <c r="C49" s="13" t="s">
        <v>32</v>
      </c>
      <c r="D49" s="53">
        <f>+'[1]Washington volumes'!J49</f>
        <v>831868</v>
      </c>
      <c r="E49" s="76"/>
      <c r="F49" s="77">
        <v>0</v>
      </c>
      <c r="G49" s="53">
        <f t="shared" si="1"/>
        <v>0</v>
      </c>
      <c r="H49" s="78">
        <f t="shared" si="2"/>
        <v>0</v>
      </c>
      <c r="I49" s="77">
        <v>0</v>
      </c>
      <c r="J49" s="53">
        <f t="shared" si="3"/>
        <v>0</v>
      </c>
      <c r="K49" s="78">
        <f t="shared" si="4"/>
        <v>0</v>
      </c>
      <c r="L49" s="77">
        <v>0</v>
      </c>
      <c r="M49" s="53">
        <f t="shared" si="5"/>
        <v>0</v>
      </c>
      <c r="N49" s="78">
        <f t="shared" si="6"/>
        <v>0</v>
      </c>
    </row>
    <row r="50" spans="1:14" x14ac:dyDescent="0.25">
      <c r="A50" s="5">
        <f t="shared" si="0"/>
        <v>44</v>
      </c>
      <c r="B50" s="26"/>
      <c r="C50" s="13" t="s">
        <v>33</v>
      </c>
      <c r="D50" s="53">
        <f>+'[1]Washington volumes'!J50</f>
        <v>1048771</v>
      </c>
      <c r="E50" s="76"/>
      <c r="F50" s="77">
        <v>0</v>
      </c>
      <c r="G50" s="53">
        <f t="shared" si="1"/>
        <v>0</v>
      </c>
      <c r="H50" s="78">
        <f t="shared" si="2"/>
        <v>0</v>
      </c>
      <c r="I50" s="77">
        <v>0</v>
      </c>
      <c r="J50" s="53">
        <f t="shared" si="3"/>
        <v>0</v>
      </c>
      <c r="K50" s="78">
        <f t="shared" si="4"/>
        <v>0</v>
      </c>
      <c r="L50" s="77">
        <v>0</v>
      </c>
      <c r="M50" s="53">
        <f t="shared" si="5"/>
        <v>0</v>
      </c>
      <c r="N50" s="78">
        <f t="shared" si="6"/>
        <v>0</v>
      </c>
    </row>
    <row r="51" spans="1:14" x14ac:dyDescent="0.25">
      <c r="A51" s="5">
        <f t="shared" si="0"/>
        <v>45</v>
      </c>
      <c r="B51" s="26"/>
      <c r="C51" s="13" t="s">
        <v>40</v>
      </c>
      <c r="D51" s="53">
        <f>+'[1]Washington volumes'!J51</f>
        <v>923544</v>
      </c>
      <c r="E51" s="76"/>
      <c r="F51" s="77">
        <v>0</v>
      </c>
      <c r="G51" s="53">
        <f t="shared" si="1"/>
        <v>0</v>
      </c>
      <c r="H51" s="78">
        <f t="shared" si="2"/>
        <v>0</v>
      </c>
      <c r="I51" s="77">
        <v>0</v>
      </c>
      <c r="J51" s="53">
        <f t="shared" si="3"/>
        <v>0</v>
      </c>
      <c r="K51" s="78">
        <f t="shared" si="4"/>
        <v>0</v>
      </c>
      <c r="L51" s="77">
        <v>0</v>
      </c>
      <c r="M51" s="53">
        <f t="shared" si="5"/>
        <v>0</v>
      </c>
      <c r="N51" s="78">
        <f t="shared" si="6"/>
        <v>0</v>
      </c>
    </row>
    <row r="52" spans="1:14" x14ac:dyDescent="0.25">
      <c r="A52" s="5">
        <f t="shared" si="0"/>
        <v>46</v>
      </c>
      <c r="B52" s="26"/>
      <c r="C52" s="13" t="s">
        <v>41</v>
      </c>
      <c r="D52" s="53">
        <f>+'[1]Washington volumes'!J52</f>
        <v>2446349</v>
      </c>
      <c r="E52" s="76"/>
      <c r="F52" s="77">
        <v>0</v>
      </c>
      <c r="G52" s="53">
        <f t="shared" si="1"/>
        <v>0</v>
      </c>
      <c r="H52" s="78">
        <f t="shared" si="2"/>
        <v>0</v>
      </c>
      <c r="I52" s="77">
        <v>0</v>
      </c>
      <c r="J52" s="53">
        <f t="shared" si="3"/>
        <v>0</v>
      </c>
      <c r="K52" s="78">
        <f t="shared" si="4"/>
        <v>0</v>
      </c>
      <c r="L52" s="77">
        <v>0</v>
      </c>
      <c r="M52" s="53">
        <f t="shared" si="5"/>
        <v>0</v>
      </c>
      <c r="N52" s="78">
        <f t="shared" si="6"/>
        <v>0</v>
      </c>
    </row>
    <row r="53" spans="1:14" x14ac:dyDescent="0.25">
      <c r="A53" s="5">
        <f t="shared" si="0"/>
        <v>47</v>
      </c>
      <c r="B53" s="26"/>
      <c r="C53" s="13" t="s">
        <v>42</v>
      </c>
      <c r="D53" s="53">
        <f>+'[1]Washington volumes'!J53</f>
        <v>1386714</v>
      </c>
      <c r="E53" s="76"/>
      <c r="F53" s="77">
        <v>0</v>
      </c>
      <c r="G53" s="53">
        <f t="shared" si="1"/>
        <v>0</v>
      </c>
      <c r="H53" s="78">
        <f t="shared" si="2"/>
        <v>0</v>
      </c>
      <c r="I53" s="77">
        <v>0</v>
      </c>
      <c r="J53" s="53">
        <f t="shared" si="3"/>
        <v>0</v>
      </c>
      <c r="K53" s="78">
        <f t="shared" si="4"/>
        <v>0</v>
      </c>
      <c r="L53" s="77">
        <v>0</v>
      </c>
      <c r="M53" s="53">
        <f t="shared" si="5"/>
        <v>0</v>
      </c>
      <c r="N53" s="78">
        <f t="shared" si="6"/>
        <v>0</v>
      </c>
    </row>
    <row r="54" spans="1:14" x14ac:dyDescent="0.25">
      <c r="A54" s="5">
        <f t="shared" si="0"/>
        <v>48</v>
      </c>
      <c r="B54" s="38"/>
      <c r="C54" s="14" t="s">
        <v>43</v>
      </c>
      <c r="D54" s="83">
        <f>+'[1]Washington volumes'!J54</f>
        <v>0</v>
      </c>
      <c r="E54" s="73"/>
      <c r="F54" s="74">
        <v>0</v>
      </c>
      <c r="G54" s="72">
        <f t="shared" si="1"/>
        <v>0</v>
      </c>
      <c r="H54" s="75">
        <f t="shared" si="2"/>
        <v>0</v>
      </c>
      <c r="I54" s="74">
        <v>0</v>
      </c>
      <c r="J54" s="72">
        <f t="shared" si="3"/>
        <v>0</v>
      </c>
      <c r="K54" s="75">
        <f t="shared" si="4"/>
        <v>0</v>
      </c>
      <c r="L54" s="74">
        <v>0</v>
      </c>
      <c r="M54" s="72">
        <f t="shared" si="5"/>
        <v>0</v>
      </c>
      <c r="N54" s="75">
        <f t="shared" si="6"/>
        <v>0</v>
      </c>
    </row>
    <row r="55" spans="1:14" x14ac:dyDescent="0.25">
      <c r="A55" s="5">
        <f t="shared" si="0"/>
        <v>49</v>
      </c>
      <c r="B55" s="26" t="s">
        <v>47</v>
      </c>
      <c r="C55" s="13" t="s">
        <v>32</v>
      </c>
      <c r="D55" s="53">
        <f>+'[1]Washington volumes'!J55</f>
        <v>235603</v>
      </c>
      <c r="E55" s="76"/>
      <c r="F55" s="77">
        <v>1</v>
      </c>
      <c r="G55" s="53">
        <f t="shared" si="1"/>
        <v>235603</v>
      </c>
      <c r="H55" s="78">
        <f t="shared" si="2"/>
        <v>0.12476</v>
      </c>
      <c r="I55" s="77">
        <v>0</v>
      </c>
      <c r="J55" s="53">
        <f t="shared" si="3"/>
        <v>0</v>
      </c>
      <c r="K55" s="78">
        <f t="shared" si="4"/>
        <v>0</v>
      </c>
      <c r="L55" s="77">
        <v>1</v>
      </c>
      <c r="M55" s="53">
        <f t="shared" si="5"/>
        <v>235603</v>
      </c>
      <c r="N55" s="78">
        <f t="shared" si="6"/>
        <v>-8.3300000000000006E-3</v>
      </c>
    </row>
    <row r="56" spans="1:14" x14ac:dyDescent="0.25">
      <c r="A56" s="5">
        <f t="shared" si="0"/>
        <v>50</v>
      </c>
      <c r="B56" s="26"/>
      <c r="C56" s="13" t="s">
        <v>33</v>
      </c>
      <c r="D56" s="53">
        <f>+'[1]Washington volumes'!J56</f>
        <v>440807</v>
      </c>
      <c r="E56" s="76"/>
      <c r="F56" s="77">
        <v>1</v>
      </c>
      <c r="G56" s="53">
        <f t="shared" si="1"/>
        <v>440807</v>
      </c>
      <c r="H56" s="78">
        <f t="shared" si="2"/>
        <v>0.12476</v>
      </c>
      <c r="I56" s="77">
        <v>0</v>
      </c>
      <c r="J56" s="53">
        <f t="shared" si="3"/>
        <v>0</v>
      </c>
      <c r="K56" s="78">
        <f t="shared" si="4"/>
        <v>0</v>
      </c>
      <c r="L56" s="77">
        <v>1</v>
      </c>
      <c r="M56" s="53">
        <f t="shared" si="5"/>
        <v>440807</v>
      </c>
      <c r="N56" s="78">
        <f t="shared" si="6"/>
        <v>-8.3300000000000006E-3</v>
      </c>
    </row>
    <row r="57" spans="1:14" x14ac:dyDescent="0.25">
      <c r="A57" s="5">
        <f t="shared" si="0"/>
        <v>51</v>
      </c>
      <c r="B57" s="26"/>
      <c r="C57" s="13" t="s">
        <v>40</v>
      </c>
      <c r="D57" s="53">
        <f>+'[1]Washington volumes'!J57</f>
        <v>191593</v>
      </c>
      <c r="E57" s="76"/>
      <c r="F57" s="77">
        <v>1</v>
      </c>
      <c r="G57" s="53">
        <f t="shared" si="1"/>
        <v>191593</v>
      </c>
      <c r="H57" s="78">
        <f t="shared" si="2"/>
        <v>0.12476</v>
      </c>
      <c r="I57" s="77">
        <v>0</v>
      </c>
      <c r="J57" s="53">
        <f t="shared" si="3"/>
        <v>0</v>
      </c>
      <c r="K57" s="78">
        <f t="shared" si="4"/>
        <v>0</v>
      </c>
      <c r="L57" s="77">
        <v>1</v>
      </c>
      <c r="M57" s="53">
        <f t="shared" si="5"/>
        <v>191593</v>
      </c>
      <c r="N57" s="78">
        <f t="shared" si="6"/>
        <v>-8.3300000000000006E-3</v>
      </c>
    </row>
    <row r="58" spans="1:14" x14ac:dyDescent="0.25">
      <c r="A58" s="5">
        <f t="shared" si="0"/>
        <v>52</v>
      </c>
      <c r="B58" s="26"/>
      <c r="C58" s="13" t="s">
        <v>41</v>
      </c>
      <c r="D58" s="53">
        <f>+'[1]Washington volumes'!J58</f>
        <v>63452</v>
      </c>
      <c r="E58" s="76"/>
      <c r="F58" s="77">
        <v>1</v>
      </c>
      <c r="G58" s="53">
        <f t="shared" si="1"/>
        <v>63452</v>
      </c>
      <c r="H58" s="78">
        <f t="shared" si="2"/>
        <v>0.12476</v>
      </c>
      <c r="I58" s="77">
        <v>0</v>
      </c>
      <c r="J58" s="53">
        <f t="shared" si="3"/>
        <v>0</v>
      </c>
      <c r="K58" s="78">
        <f t="shared" si="4"/>
        <v>0</v>
      </c>
      <c r="L58" s="77">
        <v>1</v>
      </c>
      <c r="M58" s="53">
        <f t="shared" si="5"/>
        <v>63452</v>
      </c>
      <c r="N58" s="78">
        <f t="shared" si="6"/>
        <v>-8.3300000000000006E-3</v>
      </c>
    </row>
    <row r="59" spans="1:14" x14ac:dyDescent="0.25">
      <c r="A59" s="5">
        <f t="shared" si="0"/>
        <v>53</v>
      </c>
      <c r="B59" s="26"/>
      <c r="C59" s="13" t="s">
        <v>42</v>
      </c>
      <c r="D59" s="53">
        <f>+'[1]Washington volumes'!J59</f>
        <v>0</v>
      </c>
      <c r="E59" s="76"/>
      <c r="F59" s="77">
        <v>1</v>
      </c>
      <c r="G59" s="53">
        <f t="shared" si="1"/>
        <v>0</v>
      </c>
      <c r="H59" s="78">
        <f t="shared" si="2"/>
        <v>0.12476</v>
      </c>
      <c r="I59" s="77">
        <v>0</v>
      </c>
      <c r="J59" s="53">
        <f t="shared" si="3"/>
        <v>0</v>
      </c>
      <c r="K59" s="78">
        <f t="shared" si="4"/>
        <v>0</v>
      </c>
      <c r="L59" s="77">
        <v>1</v>
      </c>
      <c r="M59" s="53">
        <f t="shared" si="5"/>
        <v>0</v>
      </c>
      <c r="N59" s="78">
        <f t="shared" si="6"/>
        <v>-8.3300000000000006E-3</v>
      </c>
    </row>
    <row r="60" spans="1:14" x14ac:dyDescent="0.25">
      <c r="A60" s="5">
        <f t="shared" si="0"/>
        <v>54</v>
      </c>
      <c r="B60" s="38"/>
      <c r="C60" s="14" t="s">
        <v>43</v>
      </c>
      <c r="D60" s="72">
        <f>+'[1]Washington volumes'!J60</f>
        <v>0</v>
      </c>
      <c r="E60" s="73"/>
      <c r="F60" s="74">
        <v>1</v>
      </c>
      <c r="G60" s="72">
        <f t="shared" si="1"/>
        <v>0</v>
      </c>
      <c r="H60" s="75">
        <f t="shared" si="2"/>
        <v>0.12476</v>
      </c>
      <c r="I60" s="74">
        <v>0</v>
      </c>
      <c r="J60" s="72">
        <f t="shared" si="3"/>
        <v>0</v>
      </c>
      <c r="K60" s="75">
        <f t="shared" si="4"/>
        <v>0</v>
      </c>
      <c r="L60" s="74">
        <v>1</v>
      </c>
      <c r="M60" s="72">
        <f t="shared" si="5"/>
        <v>0</v>
      </c>
      <c r="N60" s="75">
        <f t="shared" si="6"/>
        <v>-8.3300000000000006E-3</v>
      </c>
    </row>
    <row r="61" spans="1:14" x14ac:dyDescent="0.25">
      <c r="A61" s="5">
        <f t="shared" si="0"/>
        <v>55</v>
      </c>
      <c r="B61" s="26" t="s">
        <v>48</v>
      </c>
      <c r="C61" s="13" t="s">
        <v>32</v>
      </c>
      <c r="D61" s="53">
        <f>+'[1]Washington volumes'!J61</f>
        <v>138034</v>
      </c>
      <c r="E61" s="76"/>
      <c r="F61" s="77">
        <v>1</v>
      </c>
      <c r="G61" s="53">
        <f t="shared" si="1"/>
        <v>138034</v>
      </c>
      <c r="H61" s="78">
        <f t="shared" si="2"/>
        <v>0.12476</v>
      </c>
      <c r="I61" s="77">
        <v>0</v>
      </c>
      <c r="J61" s="53">
        <f t="shared" si="3"/>
        <v>0</v>
      </c>
      <c r="K61" s="78">
        <f t="shared" si="4"/>
        <v>0</v>
      </c>
      <c r="L61" s="77">
        <v>1</v>
      </c>
      <c r="M61" s="53">
        <f t="shared" si="5"/>
        <v>138034</v>
      </c>
      <c r="N61" s="78">
        <f t="shared" si="6"/>
        <v>-8.3300000000000006E-3</v>
      </c>
    </row>
    <row r="62" spans="1:14" x14ac:dyDescent="0.25">
      <c r="A62" s="5">
        <f t="shared" si="0"/>
        <v>56</v>
      </c>
      <c r="B62" s="26"/>
      <c r="C62" s="13" t="s">
        <v>33</v>
      </c>
      <c r="D62" s="53">
        <f>+'[1]Washington volumes'!J62</f>
        <v>98885</v>
      </c>
      <c r="E62" s="76"/>
      <c r="F62" s="77">
        <v>1</v>
      </c>
      <c r="G62" s="53">
        <f t="shared" si="1"/>
        <v>98885</v>
      </c>
      <c r="H62" s="78">
        <f t="shared" si="2"/>
        <v>0.12476</v>
      </c>
      <c r="I62" s="77">
        <v>0</v>
      </c>
      <c r="J62" s="53">
        <f t="shared" si="3"/>
        <v>0</v>
      </c>
      <c r="K62" s="78">
        <f t="shared" si="4"/>
        <v>0</v>
      </c>
      <c r="L62" s="77">
        <v>1</v>
      </c>
      <c r="M62" s="53">
        <f t="shared" si="5"/>
        <v>98885</v>
      </c>
      <c r="N62" s="78">
        <f t="shared" si="6"/>
        <v>-8.3300000000000006E-3</v>
      </c>
    </row>
    <row r="63" spans="1:14" x14ac:dyDescent="0.25">
      <c r="A63" s="5">
        <f t="shared" si="0"/>
        <v>57</v>
      </c>
      <c r="B63" s="26"/>
      <c r="C63" s="13" t="s">
        <v>40</v>
      </c>
      <c r="D63" s="53">
        <f>+'[1]Washington volumes'!J63</f>
        <v>0</v>
      </c>
      <c r="E63" s="76"/>
      <c r="F63" s="77">
        <v>1</v>
      </c>
      <c r="G63" s="53">
        <f t="shared" si="1"/>
        <v>0</v>
      </c>
      <c r="H63" s="78">
        <f t="shared" si="2"/>
        <v>0.12476</v>
      </c>
      <c r="I63" s="77">
        <v>0</v>
      </c>
      <c r="J63" s="53">
        <f t="shared" si="3"/>
        <v>0</v>
      </c>
      <c r="K63" s="78">
        <f t="shared" si="4"/>
        <v>0</v>
      </c>
      <c r="L63" s="77">
        <v>1</v>
      </c>
      <c r="M63" s="53">
        <f t="shared" si="5"/>
        <v>0</v>
      </c>
      <c r="N63" s="78">
        <f t="shared" si="6"/>
        <v>-8.3300000000000006E-3</v>
      </c>
    </row>
    <row r="64" spans="1:14" x14ac:dyDescent="0.25">
      <c r="A64" s="5">
        <f t="shared" si="0"/>
        <v>58</v>
      </c>
      <c r="B64" s="26"/>
      <c r="C64" s="13" t="s">
        <v>41</v>
      </c>
      <c r="D64" s="53">
        <f>+'[1]Washington volumes'!J64</f>
        <v>0</v>
      </c>
      <c r="E64" s="76"/>
      <c r="F64" s="77">
        <v>1</v>
      </c>
      <c r="G64" s="53">
        <f t="shared" si="1"/>
        <v>0</v>
      </c>
      <c r="H64" s="78">
        <f t="shared" si="2"/>
        <v>0.12476</v>
      </c>
      <c r="I64" s="77">
        <v>0</v>
      </c>
      <c r="J64" s="53">
        <f t="shared" si="3"/>
        <v>0</v>
      </c>
      <c r="K64" s="78">
        <f t="shared" si="4"/>
        <v>0</v>
      </c>
      <c r="L64" s="77">
        <v>1</v>
      </c>
      <c r="M64" s="53">
        <f t="shared" si="5"/>
        <v>0</v>
      </c>
      <c r="N64" s="78">
        <f t="shared" si="6"/>
        <v>-8.3300000000000006E-3</v>
      </c>
    </row>
    <row r="65" spans="1:14" x14ac:dyDescent="0.25">
      <c r="A65" s="5">
        <f t="shared" si="0"/>
        <v>59</v>
      </c>
      <c r="B65" s="26"/>
      <c r="C65" s="13" t="s">
        <v>42</v>
      </c>
      <c r="D65" s="53">
        <f>+'[1]Washington volumes'!J65</f>
        <v>0</v>
      </c>
      <c r="E65" s="76"/>
      <c r="F65" s="77">
        <v>1</v>
      </c>
      <c r="G65" s="53">
        <f t="shared" si="1"/>
        <v>0</v>
      </c>
      <c r="H65" s="78">
        <f t="shared" si="2"/>
        <v>0.12476</v>
      </c>
      <c r="I65" s="77">
        <v>0</v>
      </c>
      <c r="J65" s="53">
        <f t="shared" si="3"/>
        <v>0</v>
      </c>
      <c r="K65" s="78">
        <f t="shared" si="4"/>
        <v>0</v>
      </c>
      <c r="L65" s="77">
        <v>1</v>
      </c>
      <c r="M65" s="53">
        <f t="shared" si="5"/>
        <v>0</v>
      </c>
      <c r="N65" s="78">
        <f t="shared" si="6"/>
        <v>-8.3300000000000006E-3</v>
      </c>
    </row>
    <row r="66" spans="1:14" x14ac:dyDescent="0.25">
      <c r="A66" s="5">
        <f t="shared" si="0"/>
        <v>60</v>
      </c>
      <c r="B66" s="38"/>
      <c r="C66" s="14" t="s">
        <v>43</v>
      </c>
      <c r="D66" s="72">
        <f>+'[1]Washington volumes'!J66</f>
        <v>0</v>
      </c>
      <c r="E66" s="73"/>
      <c r="F66" s="74">
        <v>1</v>
      </c>
      <c r="G66" s="72">
        <f t="shared" si="1"/>
        <v>0</v>
      </c>
      <c r="H66" s="75">
        <f t="shared" si="2"/>
        <v>0.12476</v>
      </c>
      <c r="I66" s="74">
        <v>0</v>
      </c>
      <c r="J66" s="72">
        <f t="shared" si="3"/>
        <v>0</v>
      </c>
      <c r="K66" s="75">
        <f t="shared" si="4"/>
        <v>0</v>
      </c>
      <c r="L66" s="74">
        <v>1</v>
      </c>
      <c r="M66" s="72">
        <f t="shared" si="5"/>
        <v>0</v>
      </c>
      <c r="N66" s="75">
        <f t="shared" si="6"/>
        <v>-8.3300000000000006E-3</v>
      </c>
    </row>
    <row r="67" spans="1:14" x14ac:dyDescent="0.25">
      <c r="A67" s="5">
        <f t="shared" si="0"/>
        <v>61</v>
      </c>
      <c r="B67" s="26" t="s">
        <v>49</v>
      </c>
      <c r="C67" s="13" t="s">
        <v>32</v>
      </c>
      <c r="D67" s="53">
        <f>+'[1]Washington volumes'!J67</f>
        <v>0</v>
      </c>
      <c r="E67" s="76"/>
      <c r="F67" s="77">
        <v>0</v>
      </c>
      <c r="G67" s="53">
        <f t="shared" si="1"/>
        <v>0</v>
      </c>
      <c r="H67" s="78">
        <f t="shared" si="2"/>
        <v>0</v>
      </c>
      <c r="I67" s="77">
        <v>0</v>
      </c>
      <c r="J67" s="53">
        <f t="shared" si="3"/>
        <v>0</v>
      </c>
      <c r="K67" s="78">
        <f t="shared" si="4"/>
        <v>0</v>
      </c>
      <c r="L67" s="77">
        <v>0</v>
      </c>
      <c r="M67" s="53">
        <f t="shared" si="5"/>
        <v>0</v>
      </c>
      <c r="N67" s="78">
        <f t="shared" si="6"/>
        <v>0</v>
      </c>
    </row>
    <row r="68" spans="1:14" x14ac:dyDescent="0.25">
      <c r="A68" s="5">
        <f t="shared" si="0"/>
        <v>62</v>
      </c>
      <c r="B68" s="26"/>
      <c r="C68" s="13" t="s">
        <v>33</v>
      </c>
      <c r="D68" s="53">
        <f>+'[1]Washington volumes'!J68</f>
        <v>0</v>
      </c>
      <c r="E68" s="76"/>
      <c r="F68" s="77">
        <v>0</v>
      </c>
      <c r="G68" s="53">
        <f t="shared" si="1"/>
        <v>0</v>
      </c>
      <c r="H68" s="78">
        <f t="shared" si="2"/>
        <v>0</v>
      </c>
      <c r="I68" s="77">
        <v>0</v>
      </c>
      <c r="J68" s="53">
        <f t="shared" si="3"/>
        <v>0</v>
      </c>
      <c r="K68" s="78">
        <f t="shared" si="4"/>
        <v>0</v>
      </c>
      <c r="L68" s="77">
        <v>0</v>
      </c>
      <c r="M68" s="53">
        <f t="shared" si="5"/>
        <v>0</v>
      </c>
      <c r="N68" s="78">
        <f t="shared" si="6"/>
        <v>0</v>
      </c>
    </row>
    <row r="69" spans="1:14" x14ac:dyDescent="0.25">
      <c r="A69" s="5">
        <f t="shared" si="0"/>
        <v>63</v>
      </c>
      <c r="B69" s="26"/>
      <c r="C69" s="13" t="s">
        <v>40</v>
      </c>
      <c r="D69" s="53">
        <f>+'[1]Washington volumes'!J69</f>
        <v>0</v>
      </c>
      <c r="E69" s="76"/>
      <c r="F69" s="77">
        <v>0</v>
      </c>
      <c r="G69" s="53">
        <f t="shared" si="1"/>
        <v>0</v>
      </c>
      <c r="H69" s="78">
        <f t="shared" si="2"/>
        <v>0</v>
      </c>
      <c r="I69" s="77">
        <v>0</v>
      </c>
      <c r="J69" s="53">
        <f t="shared" si="3"/>
        <v>0</v>
      </c>
      <c r="K69" s="78">
        <f t="shared" si="4"/>
        <v>0</v>
      </c>
      <c r="L69" s="77">
        <v>0</v>
      </c>
      <c r="M69" s="53">
        <f t="shared" si="5"/>
        <v>0</v>
      </c>
      <c r="N69" s="78">
        <f t="shared" si="6"/>
        <v>0</v>
      </c>
    </row>
    <row r="70" spans="1:14" x14ac:dyDescent="0.25">
      <c r="A70" s="5">
        <f t="shared" si="0"/>
        <v>64</v>
      </c>
      <c r="B70" s="26"/>
      <c r="C70" s="13" t="s">
        <v>41</v>
      </c>
      <c r="D70" s="53">
        <f>+'[1]Washington volumes'!J70</f>
        <v>0</v>
      </c>
      <c r="E70" s="76"/>
      <c r="F70" s="77">
        <v>0</v>
      </c>
      <c r="G70" s="53">
        <f t="shared" si="1"/>
        <v>0</v>
      </c>
      <c r="H70" s="78">
        <f t="shared" si="2"/>
        <v>0</v>
      </c>
      <c r="I70" s="77">
        <v>0</v>
      </c>
      <c r="J70" s="53">
        <f t="shared" si="3"/>
        <v>0</v>
      </c>
      <c r="K70" s="78">
        <f t="shared" si="4"/>
        <v>0</v>
      </c>
      <c r="L70" s="77">
        <v>0</v>
      </c>
      <c r="M70" s="53">
        <f t="shared" si="5"/>
        <v>0</v>
      </c>
      <c r="N70" s="78">
        <f t="shared" si="6"/>
        <v>0</v>
      </c>
    </row>
    <row r="71" spans="1:14" x14ac:dyDescent="0.25">
      <c r="A71" s="5">
        <f t="shared" si="0"/>
        <v>65</v>
      </c>
      <c r="B71" s="26"/>
      <c r="C71" s="13" t="s">
        <v>42</v>
      </c>
      <c r="D71" s="53">
        <f>+'[1]Washington volumes'!J71</f>
        <v>0</v>
      </c>
      <c r="E71" s="76"/>
      <c r="F71" s="77">
        <v>0</v>
      </c>
      <c r="G71" s="53">
        <f t="shared" si="1"/>
        <v>0</v>
      </c>
      <c r="H71" s="78">
        <f t="shared" si="2"/>
        <v>0</v>
      </c>
      <c r="I71" s="77">
        <v>0</v>
      </c>
      <c r="J71" s="53">
        <f t="shared" si="3"/>
        <v>0</v>
      </c>
      <c r="K71" s="78">
        <f t="shared" si="4"/>
        <v>0</v>
      </c>
      <c r="L71" s="77">
        <v>0</v>
      </c>
      <c r="M71" s="53">
        <f t="shared" si="5"/>
        <v>0</v>
      </c>
      <c r="N71" s="78">
        <f t="shared" si="6"/>
        <v>0</v>
      </c>
    </row>
    <row r="72" spans="1:14" x14ac:dyDescent="0.25">
      <c r="A72" s="5">
        <f t="shared" ref="A72:A78" si="7">+A71+1</f>
        <v>66</v>
      </c>
      <c r="B72" s="38"/>
      <c r="C72" s="14" t="s">
        <v>43</v>
      </c>
      <c r="D72" s="72">
        <f>+'[1]Washington volumes'!J72</f>
        <v>0</v>
      </c>
      <c r="E72" s="73"/>
      <c r="F72" s="74">
        <v>0</v>
      </c>
      <c r="G72" s="72">
        <f t="shared" si="1"/>
        <v>0</v>
      </c>
      <c r="H72" s="75">
        <f t="shared" si="2"/>
        <v>0</v>
      </c>
      <c r="I72" s="74">
        <v>0</v>
      </c>
      <c r="J72" s="72">
        <f t="shared" si="3"/>
        <v>0</v>
      </c>
      <c r="K72" s="75">
        <f t="shared" si="4"/>
        <v>0</v>
      </c>
      <c r="L72" s="74">
        <v>0</v>
      </c>
      <c r="M72" s="72">
        <f t="shared" si="5"/>
        <v>0</v>
      </c>
      <c r="N72" s="75">
        <f t="shared" si="6"/>
        <v>0</v>
      </c>
    </row>
    <row r="73" spans="1:14" x14ac:dyDescent="0.25">
      <c r="A73" s="5">
        <f t="shared" si="7"/>
        <v>67</v>
      </c>
      <c r="B73" s="26" t="s">
        <v>50</v>
      </c>
      <c r="C73" s="13" t="s">
        <v>32</v>
      </c>
      <c r="D73" s="53">
        <f>+'[1]Washington volumes'!J73</f>
        <v>762322</v>
      </c>
      <c r="E73" s="76"/>
      <c r="F73" s="77">
        <v>0</v>
      </c>
      <c r="G73" s="53">
        <f t="shared" si="1"/>
        <v>0</v>
      </c>
      <c r="H73" s="78">
        <f t="shared" si="2"/>
        <v>0</v>
      </c>
      <c r="I73" s="77">
        <v>0</v>
      </c>
      <c r="J73" s="53">
        <f t="shared" si="3"/>
        <v>0</v>
      </c>
      <c r="K73" s="78">
        <f t="shared" si="4"/>
        <v>0</v>
      </c>
      <c r="L73" s="77">
        <v>0</v>
      </c>
      <c r="M73" s="53">
        <f t="shared" si="5"/>
        <v>0</v>
      </c>
      <c r="N73" s="78">
        <f t="shared" si="6"/>
        <v>0</v>
      </c>
    </row>
    <row r="74" spans="1:14" x14ac:dyDescent="0.25">
      <c r="A74" s="5">
        <f t="shared" si="7"/>
        <v>68</v>
      </c>
      <c r="B74" s="26"/>
      <c r="C74" s="13" t="s">
        <v>33</v>
      </c>
      <c r="D74" s="53">
        <f>+'[1]Washington volumes'!J74</f>
        <v>1416561</v>
      </c>
      <c r="E74" s="76"/>
      <c r="F74" s="77">
        <v>0</v>
      </c>
      <c r="G74" s="53">
        <f t="shared" si="1"/>
        <v>0</v>
      </c>
      <c r="H74" s="78">
        <f t="shared" si="2"/>
        <v>0</v>
      </c>
      <c r="I74" s="77">
        <v>0</v>
      </c>
      <c r="J74" s="53">
        <f t="shared" si="3"/>
        <v>0</v>
      </c>
      <c r="K74" s="78">
        <f t="shared" si="4"/>
        <v>0</v>
      </c>
      <c r="L74" s="77">
        <v>0</v>
      </c>
      <c r="M74" s="53">
        <f t="shared" si="5"/>
        <v>0</v>
      </c>
      <c r="N74" s="78">
        <f t="shared" si="6"/>
        <v>0</v>
      </c>
    </row>
    <row r="75" spans="1:14" x14ac:dyDescent="0.25">
      <c r="A75" s="5">
        <f t="shared" si="7"/>
        <v>69</v>
      </c>
      <c r="B75" s="26"/>
      <c r="C75" s="13" t="s">
        <v>40</v>
      </c>
      <c r="D75" s="53">
        <f>+'[1]Washington volumes'!J75</f>
        <v>1182116</v>
      </c>
      <c r="E75" s="76"/>
      <c r="F75" s="77">
        <v>0</v>
      </c>
      <c r="G75" s="53">
        <f t="shared" si="1"/>
        <v>0</v>
      </c>
      <c r="H75" s="78">
        <f t="shared" si="2"/>
        <v>0</v>
      </c>
      <c r="I75" s="77">
        <v>0</v>
      </c>
      <c r="J75" s="53">
        <f t="shared" si="3"/>
        <v>0</v>
      </c>
      <c r="K75" s="78">
        <f t="shared" si="4"/>
        <v>0</v>
      </c>
      <c r="L75" s="77">
        <v>0</v>
      </c>
      <c r="M75" s="53">
        <f t="shared" si="5"/>
        <v>0</v>
      </c>
      <c r="N75" s="78">
        <f t="shared" si="6"/>
        <v>0</v>
      </c>
    </row>
    <row r="76" spans="1:14" x14ac:dyDescent="0.25">
      <c r="A76" s="5">
        <f t="shared" si="7"/>
        <v>70</v>
      </c>
      <c r="B76" s="26"/>
      <c r="C76" s="13" t="s">
        <v>41</v>
      </c>
      <c r="D76" s="53">
        <f>+'[1]Washington volumes'!J76</f>
        <v>3080777</v>
      </c>
      <c r="E76" s="76"/>
      <c r="F76" s="77">
        <v>0</v>
      </c>
      <c r="G76" s="53">
        <f t="shared" si="1"/>
        <v>0</v>
      </c>
      <c r="H76" s="78">
        <f t="shared" si="2"/>
        <v>0</v>
      </c>
      <c r="I76" s="77">
        <v>0</v>
      </c>
      <c r="J76" s="53">
        <f t="shared" si="3"/>
        <v>0</v>
      </c>
      <c r="K76" s="78">
        <f t="shared" si="4"/>
        <v>0</v>
      </c>
      <c r="L76" s="77">
        <v>0</v>
      </c>
      <c r="M76" s="53">
        <f t="shared" si="5"/>
        <v>0</v>
      </c>
      <c r="N76" s="78">
        <f t="shared" si="6"/>
        <v>0</v>
      </c>
    </row>
    <row r="77" spans="1:14" x14ac:dyDescent="0.25">
      <c r="A77" s="5">
        <f t="shared" si="7"/>
        <v>71</v>
      </c>
      <c r="B77" s="26"/>
      <c r="C77" s="13" t="s">
        <v>42</v>
      </c>
      <c r="D77" s="53">
        <f>+'[1]Washington volumes'!J77</f>
        <v>1407909</v>
      </c>
      <c r="E77" s="76"/>
      <c r="F77" s="77">
        <v>0</v>
      </c>
      <c r="G77" s="53">
        <f t="shared" si="1"/>
        <v>0</v>
      </c>
      <c r="H77" s="78">
        <f t="shared" ref="H77:H80" si="8">+F77*$H$83</f>
        <v>0</v>
      </c>
      <c r="I77" s="77">
        <v>0</v>
      </c>
      <c r="J77" s="53">
        <f t="shared" si="3"/>
        <v>0</v>
      </c>
      <c r="K77" s="78">
        <f t="shared" ref="K77:K80" si="9">+I77*$K$83</f>
        <v>0</v>
      </c>
      <c r="L77" s="77">
        <v>0</v>
      </c>
      <c r="M77" s="53">
        <f t="shared" si="5"/>
        <v>0</v>
      </c>
      <c r="N77" s="78">
        <f t="shared" ref="N77:N80" si="10">+L77*$N$83</f>
        <v>0</v>
      </c>
    </row>
    <row r="78" spans="1:14" x14ac:dyDescent="0.25">
      <c r="A78" s="5">
        <f t="shared" si="7"/>
        <v>72</v>
      </c>
      <c r="B78" s="38"/>
      <c r="C78" s="14" t="s">
        <v>43</v>
      </c>
      <c r="D78" s="72">
        <f>+'[1]Washington volumes'!J78</f>
        <v>0</v>
      </c>
      <c r="E78" s="73"/>
      <c r="F78" s="74">
        <v>0</v>
      </c>
      <c r="G78" s="72">
        <f t="shared" si="1"/>
        <v>0</v>
      </c>
      <c r="H78" s="75">
        <f t="shared" si="8"/>
        <v>0</v>
      </c>
      <c r="I78" s="74">
        <v>0</v>
      </c>
      <c r="J78" s="72">
        <f t="shared" si="3"/>
        <v>0</v>
      </c>
      <c r="K78" s="75">
        <f t="shared" si="9"/>
        <v>0</v>
      </c>
      <c r="L78" s="74">
        <v>0</v>
      </c>
      <c r="M78" s="72">
        <f t="shared" si="5"/>
        <v>0</v>
      </c>
      <c r="N78" s="75">
        <f t="shared" si="10"/>
        <v>0</v>
      </c>
    </row>
    <row r="79" spans="1:14" x14ac:dyDescent="0.25">
      <c r="A79" s="5">
        <f>+A72+1</f>
        <v>67</v>
      </c>
      <c r="B79" s="38" t="s">
        <v>51</v>
      </c>
      <c r="C79" s="12"/>
      <c r="D79" s="72">
        <f>+'[1]Washington volumes'!J79</f>
        <v>0</v>
      </c>
      <c r="E79" s="73"/>
      <c r="F79" s="74">
        <v>0</v>
      </c>
      <c r="G79" s="72">
        <f t="shared" si="1"/>
        <v>0</v>
      </c>
      <c r="H79" s="75">
        <f t="shared" si="8"/>
        <v>0</v>
      </c>
      <c r="I79" s="74">
        <v>0</v>
      </c>
      <c r="J79" s="72">
        <f t="shared" si="3"/>
        <v>0</v>
      </c>
      <c r="K79" s="75">
        <f t="shared" si="9"/>
        <v>0</v>
      </c>
      <c r="L79" s="74">
        <v>0</v>
      </c>
      <c r="M79" s="72">
        <f t="shared" si="5"/>
        <v>0</v>
      </c>
      <c r="N79" s="75">
        <f t="shared" si="10"/>
        <v>0</v>
      </c>
    </row>
    <row r="80" spans="1:14" x14ac:dyDescent="0.25">
      <c r="A80" s="5">
        <f t="shared" ref="A80:A88" si="11">+A79+1</f>
        <v>68</v>
      </c>
      <c r="B80" s="34" t="s">
        <v>52</v>
      </c>
      <c r="C80" s="10"/>
      <c r="D80" s="72">
        <f>+'[1]Washington volumes'!J80</f>
        <v>0</v>
      </c>
      <c r="E80" s="73"/>
      <c r="F80" s="74">
        <v>0</v>
      </c>
      <c r="G80" s="72">
        <f t="shared" si="1"/>
        <v>0</v>
      </c>
      <c r="H80" s="75">
        <f t="shared" si="8"/>
        <v>0</v>
      </c>
      <c r="I80" s="74">
        <v>0</v>
      </c>
      <c r="J80" s="72">
        <f t="shared" si="3"/>
        <v>0</v>
      </c>
      <c r="K80" s="75">
        <f t="shared" si="9"/>
        <v>0</v>
      </c>
      <c r="L80" s="74">
        <v>0</v>
      </c>
      <c r="M80" s="72">
        <f t="shared" si="5"/>
        <v>0</v>
      </c>
      <c r="N80" s="75">
        <f t="shared" si="10"/>
        <v>0</v>
      </c>
    </row>
    <row r="81" spans="1:14" x14ac:dyDescent="0.25">
      <c r="A81" s="5">
        <f t="shared" si="11"/>
        <v>69</v>
      </c>
      <c r="B81" s="34" t="s">
        <v>53</v>
      </c>
      <c r="C81" s="10"/>
      <c r="D81" s="72"/>
      <c r="E81" s="73"/>
      <c r="F81" s="74"/>
      <c r="G81" s="72"/>
      <c r="H81" s="75"/>
      <c r="I81" s="74"/>
      <c r="J81" s="72"/>
      <c r="K81" s="75"/>
      <c r="L81" s="74"/>
      <c r="M81" s="72"/>
      <c r="N81" s="75"/>
    </row>
    <row r="82" spans="1:14" x14ac:dyDescent="0.25">
      <c r="A82" s="5">
        <f t="shared" si="11"/>
        <v>70</v>
      </c>
      <c r="B82" s="22"/>
      <c r="C82" s="2"/>
      <c r="D82" s="3"/>
      <c r="E82" s="3"/>
      <c r="F82" s="84"/>
      <c r="G82" s="2"/>
      <c r="H82" s="85"/>
      <c r="I82" s="2"/>
      <c r="J82" s="2"/>
      <c r="K82" s="85"/>
      <c r="L82" s="2"/>
      <c r="M82" s="2"/>
      <c r="N82" s="85"/>
    </row>
    <row r="83" spans="1:14" x14ac:dyDescent="0.25">
      <c r="A83" s="5">
        <f t="shared" si="11"/>
        <v>71</v>
      </c>
      <c r="B83" s="22" t="s">
        <v>87</v>
      </c>
      <c r="C83" s="2"/>
      <c r="D83" s="86">
        <f>SUM(D13:D82)</f>
        <v>105191102.69999999</v>
      </c>
      <c r="E83" s="3"/>
      <c r="F83" s="84"/>
      <c r="G83" s="86">
        <f>SUM(G13:G81)</f>
        <v>88470887.699999988</v>
      </c>
      <c r="H83" s="85">
        <f>ROUND(+F10/G83,5)</f>
        <v>0.12476</v>
      </c>
      <c r="I83" s="2"/>
      <c r="J83" s="86">
        <f>SUM(J13:J81)</f>
        <v>87302513.699999988</v>
      </c>
      <c r="K83" s="85">
        <f>ROUND(+I10/J83,5)</f>
        <v>-7.6800000000000002E-3</v>
      </c>
      <c r="L83" s="2"/>
      <c r="M83" s="86">
        <f>SUM(M13:M81)</f>
        <v>1168374</v>
      </c>
      <c r="N83" s="85">
        <f>ROUND(+L10/M83,5)</f>
        <v>-8.3300000000000006E-3</v>
      </c>
    </row>
    <row r="84" spans="1:14" x14ac:dyDescent="0.25">
      <c r="A84" s="5">
        <f t="shared" si="11"/>
        <v>72</v>
      </c>
      <c r="B84" s="22"/>
      <c r="C84" s="2"/>
      <c r="D84" s="87">
        <f>+D83-'[1]Washington volumes'!J82</f>
        <v>0</v>
      </c>
      <c r="E84" s="3"/>
      <c r="F84" s="84"/>
      <c r="G84" s="2"/>
      <c r="H84" s="2"/>
      <c r="I84" s="2"/>
      <c r="J84" s="2"/>
      <c r="K84" s="2"/>
      <c r="L84" s="2"/>
      <c r="M84" s="2"/>
      <c r="N84" s="2"/>
    </row>
    <row r="85" spans="1:14" ht="15.75" thickBot="1" x14ac:dyDescent="0.3">
      <c r="A85" s="5">
        <f t="shared" si="11"/>
        <v>73</v>
      </c>
      <c r="B85" s="47" t="s">
        <v>88</v>
      </c>
      <c r="C85" s="2"/>
      <c r="D85" s="3"/>
      <c r="E85" s="3"/>
      <c r="F85" s="84"/>
      <c r="G85" s="2"/>
      <c r="H85" s="2"/>
      <c r="I85" s="2"/>
      <c r="J85" s="2"/>
      <c r="K85" s="2"/>
      <c r="L85" s="2"/>
      <c r="M85" s="2"/>
      <c r="N85" s="2"/>
    </row>
    <row r="86" spans="1:14" ht="15.75" thickBot="1" x14ac:dyDescent="0.3">
      <c r="A86" s="5">
        <f t="shared" si="11"/>
        <v>74</v>
      </c>
      <c r="B86" s="48" t="s">
        <v>89</v>
      </c>
      <c r="C86" s="18"/>
      <c r="D86" s="88"/>
      <c r="E86" s="88"/>
      <c r="F86" s="89" t="s">
        <v>90</v>
      </c>
      <c r="G86" s="19"/>
      <c r="H86" s="19"/>
      <c r="I86" s="89" t="s">
        <v>91</v>
      </c>
      <c r="J86" s="19"/>
      <c r="K86" s="19"/>
      <c r="L86" s="89" t="s">
        <v>92</v>
      </c>
      <c r="M86" s="19"/>
      <c r="N86" s="19"/>
    </row>
    <row r="87" spans="1:14" ht="15.75" thickBot="1" x14ac:dyDescent="0.3">
      <c r="A87" s="5">
        <f t="shared" si="11"/>
        <v>75</v>
      </c>
      <c r="B87" s="47" t="s">
        <v>62</v>
      </c>
      <c r="C87" s="2"/>
      <c r="D87" s="3"/>
      <c r="E87" s="3"/>
      <c r="F87" s="84"/>
      <c r="G87" s="2"/>
      <c r="H87" s="2"/>
      <c r="I87" s="2"/>
      <c r="J87" s="2"/>
      <c r="K87" s="2"/>
      <c r="L87" s="2"/>
      <c r="M87" s="2"/>
      <c r="N87" s="2"/>
    </row>
    <row r="88" spans="1:14" ht="15.75" thickBot="1" x14ac:dyDescent="0.3">
      <c r="A88" s="5">
        <f t="shared" si="11"/>
        <v>76</v>
      </c>
      <c r="B88" s="48" t="s">
        <v>63</v>
      </c>
      <c r="C88" s="18"/>
      <c r="D88" s="88"/>
      <c r="E88" s="88"/>
      <c r="F88" s="89" t="s">
        <v>64</v>
      </c>
      <c r="G88" s="19"/>
      <c r="H88" s="19"/>
      <c r="I88" s="89" t="s">
        <v>64</v>
      </c>
      <c r="J88" s="19"/>
      <c r="K88" s="19"/>
      <c r="L88" s="89" t="s">
        <v>64</v>
      </c>
      <c r="M88" s="19"/>
      <c r="N88" s="19"/>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1ABB-0B29-4475-AFD2-82B82D2904CD}">
  <dimension ref="A1:L104"/>
  <sheetViews>
    <sheetView tabSelected="1" topLeftCell="B1" zoomScaleNormal="100" workbookViewId="0">
      <selection activeCell="M5" sqref="M5"/>
    </sheetView>
  </sheetViews>
  <sheetFormatPr defaultRowHeight="15" x14ac:dyDescent="0.25"/>
  <cols>
    <col min="1" max="1" width="25" customWidth="1"/>
    <col min="2" max="2" width="18" bestFit="1" customWidth="1"/>
    <col min="3" max="3" width="7.140625" bestFit="1" customWidth="1"/>
    <col min="4" max="4" width="15.5703125" bestFit="1" customWidth="1"/>
    <col min="5" max="5" width="12.5703125" bestFit="1" customWidth="1"/>
    <col min="6" max="6" width="11.85546875" bestFit="1" customWidth="1"/>
    <col min="7" max="7" width="10.85546875" bestFit="1" customWidth="1"/>
    <col min="8" max="8" width="9.7109375" bestFit="1" customWidth="1"/>
    <col min="9" max="9" width="11.5703125" bestFit="1" customWidth="1"/>
    <col min="10" max="11" width="14.7109375" bestFit="1" customWidth="1"/>
    <col min="12" max="12" width="14.85546875" bestFit="1" customWidth="1"/>
  </cols>
  <sheetData>
    <row r="1" spans="1:12" x14ac:dyDescent="0.25">
      <c r="A1" s="1" t="str">
        <f>+'[1]Washington volumes'!A1</f>
        <v>NW Natural</v>
      </c>
      <c r="B1" s="2"/>
      <c r="C1" s="2"/>
      <c r="D1" s="2"/>
      <c r="E1" s="2"/>
      <c r="F1" s="2"/>
      <c r="G1" s="2"/>
      <c r="H1" s="2"/>
      <c r="I1" s="2"/>
      <c r="J1" s="2"/>
      <c r="K1" s="91"/>
      <c r="L1" s="2"/>
    </row>
    <row r="2" spans="1:12" x14ac:dyDescent="0.25">
      <c r="A2" s="1" t="str">
        <f>+'[1]Washington volumes'!A2</f>
        <v>Rates &amp; Regulatory Affairs</v>
      </c>
      <c r="B2" s="2"/>
      <c r="C2" s="2"/>
      <c r="D2" s="2"/>
      <c r="E2" s="2"/>
      <c r="F2" s="2"/>
      <c r="G2" s="2"/>
      <c r="H2" s="2"/>
      <c r="I2" s="2"/>
      <c r="J2" s="2"/>
      <c r="K2" s="91"/>
      <c r="L2" s="2"/>
    </row>
    <row r="3" spans="1:12" x14ac:dyDescent="0.25">
      <c r="A3" s="1" t="str">
        <f>+'[1]Washington volumes'!A3</f>
        <v>2022-2023 PGA Filing - Washington: September Filing</v>
      </c>
      <c r="B3" s="2"/>
      <c r="C3" s="2"/>
      <c r="D3" s="2"/>
      <c r="E3" s="2"/>
      <c r="F3" s="2"/>
      <c r="G3" s="2"/>
      <c r="H3" s="2"/>
      <c r="I3" s="92"/>
      <c r="J3" s="92"/>
      <c r="K3" s="91"/>
      <c r="L3" s="93"/>
    </row>
    <row r="4" spans="1:12" x14ac:dyDescent="0.25">
      <c r="A4" s="1" t="s">
        <v>93</v>
      </c>
      <c r="B4" s="2"/>
      <c r="C4" s="2"/>
      <c r="D4" s="2"/>
      <c r="E4" s="2"/>
      <c r="F4" s="2"/>
      <c r="G4" s="2"/>
      <c r="H4" s="2"/>
      <c r="I4" s="2"/>
      <c r="J4" s="92"/>
      <c r="K4" s="91"/>
      <c r="L4" s="93"/>
    </row>
    <row r="5" spans="1:12" x14ac:dyDescent="0.25">
      <c r="A5" s="94" t="s">
        <v>94</v>
      </c>
      <c r="B5" s="2"/>
      <c r="C5" s="2"/>
      <c r="D5" s="2"/>
      <c r="E5" s="2"/>
      <c r="F5" s="2"/>
      <c r="G5" s="95"/>
      <c r="H5" s="95"/>
      <c r="I5" s="95"/>
      <c r="J5" s="96"/>
      <c r="K5" s="91"/>
      <c r="L5" s="97"/>
    </row>
    <row r="6" spans="1:12" ht="15.75" thickBot="1" x14ac:dyDescent="0.3">
      <c r="A6" s="2"/>
      <c r="B6" s="2"/>
      <c r="C6" s="2"/>
      <c r="D6" s="2"/>
      <c r="E6" s="2"/>
      <c r="F6" s="2"/>
      <c r="G6" s="2"/>
      <c r="H6" s="2"/>
      <c r="I6" s="2"/>
      <c r="J6" s="2"/>
      <c r="K6" s="97"/>
      <c r="L6" s="97"/>
    </row>
    <row r="7" spans="1:12" x14ac:dyDescent="0.25">
      <c r="A7" s="5">
        <v>1</v>
      </c>
      <c r="B7" s="2"/>
      <c r="C7" s="2"/>
      <c r="D7" s="5" t="s">
        <v>67</v>
      </c>
      <c r="E7" s="2"/>
      <c r="F7" s="98" t="s">
        <v>95</v>
      </c>
      <c r="G7" s="2"/>
      <c r="H7" s="5" t="s">
        <v>96</v>
      </c>
      <c r="I7" s="98"/>
      <c r="J7" s="98" t="s">
        <v>97</v>
      </c>
      <c r="K7" s="98" t="s">
        <v>97</v>
      </c>
      <c r="L7" s="99" t="s">
        <v>97</v>
      </c>
    </row>
    <row r="8" spans="1:12" x14ac:dyDescent="0.25">
      <c r="A8" s="5">
        <f t="shared" ref="A8:A71" si="0">+A7+1</f>
        <v>2</v>
      </c>
      <c r="B8" s="2"/>
      <c r="C8" s="2"/>
      <c r="D8" s="5" t="s">
        <v>98</v>
      </c>
      <c r="E8" s="98"/>
      <c r="F8" s="98" t="s">
        <v>99</v>
      </c>
      <c r="G8" s="5" t="s">
        <v>100</v>
      </c>
      <c r="H8" s="100">
        <v>44501</v>
      </c>
      <c r="I8" s="98">
        <f>+H8</f>
        <v>44501</v>
      </c>
      <c r="J8" s="98">
        <v>44866</v>
      </c>
      <c r="K8" s="98">
        <v>44866</v>
      </c>
      <c r="L8" s="101">
        <v>44866</v>
      </c>
    </row>
    <row r="9" spans="1:12" x14ac:dyDescent="0.25">
      <c r="A9" s="5">
        <f t="shared" si="0"/>
        <v>3</v>
      </c>
      <c r="B9" s="2"/>
      <c r="C9" s="2"/>
      <c r="D9" s="5" t="s">
        <v>71</v>
      </c>
      <c r="E9" s="5" t="s">
        <v>101</v>
      </c>
      <c r="F9" s="5" t="s">
        <v>102</v>
      </c>
      <c r="G9" s="5" t="s">
        <v>102</v>
      </c>
      <c r="H9" s="5" t="s">
        <v>103</v>
      </c>
      <c r="I9" s="5" t="s">
        <v>96</v>
      </c>
      <c r="J9" s="5" t="s">
        <v>310</v>
      </c>
      <c r="K9" s="5" t="s">
        <v>310</v>
      </c>
      <c r="L9" s="102" t="s">
        <v>310</v>
      </c>
    </row>
    <row r="10" spans="1:12" ht="15.75" thickBot="1" x14ac:dyDescent="0.3">
      <c r="A10" s="5">
        <f t="shared" si="0"/>
        <v>4</v>
      </c>
      <c r="B10" s="2"/>
      <c r="C10" s="2"/>
      <c r="D10" s="62" t="s">
        <v>104</v>
      </c>
      <c r="E10" s="62" t="s">
        <v>18</v>
      </c>
      <c r="F10" s="62" t="s">
        <v>105</v>
      </c>
      <c r="G10" s="62" t="s">
        <v>106</v>
      </c>
      <c r="H10" s="62" t="s">
        <v>107</v>
      </c>
      <c r="I10" s="62" t="s">
        <v>108</v>
      </c>
      <c r="J10" s="103" t="s">
        <v>107</v>
      </c>
      <c r="K10" s="62" t="s">
        <v>108</v>
      </c>
      <c r="L10" s="104" t="s">
        <v>109</v>
      </c>
    </row>
    <row r="11" spans="1:12" x14ac:dyDescent="0.25">
      <c r="A11" s="5">
        <f t="shared" si="0"/>
        <v>5</v>
      </c>
      <c r="B11" s="2"/>
      <c r="C11" s="2"/>
      <c r="D11" s="7"/>
      <c r="E11" s="7"/>
      <c r="F11" s="7"/>
      <c r="G11" s="7"/>
      <c r="H11" s="7"/>
      <c r="I11" s="6" t="s">
        <v>110</v>
      </c>
      <c r="J11" s="7"/>
      <c r="K11" s="6" t="s">
        <v>311</v>
      </c>
      <c r="L11" s="102"/>
    </row>
    <row r="12" spans="1:12" x14ac:dyDescent="0.25">
      <c r="A12" s="5">
        <f t="shared" si="0"/>
        <v>6</v>
      </c>
      <c r="B12" s="8" t="s">
        <v>17</v>
      </c>
      <c r="C12" s="8" t="s">
        <v>18</v>
      </c>
      <c r="D12" s="9" t="s">
        <v>19</v>
      </c>
      <c r="E12" s="9" t="s">
        <v>20</v>
      </c>
      <c r="F12" s="9" t="s">
        <v>21</v>
      </c>
      <c r="G12" s="9" t="s">
        <v>22</v>
      </c>
      <c r="H12" s="9" t="s">
        <v>23</v>
      </c>
      <c r="I12" s="9" t="s">
        <v>24</v>
      </c>
      <c r="J12" s="9" t="s">
        <v>312</v>
      </c>
      <c r="K12" s="9" t="s">
        <v>313</v>
      </c>
      <c r="L12" s="105" t="s">
        <v>314</v>
      </c>
    </row>
    <row r="13" spans="1:12" x14ac:dyDescent="0.25">
      <c r="A13" s="5">
        <f t="shared" si="0"/>
        <v>7</v>
      </c>
      <c r="B13" s="10" t="s">
        <v>26</v>
      </c>
      <c r="C13" s="10"/>
      <c r="D13" s="72">
        <f>+'[1]Washington volumes'!J13</f>
        <v>271947.40000000002</v>
      </c>
      <c r="E13" s="106" t="s">
        <v>65</v>
      </c>
      <c r="F13" s="107">
        <f>+'[1]Washington volumes'!M13</f>
        <v>16</v>
      </c>
      <c r="G13" s="108">
        <v>5.5</v>
      </c>
      <c r="H13" s="15">
        <f>+'[1]Rates in summary'!D13</f>
        <v>1.3474700000000002</v>
      </c>
      <c r="I13" s="109">
        <f>ROUND(+$G13+(H13*$F13),2)</f>
        <v>27.06</v>
      </c>
      <c r="J13" s="15">
        <v>1.5652000000000004</v>
      </c>
      <c r="K13" s="109">
        <v>30.54</v>
      </c>
      <c r="L13" s="110">
        <v>0.129</v>
      </c>
    </row>
    <row r="14" spans="1:12" x14ac:dyDescent="0.25">
      <c r="A14" s="5">
        <f t="shared" si="0"/>
        <v>8</v>
      </c>
      <c r="B14" s="10" t="s">
        <v>27</v>
      </c>
      <c r="C14" s="10"/>
      <c r="D14" s="72">
        <f>+'[1]Washington volumes'!J14</f>
        <v>26595.599999999999</v>
      </c>
      <c r="E14" s="106" t="s">
        <v>65</v>
      </c>
      <c r="F14" s="107">
        <f>+'[1]Washington volumes'!M14</f>
        <v>58</v>
      </c>
      <c r="G14" s="108">
        <v>7</v>
      </c>
      <c r="H14" s="15">
        <f>+'[1]Rates in summary'!D14</f>
        <v>1.3682899999999996</v>
      </c>
      <c r="I14" s="109">
        <f t="shared" ref="I14:I18" si="1">ROUND(+$G14+(H14*$F14),2)</f>
        <v>86.36</v>
      </c>
      <c r="J14" s="15">
        <v>1.5860199999999995</v>
      </c>
      <c r="K14" s="109">
        <v>98.99</v>
      </c>
      <c r="L14" s="110">
        <v>0.14599999999999999</v>
      </c>
    </row>
    <row r="15" spans="1:12" x14ac:dyDescent="0.25">
      <c r="A15" s="5">
        <f t="shared" si="0"/>
        <v>9</v>
      </c>
      <c r="B15" s="10" t="s">
        <v>28</v>
      </c>
      <c r="C15" s="10"/>
      <c r="D15" s="72">
        <f>+'[1]Washington volumes'!J15</f>
        <v>59339066.200000003</v>
      </c>
      <c r="E15" s="106" t="s">
        <v>65</v>
      </c>
      <c r="F15" s="107">
        <f>+'[1]Washington volumes'!M15</f>
        <v>57</v>
      </c>
      <c r="G15" s="108">
        <v>8</v>
      </c>
      <c r="H15" s="15">
        <f>+'[1]Rates in summary'!D15</f>
        <v>1.0514699999999999</v>
      </c>
      <c r="I15" s="109">
        <f>ROUND(+$G15+(H15*$F15),2)</f>
        <v>67.930000000000007</v>
      </c>
      <c r="J15" s="15">
        <v>1.2692000000000001</v>
      </c>
      <c r="K15" s="109">
        <v>80.34</v>
      </c>
      <c r="L15" s="111">
        <v>0.183</v>
      </c>
    </row>
    <row r="16" spans="1:12" x14ac:dyDescent="0.25">
      <c r="A16" s="5">
        <f t="shared" si="0"/>
        <v>10</v>
      </c>
      <c r="B16" s="10" t="s">
        <v>29</v>
      </c>
      <c r="C16" s="10"/>
      <c r="D16" s="72">
        <f>+'[1]Washington volumes'!J16</f>
        <v>18510467.399999999</v>
      </c>
      <c r="E16" s="106" t="s">
        <v>65</v>
      </c>
      <c r="F16" s="107">
        <f>+'[1]Washington volumes'!M16</f>
        <v>242</v>
      </c>
      <c r="G16" s="108">
        <v>22</v>
      </c>
      <c r="H16" s="15">
        <f>+'[1]Rates in summary'!D16</f>
        <v>1.0228200000000003</v>
      </c>
      <c r="I16" s="109">
        <f>ROUND(+$G16+(H16*$F16),2)</f>
        <v>269.52</v>
      </c>
      <c r="J16" s="15">
        <v>1.2405500000000003</v>
      </c>
      <c r="K16" s="109">
        <v>322.20999999999998</v>
      </c>
      <c r="L16" s="110">
        <v>0.19500000000000001</v>
      </c>
    </row>
    <row r="17" spans="1:12" x14ac:dyDescent="0.25">
      <c r="A17" s="5">
        <f t="shared" si="0"/>
        <v>11</v>
      </c>
      <c r="B17" s="10" t="s">
        <v>30</v>
      </c>
      <c r="C17" s="10"/>
      <c r="D17" s="72">
        <f>+'[1]Washington volumes'!J17</f>
        <v>468493</v>
      </c>
      <c r="E17" s="106" t="s">
        <v>65</v>
      </c>
      <c r="F17" s="107">
        <f>+'[1]Washington volumes'!M17</f>
        <v>2297</v>
      </c>
      <c r="G17" s="108">
        <v>22</v>
      </c>
      <c r="H17" s="15">
        <f>+'[1]Rates in summary'!D17</f>
        <v>0.97857999999999967</v>
      </c>
      <c r="I17" s="109">
        <f t="shared" si="1"/>
        <v>2269.8000000000002</v>
      </c>
      <c r="J17" s="15">
        <v>1.1963099999999998</v>
      </c>
      <c r="K17" s="109">
        <v>2769.92</v>
      </c>
      <c r="L17" s="110">
        <v>0.22</v>
      </c>
    </row>
    <row r="18" spans="1:12" x14ac:dyDescent="0.25">
      <c r="A18" s="5">
        <f t="shared" si="0"/>
        <v>12</v>
      </c>
      <c r="B18" s="12">
        <v>27</v>
      </c>
      <c r="C18" s="12"/>
      <c r="D18" s="72">
        <f>+'[1]Washington volumes'!J18</f>
        <v>220539.3</v>
      </c>
      <c r="E18" s="106" t="s">
        <v>65</v>
      </c>
      <c r="F18" s="107">
        <f>+'[1]Washington volumes'!M18</f>
        <v>47</v>
      </c>
      <c r="G18" s="108">
        <v>9</v>
      </c>
      <c r="H18" s="15">
        <f>+'[1]Rates in summary'!D18</f>
        <v>0.78956999999999988</v>
      </c>
      <c r="I18" s="109">
        <f t="shared" si="1"/>
        <v>46.11</v>
      </c>
      <c r="J18" s="15">
        <v>1.0072999999999999</v>
      </c>
      <c r="K18" s="109">
        <v>56.34</v>
      </c>
      <c r="L18" s="110">
        <v>0.222</v>
      </c>
    </row>
    <row r="19" spans="1:12" x14ac:dyDescent="0.25">
      <c r="A19" s="5">
        <f t="shared" si="0"/>
        <v>13</v>
      </c>
      <c r="B19" s="5" t="s">
        <v>31</v>
      </c>
      <c r="C19" s="13" t="s">
        <v>32</v>
      </c>
      <c r="D19" s="53">
        <f>+'[1]Washington volumes'!J19</f>
        <v>1710730.7</v>
      </c>
      <c r="E19" s="112">
        <v>2000</v>
      </c>
      <c r="F19" s="113">
        <f>+'[1]Washington volumes'!M19</f>
        <v>3550</v>
      </c>
      <c r="G19" s="114">
        <v>250</v>
      </c>
      <c r="H19" s="85">
        <f>+'[1]Rates in summary'!D19</f>
        <v>0.79066000000000003</v>
      </c>
      <c r="I19" s="91"/>
      <c r="J19" s="85">
        <v>1.0283200000000001</v>
      </c>
      <c r="K19" s="91"/>
      <c r="L19" s="115"/>
    </row>
    <row r="20" spans="1:12" x14ac:dyDescent="0.25">
      <c r="A20" s="5">
        <f t="shared" si="0"/>
        <v>14</v>
      </c>
      <c r="B20" s="5"/>
      <c r="C20" s="13" t="s">
        <v>33</v>
      </c>
      <c r="D20" s="53">
        <f>+'[1]Washington volumes'!J20</f>
        <v>2037786.1</v>
      </c>
      <c r="E20" s="112" t="s">
        <v>111</v>
      </c>
      <c r="F20" s="113"/>
      <c r="G20" s="114"/>
      <c r="H20" s="85">
        <f>+'[1]Rates in summary'!D20</f>
        <v>0.7381899999999999</v>
      </c>
      <c r="I20" s="91"/>
      <c r="J20" s="85">
        <v>0.97584999999999988</v>
      </c>
      <c r="K20" s="91"/>
      <c r="L20" s="115"/>
    </row>
    <row r="21" spans="1:12" x14ac:dyDescent="0.25">
      <c r="A21" s="5">
        <f t="shared" si="0"/>
        <v>15</v>
      </c>
      <c r="B21" s="12"/>
      <c r="C21" s="116" t="s">
        <v>112</v>
      </c>
      <c r="D21" s="117"/>
      <c r="E21" s="118"/>
      <c r="F21" s="119"/>
      <c r="G21" s="120"/>
      <c r="H21" s="121"/>
      <c r="I21" s="122">
        <f>$G19+ROUND(IF($F19&lt;$E19,($F19*H19),IF($F19&gt;SUM($E19:$E20),(($E19*H19)+(($F19-$E19)*H20)),0)),2)</f>
        <v>2975.51</v>
      </c>
      <c r="J21" s="121"/>
      <c r="K21" s="122">
        <v>3819.21</v>
      </c>
      <c r="L21" s="123">
        <v>0.28399999999999997</v>
      </c>
    </row>
    <row r="22" spans="1:12" x14ac:dyDescent="0.25">
      <c r="A22" s="5">
        <f t="shared" si="0"/>
        <v>16</v>
      </c>
      <c r="B22" s="5" t="s">
        <v>34</v>
      </c>
      <c r="C22" s="13" t="s">
        <v>32</v>
      </c>
      <c r="D22" s="53">
        <f>+'[1]Washington volumes'!J23</f>
        <v>0</v>
      </c>
      <c r="E22" s="112">
        <v>2000</v>
      </c>
      <c r="F22" s="113">
        <f>+'[1]Washington volumes'!M23</f>
        <v>0</v>
      </c>
      <c r="G22" s="114">
        <v>250</v>
      </c>
      <c r="H22" s="85">
        <f>+'[1]Rates in summary'!D21</f>
        <v>0.81381000000000003</v>
      </c>
      <c r="I22" s="91"/>
      <c r="J22" s="85">
        <v>1.0144900000000001</v>
      </c>
      <c r="K22" s="91"/>
      <c r="L22" s="115"/>
    </row>
    <row r="23" spans="1:12" x14ac:dyDescent="0.25">
      <c r="A23" s="5">
        <f t="shared" si="0"/>
        <v>17</v>
      </c>
      <c r="B23" s="5"/>
      <c r="C23" s="13" t="s">
        <v>33</v>
      </c>
      <c r="D23" s="53">
        <f>+'[1]Washington volumes'!J24</f>
        <v>0</v>
      </c>
      <c r="E23" s="112" t="s">
        <v>111</v>
      </c>
      <c r="F23" s="124"/>
      <c r="G23" s="125"/>
      <c r="H23" s="85">
        <f>+'[1]Rates in summary'!D22</f>
        <v>0.76286999999999994</v>
      </c>
      <c r="I23" s="91"/>
      <c r="J23" s="85">
        <v>0.96355000000000002</v>
      </c>
      <c r="K23" s="91"/>
      <c r="L23" s="115"/>
    </row>
    <row r="24" spans="1:12" x14ac:dyDescent="0.25">
      <c r="A24" s="5">
        <f>+A22+1</f>
        <v>17</v>
      </c>
      <c r="B24" s="12"/>
      <c r="C24" s="116" t="s">
        <v>112</v>
      </c>
      <c r="D24" s="117"/>
      <c r="E24" s="118"/>
      <c r="F24" s="119"/>
      <c r="G24" s="120"/>
      <c r="H24" s="121"/>
      <c r="I24" s="122">
        <f>$G22+ROUND(IF($F22&lt;$E22,($F22*H22),IF($F22&gt;SUM($E22:$E22),(($E22*H22)+(($F22-$E22)*H22)),0)),2)</f>
        <v>250</v>
      </c>
      <c r="J24" s="121"/>
      <c r="K24" s="122">
        <v>250</v>
      </c>
      <c r="L24" s="126">
        <v>0</v>
      </c>
    </row>
    <row r="25" spans="1:12" x14ac:dyDescent="0.25">
      <c r="A25" s="5">
        <f t="shared" si="0"/>
        <v>18</v>
      </c>
      <c r="B25" s="5" t="s">
        <v>35</v>
      </c>
      <c r="C25" s="13" t="s">
        <v>32</v>
      </c>
      <c r="D25" s="53">
        <f>+'[1]Washington volumes'!J27</f>
        <v>163493</v>
      </c>
      <c r="E25" s="112">
        <v>2000</v>
      </c>
      <c r="F25" s="113">
        <f>+'[1]Washington volumes'!M27</f>
        <v>4629</v>
      </c>
      <c r="G25" s="114">
        <f>250+250</f>
        <v>500</v>
      </c>
      <c r="H25" s="85">
        <f>+'[1]Rates in summary'!D23</f>
        <v>0.37099999999999994</v>
      </c>
      <c r="I25" s="91"/>
      <c r="J25" s="85">
        <v>0.37099999999999994</v>
      </c>
      <c r="K25" s="91"/>
      <c r="L25" s="115"/>
    </row>
    <row r="26" spans="1:12" x14ac:dyDescent="0.25">
      <c r="A26" s="5">
        <f t="shared" si="0"/>
        <v>19</v>
      </c>
      <c r="B26" s="5"/>
      <c r="C26" s="13" t="s">
        <v>33</v>
      </c>
      <c r="D26" s="53">
        <f>+'[1]Washington volumes'!J28</f>
        <v>280928</v>
      </c>
      <c r="E26" s="112" t="s">
        <v>111</v>
      </c>
      <c r="F26" s="113"/>
      <c r="G26" s="114"/>
      <c r="H26" s="85">
        <f>+'[1]Rates in summary'!D24</f>
        <v>0.32688000000000006</v>
      </c>
      <c r="I26" s="91"/>
      <c r="J26" s="85">
        <v>0.32688000000000006</v>
      </c>
      <c r="K26" s="91"/>
      <c r="L26" s="115"/>
    </row>
    <row r="27" spans="1:12" x14ac:dyDescent="0.25">
      <c r="A27" s="5">
        <f t="shared" si="0"/>
        <v>20</v>
      </c>
      <c r="B27" s="12"/>
      <c r="C27" s="116" t="s">
        <v>112</v>
      </c>
      <c r="D27" s="117"/>
      <c r="E27" s="118"/>
      <c r="F27" s="119"/>
      <c r="G27" s="120"/>
      <c r="H27" s="121"/>
      <c r="I27" s="122">
        <f>$G25+ROUND(IF($F25&lt;$E25,($F25*H25),IF($F25&gt;SUM($E25:$E26),(($E25*H25)+(($F25-$E25)*H26)),0)),2)</f>
        <v>2101.37</v>
      </c>
      <c r="J27" s="121"/>
      <c r="K27" s="122">
        <v>2101.37</v>
      </c>
      <c r="L27" s="126">
        <v>0</v>
      </c>
    </row>
    <row r="28" spans="1:12" x14ac:dyDescent="0.25">
      <c r="A28" s="5">
        <f t="shared" si="0"/>
        <v>21</v>
      </c>
      <c r="B28" s="5" t="s">
        <v>36</v>
      </c>
      <c r="C28" s="13" t="s">
        <v>32</v>
      </c>
      <c r="D28" s="53">
        <f>+'[1]Washington volumes'!J29</f>
        <v>0</v>
      </c>
      <c r="E28" s="112">
        <v>2000</v>
      </c>
      <c r="F28" s="113">
        <f>+'[1]Washington volumes'!M29</f>
        <v>0</v>
      </c>
      <c r="G28" s="114">
        <f>250+250</f>
        <v>500</v>
      </c>
      <c r="H28" s="85">
        <f>+'[1]Rates in summary'!D25</f>
        <v>0.36337000000000003</v>
      </c>
      <c r="I28" s="91"/>
      <c r="J28" s="85">
        <v>0.36337000000000003</v>
      </c>
      <c r="K28" s="91"/>
      <c r="L28" s="115"/>
    </row>
    <row r="29" spans="1:12" x14ac:dyDescent="0.25">
      <c r="A29" s="5">
        <f t="shared" si="0"/>
        <v>22</v>
      </c>
      <c r="B29" s="5"/>
      <c r="C29" s="13" t="s">
        <v>33</v>
      </c>
      <c r="D29" s="53">
        <f>+'[1]Washington volumes'!J30</f>
        <v>0</v>
      </c>
      <c r="E29" s="112" t="s">
        <v>111</v>
      </c>
      <c r="F29" s="113"/>
      <c r="G29" s="114"/>
      <c r="H29" s="85">
        <f>+'[1]Rates in summary'!D26</f>
        <v>0.3201500000000001</v>
      </c>
      <c r="I29" s="91"/>
      <c r="J29" s="85">
        <v>0.3201500000000001</v>
      </c>
      <c r="K29" s="91"/>
      <c r="L29" s="115"/>
    </row>
    <row r="30" spans="1:12" x14ac:dyDescent="0.25">
      <c r="A30" s="12">
        <f t="shared" si="0"/>
        <v>23</v>
      </c>
      <c r="B30" s="12"/>
      <c r="C30" s="116" t="s">
        <v>112</v>
      </c>
      <c r="D30" s="117"/>
      <c r="E30" s="118"/>
      <c r="F30" s="119"/>
      <c r="G30" s="120"/>
      <c r="H30" s="121"/>
      <c r="I30" s="122">
        <f>$G28+ROUND(IF($F28&lt;$E28,($F28*H28),IF($F28&gt;SUM($E28:$E29),(($E28*H28)+(($F28-$E28)*H29)),0)),2)</f>
        <v>500</v>
      </c>
      <c r="J30" s="121"/>
      <c r="K30" s="122">
        <v>500</v>
      </c>
      <c r="L30" s="126">
        <v>0</v>
      </c>
    </row>
    <row r="31" spans="1:12" x14ac:dyDescent="0.25">
      <c r="A31" s="5">
        <f>+A27+1</f>
        <v>21</v>
      </c>
      <c r="B31" s="5" t="s">
        <v>37</v>
      </c>
      <c r="C31" s="13" t="s">
        <v>32</v>
      </c>
      <c r="D31" s="53">
        <f>+'[1]Washington volumes'!J21</f>
        <v>1054</v>
      </c>
      <c r="E31" s="112">
        <v>2000</v>
      </c>
      <c r="F31" s="113">
        <f>+'[1]Washington volumes'!M21</f>
        <v>4</v>
      </c>
      <c r="G31" s="114">
        <v>250</v>
      </c>
      <c r="H31" s="85">
        <f>+'[1]Rates in summary'!D27</f>
        <v>0.71891000000000027</v>
      </c>
      <c r="I31" s="91"/>
      <c r="J31" s="85">
        <v>0.95657000000000036</v>
      </c>
      <c r="K31" s="91"/>
      <c r="L31" s="115"/>
    </row>
    <row r="32" spans="1:12" x14ac:dyDescent="0.25">
      <c r="A32" s="5">
        <f t="shared" si="0"/>
        <v>22</v>
      </c>
      <c r="B32" s="5"/>
      <c r="C32" s="13" t="s">
        <v>33</v>
      </c>
      <c r="D32" s="53">
        <f>+'[1]Washington volumes'!J22</f>
        <v>0</v>
      </c>
      <c r="E32" s="112" t="s">
        <v>111</v>
      </c>
      <c r="F32" s="124"/>
      <c r="G32" s="125"/>
      <c r="H32" s="85">
        <f>+'[1]Rates in summary'!D28</f>
        <v>0.67495999999999989</v>
      </c>
      <c r="I32" s="91"/>
      <c r="J32" s="85">
        <v>0.91261999999999999</v>
      </c>
      <c r="K32" s="91"/>
      <c r="L32" s="115"/>
    </row>
    <row r="33" spans="1:12" x14ac:dyDescent="0.25">
      <c r="A33" s="5">
        <f t="shared" si="0"/>
        <v>23</v>
      </c>
      <c r="B33" s="12"/>
      <c r="C33" s="116" t="s">
        <v>112</v>
      </c>
      <c r="D33" s="117"/>
      <c r="E33" s="118"/>
      <c r="F33" s="119"/>
      <c r="G33" s="120"/>
      <c r="H33" s="121"/>
      <c r="I33" s="122">
        <f>$G31+ROUND(IF($F31&lt;$E31,($F31*H31),IF($F31&gt;SUM($E31:$E32),(($E31*H31)+(($F31-$E31)*H32)),0)),2)</f>
        <v>252.88</v>
      </c>
      <c r="J33" s="121"/>
      <c r="K33" s="122">
        <v>253.83</v>
      </c>
      <c r="L33" s="126">
        <v>4.0000000000000001E-3</v>
      </c>
    </row>
    <row r="34" spans="1:12" x14ac:dyDescent="0.25">
      <c r="A34" s="5">
        <f t="shared" si="0"/>
        <v>24</v>
      </c>
      <c r="B34" s="5" t="s">
        <v>38</v>
      </c>
      <c r="C34" s="13" t="s">
        <v>32</v>
      </c>
      <c r="D34" s="53">
        <f>+'[1]Washington volumes'!J25</f>
        <v>0</v>
      </c>
      <c r="E34" s="112">
        <v>2000</v>
      </c>
      <c r="F34" s="113">
        <f>+'[1]Washington volumes'!M25</f>
        <v>0</v>
      </c>
      <c r="G34" s="114">
        <v>250</v>
      </c>
      <c r="H34" s="85">
        <f>+'[1]Rates in summary'!D29</f>
        <v>0.7495799999999998</v>
      </c>
      <c r="I34" s="91"/>
      <c r="J34" s="85">
        <v>0.95025999999999988</v>
      </c>
      <c r="K34" s="91"/>
      <c r="L34" s="115"/>
    </row>
    <row r="35" spans="1:12" x14ac:dyDescent="0.25">
      <c r="A35" s="5">
        <f t="shared" si="0"/>
        <v>25</v>
      </c>
      <c r="B35" s="5"/>
      <c r="C35" s="13" t="s">
        <v>33</v>
      </c>
      <c r="D35" s="53">
        <f>+'[1]Washington volumes'!J26</f>
        <v>0</v>
      </c>
      <c r="E35" s="112" t="s">
        <v>111</v>
      </c>
      <c r="F35" s="113"/>
      <c r="G35" s="114"/>
      <c r="H35" s="85">
        <f>+'[1]Rates in summary'!D30</f>
        <v>0.70628000000000002</v>
      </c>
      <c r="I35" s="91"/>
      <c r="J35" s="85">
        <v>0.9069600000000001</v>
      </c>
      <c r="K35" s="91"/>
      <c r="L35" s="115"/>
    </row>
    <row r="36" spans="1:12" x14ac:dyDescent="0.25">
      <c r="A36" s="5">
        <f t="shared" si="0"/>
        <v>26</v>
      </c>
      <c r="B36" s="12"/>
      <c r="C36" s="116" t="s">
        <v>112</v>
      </c>
      <c r="D36" s="117"/>
      <c r="E36" s="118"/>
      <c r="F36" s="119"/>
      <c r="G36" s="120"/>
      <c r="H36" s="121"/>
      <c r="I36" s="122">
        <f>$G34+ROUND(IF($F34&lt;$E34,($F34*H34),IF($F34&gt;SUM($E34:$E35),(($E34*H34)+(($F34-$E34)*H35)),0)),2)</f>
        <v>250</v>
      </c>
      <c r="J36" s="121"/>
      <c r="K36" s="122">
        <v>250</v>
      </c>
      <c r="L36" s="126">
        <v>0</v>
      </c>
    </row>
    <row r="37" spans="1:12" x14ac:dyDescent="0.25">
      <c r="A37" s="5">
        <f t="shared" si="0"/>
        <v>27</v>
      </c>
      <c r="B37" s="5" t="s">
        <v>39</v>
      </c>
      <c r="C37" s="13" t="s">
        <v>32</v>
      </c>
      <c r="D37" s="53">
        <f>+'[1]Washington volumes'!J31</f>
        <v>672391.7</v>
      </c>
      <c r="E37" s="53">
        <v>10000</v>
      </c>
      <c r="F37" s="113">
        <f>+'[1]Washington volumes'!M31</f>
        <v>18979</v>
      </c>
      <c r="G37" s="114">
        <v>1300</v>
      </c>
      <c r="H37" s="85">
        <f>+'[1]Rates in summary'!D31</f>
        <v>0.56288999999999989</v>
      </c>
      <c r="I37" s="91"/>
      <c r="J37" s="85">
        <v>0.80054999999999987</v>
      </c>
      <c r="K37" s="91"/>
      <c r="L37" s="115"/>
    </row>
    <row r="38" spans="1:12" x14ac:dyDescent="0.25">
      <c r="A38" s="5">
        <f t="shared" si="0"/>
        <v>28</v>
      </c>
      <c r="B38" s="5"/>
      <c r="C38" s="13" t="s">
        <v>33</v>
      </c>
      <c r="D38" s="53">
        <f>+'[1]Washington volumes'!J32</f>
        <v>721397.8</v>
      </c>
      <c r="E38" s="53">
        <v>20000</v>
      </c>
      <c r="F38" s="113"/>
      <c r="G38" s="114"/>
      <c r="H38" s="85">
        <f>+'[1]Rates in summary'!D32</f>
        <v>0.54045999999999961</v>
      </c>
      <c r="I38" s="91"/>
      <c r="J38" s="85">
        <v>0.7781199999999997</v>
      </c>
      <c r="K38" s="91"/>
      <c r="L38" s="115"/>
    </row>
    <row r="39" spans="1:12" x14ac:dyDescent="0.25">
      <c r="A39" s="5">
        <f t="shared" si="0"/>
        <v>29</v>
      </c>
      <c r="B39" s="5"/>
      <c r="C39" s="13" t="s">
        <v>40</v>
      </c>
      <c r="D39" s="53">
        <f>+'[1]Washington volumes'!J33</f>
        <v>191980.4</v>
      </c>
      <c r="E39" s="53">
        <v>20000</v>
      </c>
      <c r="F39" s="113"/>
      <c r="G39" s="114"/>
      <c r="H39" s="85">
        <f>+'[1]Rates in summary'!D33</f>
        <v>0.49585999999999991</v>
      </c>
      <c r="I39" s="91"/>
      <c r="J39" s="85">
        <v>0.73351999999999995</v>
      </c>
      <c r="K39" s="91"/>
      <c r="L39" s="115"/>
    </row>
    <row r="40" spans="1:12" x14ac:dyDescent="0.25">
      <c r="A40" s="5">
        <f t="shared" si="0"/>
        <v>30</v>
      </c>
      <c r="B40" s="5"/>
      <c r="C40" s="13" t="s">
        <v>41</v>
      </c>
      <c r="D40" s="53">
        <f>+'[1]Washington volumes'!J34</f>
        <v>8502.1</v>
      </c>
      <c r="E40" s="53">
        <v>100000</v>
      </c>
      <c r="F40" s="113"/>
      <c r="G40" s="114"/>
      <c r="H40" s="85">
        <f>+'[1]Rates in summary'!D34</f>
        <v>0.4665100000000002</v>
      </c>
      <c r="I40" s="91"/>
      <c r="J40" s="85">
        <v>0.70417000000000018</v>
      </c>
      <c r="K40" s="91"/>
      <c r="L40" s="115"/>
    </row>
    <row r="41" spans="1:12" x14ac:dyDescent="0.25">
      <c r="A41" s="5">
        <f t="shared" si="0"/>
        <v>31</v>
      </c>
      <c r="B41" s="5"/>
      <c r="C41" s="13" t="s">
        <v>42</v>
      </c>
      <c r="D41" s="53">
        <f>+'[1]Washington volumes'!J35</f>
        <v>0</v>
      </c>
      <c r="E41" s="53">
        <v>600000</v>
      </c>
      <c r="F41" s="113"/>
      <c r="G41" s="114"/>
      <c r="H41" s="85">
        <f>+'[1]Rates in summary'!D35</f>
        <v>0.42738999999999994</v>
      </c>
      <c r="I41" s="91"/>
      <c r="J41" s="85">
        <v>0.66504999999999992</v>
      </c>
      <c r="K41" s="91"/>
      <c r="L41" s="115"/>
    </row>
    <row r="42" spans="1:12" x14ac:dyDescent="0.25">
      <c r="A42" s="5">
        <f t="shared" si="0"/>
        <v>32</v>
      </c>
      <c r="B42" s="5"/>
      <c r="C42" s="13" t="s">
        <v>43</v>
      </c>
      <c r="D42" s="53">
        <f>+'[1]Washington volumes'!J36</f>
        <v>0</v>
      </c>
      <c r="E42" s="112" t="s">
        <v>111</v>
      </c>
      <c r="F42" s="113"/>
      <c r="G42" s="114"/>
      <c r="H42" s="85">
        <f>+'[1]Rates in summary'!D36</f>
        <v>0.37846000000000007</v>
      </c>
      <c r="I42" s="91"/>
      <c r="J42" s="85">
        <v>0.61612000000000011</v>
      </c>
      <c r="K42" s="91"/>
      <c r="L42" s="115"/>
    </row>
    <row r="43" spans="1:12" x14ac:dyDescent="0.25">
      <c r="A43" s="5">
        <f t="shared" si="0"/>
        <v>33</v>
      </c>
      <c r="B43" s="12"/>
      <c r="C43" s="116" t="s">
        <v>112</v>
      </c>
      <c r="D43" s="117"/>
      <c r="E43" s="118"/>
      <c r="F43" s="119"/>
      <c r="G43" s="120"/>
      <c r="H43" s="121"/>
      <c r="I43" s="122">
        <f>$G37+ROUND(IF($F37&lt;$E37,($F37*H37),IF($F37&lt;SUM($E37:$E38),(($E37*H37)+(($F37-$E37)*H38)),IF($F37&lt;SUM($E37:$E39),(($E37*H37)+($E38*H38)+(($F37-$E37-$E38)*H39)),IF($F37&lt;SUM($E37:$E40),(($E37*H37)+($E38*H38)+($E39*H39)+(($F37-SUM($E37:$E39))*H40)),IF($F37&lt;SUM($E37:$E41),(($E37*H37)+($E38*H38)+($E39*H39)+($E40*H40)+(($F37-SUM($E37:$E40))*H41)),(($E37*H37)+($E38*H38)+($E39*H39)+($E40*H39)+($E41*H41)+(($F37-SUM($E37:$E41))*H42))))))),2)</f>
        <v>11781.69</v>
      </c>
      <c r="J43" s="121"/>
      <c r="K43" s="122">
        <v>16292.24</v>
      </c>
      <c r="L43" s="126">
        <v>0.38300000000000001</v>
      </c>
    </row>
    <row r="44" spans="1:12" x14ac:dyDescent="0.25">
      <c r="A44" s="5">
        <f t="shared" si="0"/>
        <v>34</v>
      </c>
      <c r="B44" s="5" t="s">
        <v>44</v>
      </c>
      <c r="C44" s="13" t="s">
        <v>32</v>
      </c>
      <c r="D44" s="53">
        <f>+'[1]Washington volumes'!J37</f>
        <v>1685063</v>
      </c>
      <c r="E44" s="53">
        <v>10000</v>
      </c>
      <c r="F44" s="113">
        <f>+'[1]Washington volumes'!M37</f>
        <v>26013</v>
      </c>
      <c r="G44" s="114">
        <v>1300</v>
      </c>
      <c r="H44" s="85">
        <f>+'[1]Rates in summary'!D37</f>
        <v>0.51346999999999987</v>
      </c>
      <c r="I44" s="91"/>
      <c r="J44" s="85">
        <v>0.75112999999999985</v>
      </c>
      <c r="K44" s="91"/>
      <c r="L44" s="115"/>
    </row>
    <row r="45" spans="1:12" x14ac:dyDescent="0.25">
      <c r="A45" s="5">
        <f t="shared" si="0"/>
        <v>35</v>
      </c>
      <c r="B45" s="5"/>
      <c r="C45" s="13" t="s">
        <v>33</v>
      </c>
      <c r="D45" s="53">
        <f>+'[1]Washington volumes'!J38</f>
        <v>1177850</v>
      </c>
      <c r="E45" s="53">
        <v>20000</v>
      </c>
      <c r="F45" s="113"/>
      <c r="G45" s="114"/>
      <c r="H45" s="85">
        <f>+'[1]Rates in summary'!D38</f>
        <v>0.49624000000000001</v>
      </c>
      <c r="I45" s="91"/>
      <c r="J45" s="85">
        <v>0.7339</v>
      </c>
      <c r="K45" s="91"/>
      <c r="L45" s="115"/>
    </row>
    <row r="46" spans="1:12" x14ac:dyDescent="0.25">
      <c r="A46" s="5">
        <f t="shared" si="0"/>
        <v>36</v>
      </c>
      <c r="B46" s="5"/>
      <c r="C46" s="13" t="s">
        <v>40</v>
      </c>
      <c r="D46" s="53">
        <f>+'[1]Washington volumes'!J39</f>
        <v>242671</v>
      </c>
      <c r="E46" s="53">
        <v>20000</v>
      </c>
      <c r="F46" s="113"/>
      <c r="G46" s="114"/>
      <c r="H46" s="85">
        <f>+'[1]Rates in summary'!D39</f>
        <v>0.4619399999999998</v>
      </c>
      <c r="I46" s="91"/>
      <c r="J46" s="85">
        <v>0.69959999999999978</v>
      </c>
      <c r="K46" s="91"/>
      <c r="L46" s="115"/>
    </row>
    <row r="47" spans="1:12" x14ac:dyDescent="0.25">
      <c r="A47" s="5">
        <f t="shared" si="0"/>
        <v>37</v>
      </c>
      <c r="B47" s="5"/>
      <c r="C47" s="13" t="s">
        <v>41</v>
      </c>
      <c r="D47" s="53">
        <f>+'[1]Washington volumes'!J40</f>
        <v>15978</v>
      </c>
      <c r="E47" s="53">
        <v>100000</v>
      </c>
      <c r="F47" s="113"/>
      <c r="G47" s="114"/>
      <c r="H47" s="85">
        <f>+'[1]Rates in summary'!D40</f>
        <v>0.4393800000000001</v>
      </c>
      <c r="I47" s="91"/>
      <c r="J47" s="85">
        <v>0.67704000000000009</v>
      </c>
      <c r="K47" s="91"/>
      <c r="L47" s="115"/>
    </row>
    <row r="48" spans="1:12" x14ac:dyDescent="0.25">
      <c r="A48" s="5">
        <f t="shared" si="0"/>
        <v>38</v>
      </c>
      <c r="B48" s="5"/>
      <c r="C48" s="13" t="s">
        <v>42</v>
      </c>
      <c r="D48" s="53">
        <f>+'[1]Washington volumes'!J41</f>
        <v>0</v>
      </c>
      <c r="E48" s="53">
        <v>600000</v>
      </c>
      <c r="F48" s="113"/>
      <c r="G48" s="114"/>
      <c r="H48" s="85">
        <f>+'[1]Rates in summary'!D41</f>
        <v>0.40932000000000018</v>
      </c>
      <c r="I48" s="91"/>
      <c r="J48" s="85">
        <v>0.64698000000000033</v>
      </c>
      <c r="K48" s="91"/>
      <c r="L48" s="115"/>
    </row>
    <row r="49" spans="1:12" x14ac:dyDescent="0.25">
      <c r="A49" s="5">
        <f t="shared" si="0"/>
        <v>39</v>
      </c>
      <c r="B49" s="5"/>
      <c r="C49" s="13" t="s">
        <v>43</v>
      </c>
      <c r="D49" s="53">
        <f>+'[1]Washington volumes'!J42</f>
        <v>0</v>
      </c>
      <c r="E49" s="112" t="s">
        <v>111</v>
      </c>
      <c r="F49" s="113"/>
      <c r="G49" s="114"/>
      <c r="H49" s="85">
        <f>+'[1]Rates in summary'!D42</f>
        <v>0.37169999999999986</v>
      </c>
      <c r="I49" s="91"/>
      <c r="J49" s="85">
        <v>0.6093599999999999</v>
      </c>
      <c r="K49" s="91"/>
      <c r="L49" s="115"/>
    </row>
    <row r="50" spans="1:12" x14ac:dyDescent="0.25">
      <c r="A50" s="5">
        <f t="shared" si="0"/>
        <v>40</v>
      </c>
      <c r="B50" s="12"/>
      <c r="C50" s="116" t="s">
        <v>112</v>
      </c>
      <c r="D50" s="117"/>
      <c r="E50" s="118"/>
      <c r="F50" s="119"/>
      <c r="G50" s="120"/>
      <c r="H50" s="121"/>
      <c r="I50" s="122">
        <f>$G44+ROUND(IF($F44&lt;$E44,($F44*H44),IF($F44&lt;SUM($E44:$E45),(($E44*H44)+(($F44-$E44)*H45)),IF($F44&lt;SUM($E44:$E46),(($E44*H44)+($E45*H45)+(($F44-$E44-$E45)*H46)),IF($F44&lt;SUM($E44:$E47),(($E44*H44)+($E45*H45)+($E46*H46)+(($F44-SUM($E44:$E46))*H47)),IF($F44&lt;SUM($E44:$E48),(($E44*H44)+($E45*H45)+($E46*H46)+($E47*H47)+(($F44-SUM($E44:$E47))*H48)),(($E44*H44)+($E45*H45)+($E46*H46)+($E47*H46)+($E48*H48)+(($F44-SUM($E44:$E48))*H49))))))),2)</f>
        <v>14380.99</v>
      </c>
      <c r="J50" s="121"/>
      <c r="K50" s="122">
        <v>20563.240000000002</v>
      </c>
      <c r="L50" s="126">
        <v>0.43</v>
      </c>
    </row>
    <row r="51" spans="1:12" x14ac:dyDescent="0.25">
      <c r="A51" s="5">
        <f t="shared" si="0"/>
        <v>41</v>
      </c>
      <c r="B51" s="5" t="s">
        <v>45</v>
      </c>
      <c r="C51" s="13" t="s">
        <v>32</v>
      </c>
      <c r="D51" s="53">
        <f>+'[1]Washington volumes'!J43</f>
        <v>240000</v>
      </c>
      <c r="E51" s="53">
        <v>10000</v>
      </c>
      <c r="F51" s="113">
        <f>+'[1]Washington volumes'!M43</f>
        <v>74536</v>
      </c>
      <c r="G51" s="114">
        <f>1300+250</f>
        <v>1550</v>
      </c>
      <c r="H51" s="85">
        <f>+'[1]Rates in summary'!D43</f>
        <v>0.14960999999999997</v>
      </c>
      <c r="I51" s="91"/>
      <c r="J51" s="85">
        <v>0.14960999999999997</v>
      </c>
      <c r="K51" s="91"/>
      <c r="L51" s="115"/>
    </row>
    <row r="52" spans="1:12" x14ac:dyDescent="0.25">
      <c r="A52" s="5">
        <f t="shared" si="0"/>
        <v>42</v>
      </c>
      <c r="B52" s="5"/>
      <c r="C52" s="13" t="s">
        <v>33</v>
      </c>
      <c r="D52" s="53">
        <f>+'[1]Washington volumes'!J44</f>
        <v>480000</v>
      </c>
      <c r="E52" s="53">
        <v>20000</v>
      </c>
      <c r="F52" s="113"/>
      <c r="G52" s="114"/>
      <c r="H52" s="85">
        <f>+'[1]Rates in summary'!D44</f>
        <v>0.13392000000000001</v>
      </c>
      <c r="I52" s="91"/>
      <c r="J52" s="85">
        <v>0.13392000000000001</v>
      </c>
      <c r="K52" s="91"/>
      <c r="L52" s="115"/>
    </row>
    <row r="53" spans="1:12" x14ac:dyDescent="0.25">
      <c r="A53" s="5">
        <f t="shared" si="0"/>
        <v>43</v>
      </c>
      <c r="B53" s="5"/>
      <c r="C53" s="13" t="s">
        <v>40</v>
      </c>
      <c r="D53" s="53">
        <f>+'[1]Washington volumes'!J45</f>
        <v>463625</v>
      </c>
      <c r="E53" s="53">
        <v>20000</v>
      </c>
      <c r="F53" s="113"/>
      <c r="G53" s="114"/>
      <c r="H53" s="85">
        <f>+'[1]Rates in summary'!D45</f>
        <v>0.10269999999999999</v>
      </c>
      <c r="I53" s="91"/>
      <c r="J53" s="85">
        <v>0.10269999999999999</v>
      </c>
      <c r="K53" s="91"/>
      <c r="L53" s="115"/>
    </row>
    <row r="54" spans="1:12" x14ac:dyDescent="0.25">
      <c r="A54" s="5">
        <f t="shared" si="0"/>
        <v>44</v>
      </c>
      <c r="B54" s="5"/>
      <c r="C54" s="13" t="s">
        <v>41</v>
      </c>
      <c r="D54" s="53">
        <f>+'[1]Washington volumes'!J46</f>
        <v>605238</v>
      </c>
      <c r="E54" s="53">
        <v>100000</v>
      </c>
      <c r="F54" s="113"/>
      <c r="G54" s="114"/>
      <c r="H54" s="85">
        <f>+'[1]Rates in summary'!D46</f>
        <v>8.2170000000000021E-2</v>
      </c>
      <c r="I54" s="91"/>
      <c r="J54" s="85">
        <v>8.2170000000000021E-2</v>
      </c>
      <c r="K54" s="91"/>
      <c r="L54" s="115"/>
    </row>
    <row r="55" spans="1:12" x14ac:dyDescent="0.25">
      <c r="A55" s="5">
        <f t="shared" si="0"/>
        <v>45</v>
      </c>
      <c r="B55" s="5"/>
      <c r="C55" s="13" t="s">
        <v>42</v>
      </c>
      <c r="D55" s="53">
        <f>+'[1]Washington volumes'!J47</f>
        <v>0</v>
      </c>
      <c r="E55" s="53">
        <v>600000</v>
      </c>
      <c r="F55" s="113"/>
      <c r="G55" s="114"/>
      <c r="H55" s="85">
        <f>+'[1]Rates in summary'!D47</f>
        <v>5.4790000000000005E-2</v>
      </c>
      <c r="I55" s="91"/>
      <c r="J55" s="85">
        <v>5.4790000000000005E-2</v>
      </c>
      <c r="K55" s="91"/>
      <c r="L55" s="115"/>
    </row>
    <row r="56" spans="1:12" x14ac:dyDescent="0.25">
      <c r="A56" s="5">
        <f t="shared" si="0"/>
        <v>46</v>
      </c>
      <c r="B56" s="5"/>
      <c r="C56" s="13" t="s">
        <v>43</v>
      </c>
      <c r="D56" s="53">
        <f>+'[1]Washington volumes'!J48</f>
        <v>0</v>
      </c>
      <c r="E56" s="112" t="s">
        <v>111</v>
      </c>
      <c r="F56" s="113"/>
      <c r="G56" s="114"/>
      <c r="H56" s="85">
        <f>+'[1]Rates in summary'!D48</f>
        <v>2.0539999999999999E-2</v>
      </c>
      <c r="I56" s="91"/>
      <c r="J56" s="85">
        <v>2.0539999999999999E-2</v>
      </c>
      <c r="K56" s="91"/>
      <c r="L56" s="115"/>
    </row>
    <row r="57" spans="1:12" x14ac:dyDescent="0.25">
      <c r="A57" s="5">
        <f t="shared" si="0"/>
        <v>47</v>
      </c>
      <c r="B57" s="12"/>
      <c r="C57" s="116" t="s">
        <v>112</v>
      </c>
      <c r="D57" s="117"/>
      <c r="E57" s="118"/>
      <c r="F57" s="119"/>
      <c r="G57" s="120"/>
      <c r="H57" s="121"/>
      <c r="I57" s="122">
        <f>$G51+ROUND(IF($F51&lt;$E51,($F51*H51),IF($F51&lt;SUM($E51:$E52),(($E51*H51)+(($F51-$E51)*H52)),IF($F51&lt;SUM($E51:$E53),(($E51*H51)+($E52*H52)+(($F51-$E51-$E52)*H53)),IF($F51&lt;SUM($E51:$E54),(($E51*H51)+($E52*H52)+($E53*H53)+(($F51-SUM($E51:$E53))*H54)),IF($F51&lt;SUM($E51:$E55),(($E51*H51)+($E52*H52)+($E53*H53)+($E54*H54)+(($F51-SUM($E51:$E54))*H55)),(($E51*H51)+($E52*H52)+($E53*H53)+($E54*H53)+($E55*H55)+(($F51-SUM($E51:$E55))*H56))))))),2)</f>
        <v>9794.6200000000008</v>
      </c>
      <c r="J57" s="121"/>
      <c r="K57" s="122">
        <v>9794.6200000000008</v>
      </c>
      <c r="L57" s="126">
        <v>0</v>
      </c>
    </row>
    <row r="58" spans="1:12" x14ac:dyDescent="0.25">
      <c r="A58" s="5">
        <f t="shared" si="0"/>
        <v>48</v>
      </c>
      <c r="B58" s="5" t="s">
        <v>46</v>
      </c>
      <c r="C58" s="13" t="s">
        <v>32</v>
      </c>
      <c r="D58" s="53">
        <f>+'[1]Washington volumes'!J49</f>
        <v>831868</v>
      </c>
      <c r="E58" s="53">
        <v>10000</v>
      </c>
      <c r="F58" s="113">
        <f>+'[1]Washington volumes'!M49</f>
        <v>69138</v>
      </c>
      <c r="G58" s="114">
        <f>1300+250</f>
        <v>1550</v>
      </c>
      <c r="H58" s="85">
        <f>+'[1]Rates in summary'!D49</f>
        <v>0.14867000000000002</v>
      </c>
      <c r="I58" s="91"/>
      <c r="J58" s="85">
        <v>0.14867000000000002</v>
      </c>
      <c r="K58" s="91"/>
      <c r="L58" s="127"/>
    </row>
    <row r="59" spans="1:12" x14ac:dyDescent="0.25">
      <c r="A59" s="5">
        <f t="shared" si="0"/>
        <v>49</v>
      </c>
      <c r="B59" s="5"/>
      <c r="C59" s="13" t="s">
        <v>33</v>
      </c>
      <c r="D59" s="53">
        <f>+'[1]Washington volumes'!J50</f>
        <v>1048771</v>
      </c>
      <c r="E59" s="53">
        <v>20000</v>
      </c>
      <c r="F59" s="113"/>
      <c r="G59" s="114"/>
      <c r="H59" s="85">
        <f>+'[1]Rates in summary'!D50</f>
        <v>0.13306999999999994</v>
      </c>
      <c r="I59" s="91"/>
      <c r="J59" s="85">
        <v>0.13306999999999994</v>
      </c>
      <c r="K59" s="91"/>
      <c r="L59" s="127"/>
    </row>
    <row r="60" spans="1:12" x14ac:dyDescent="0.25">
      <c r="A60" s="5">
        <f t="shared" si="0"/>
        <v>50</v>
      </c>
      <c r="B60" s="5"/>
      <c r="C60" s="13" t="s">
        <v>40</v>
      </c>
      <c r="D60" s="53">
        <f>+'[1]Washington volumes'!J51</f>
        <v>923544</v>
      </c>
      <c r="E60" s="53">
        <v>20000</v>
      </c>
      <c r="F60" s="113"/>
      <c r="G60" s="114"/>
      <c r="H60" s="85">
        <f>+'[1]Rates in summary'!D51</f>
        <v>0.10205</v>
      </c>
      <c r="I60" s="91"/>
      <c r="J60" s="85">
        <v>0.10205</v>
      </c>
      <c r="K60" s="91"/>
      <c r="L60" s="127"/>
    </row>
    <row r="61" spans="1:12" x14ac:dyDescent="0.25">
      <c r="A61" s="5">
        <f t="shared" si="0"/>
        <v>51</v>
      </c>
      <c r="B61" s="5"/>
      <c r="C61" s="13" t="s">
        <v>41</v>
      </c>
      <c r="D61" s="53">
        <f>+'[1]Washington volumes'!J52</f>
        <v>2446349</v>
      </c>
      <c r="E61" s="53">
        <v>100000</v>
      </c>
      <c r="F61" s="113"/>
      <c r="G61" s="114"/>
      <c r="H61" s="85">
        <f>+'[1]Rates in summary'!D52</f>
        <v>8.1650000000000014E-2</v>
      </c>
      <c r="I61" s="91"/>
      <c r="J61" s="85">
        <v>8.1650000000000014E-2</v>
      </c>
      <c r="K61" s="91"/>
      <c r="L61" s="127"/>
    </row>
    <row r="62" spans="1:12" x14ac:dyDescent="0.25">
      <c r="A62" s="5">
        <f t="shared" si="0"/>
        <v>52</v>
      </c>
      <c r="B62" s="5"/>
      <c r="C62" s="13" t="s">
        <v>42</v>
      </c>
      <c r="D62" s="53">
        <f>+'[1]Washington volumes'!J53</f>
        <v>1386714</v>
      </c>
      <c r="E62" s="53">
        <v>600000</v>
      </c>
      <c r="F62" s="113"/>
      <c r="G62" s="114"/>
      <c r="H62" s="85">
        <f>+'[1]Rates in summary'!D53</f>
        <v>5.4429999999999999E-2</v>
      </c>
      <c r="I62" s="91"/>
      <c r="J62" s="85">
        <v>5.4429999999999999E-2</v>
      </c>
      <c r="K62" s="91"/>
      <c r="L62" s="127"/>
    </row>
    <row r="63" spans="1:12" x14ac:dyDescent="0.25">
      <c r="A63" s="5">
        <f t="shared" si="0"/>
        <v>53</v>
      </c>
      <c r="B63" s="5"/>
      <c r="C63" s="13" t="s">
        <v>43</v>
      </c>
      <c r="D63" s="53">
        <f>+'[1]Washington volumes'!J54</f>
        <v>0</v>
      </c>
      <c r="E63" s="112" t="s">
        <v>111</v>
      </c>
      <c r="F63" s="113"/>
      <c r="G63" s="114"/>
      <c r="H63" s="85">
        <f>+'[1]Rates in summary'!D54</f>
        <v>2.0410000000000001E-2</v>
      </c>
      <c r="I63" s="91"/>
      <c r="J63" s="85">
        <v>2.0410000000000001E-2</v>
      </c>
      <c r="K63" s="91"/>
      <c r="L63" s="127"/>
    </row>
    <row r="64" spans="1:12" x14ac:dyDescent="0.25">
      <c r="A64" s="5">
        <f t="shared" si="0"/>
        <v>54</v>
      </c>
      <c r="B64" s="12"/>
      <c r="C64" s="116" t="s">
        <v>112</v>
      </c>
      <c r="D64" s="117"/>
      <c r="E64" s="118"/>
      <c r="F64" s="119"/>
      <c r="G64" s="120"/>
      <c r="H64" s="121"/>
      <c r="I64" s="122">
        <f>$G58+ROUND(IF($F58&lt;$E58,($F58*H58),IF($F58&lt;SUM($E58:$E59),(($E58*H58)+(($F58-$E58)*H59)),IF($F58&lt;SUM($E58:$E60),(($E58*H58)+($E59*H59)+(($F58-$E58-$E59)*H60)),IF($F58&lt;SUM($E58:$E61),(($E58*H58)+($E59*H59)+($E60*H60)+(($F58-SUM($E58:$E60))*H61)),IF($F58&lt;SUM($E58:$E62),(($E58*H58)+($E59*H59)+($E60*H60)+($E61*H61)+(($F58-SUM($E58:$E61))*H62)),(($E58*H58)+($E59*H59)+($E60*H60)+($E61*H60)+($E62*H62)+(($F58-SUM($E58:$E62))*H63))))))),2)</f>
        <v>9301.7200000000012</v>
      </c>
      <c r="J64" s="121"/>
      <c r="K64" s="122">
        <v>9301.7200000000012</v>
      </c>
      <c r="L64" s="123">
        <v>0</v>
      </c>
    </row>
    <row r="65" spans="1:12" x14ac:dyDescent="0.25">
      <c r="A65" s="5">
        <f t="shared" si="0"/>
        <v>55</v>
      </c>
      <c r="B65" s="5" t="s">
        <v>47</v>
      </c>
      <c r="C65" s="13" t="s">
        <v>32</v>
      </c>
      <c r="D65" s="53">
        <f>+'[1]Washington volumes'!J55</f>
        <v>235603</v>
      </c>
      <c r="E65" s="53">
        <v>10000</v>
      </c>
      <c r="F65" s="113">
        <f>+'[1]Washington volumes'!M55</f>
        <v>25874</v>
      </c>
      <c r="G65" s="114">
        <v>1300</v>
      </c>
      <c r="H65" s="85">
        <f>+'[1]Rates in summary'!D55</f>
        <v>0.56372000000000011</v>
      </c>
      <c r="I65" s="91"/>
      <c r="J65" s="85">
        <v>0.76440000000000019</v>
      </c>
      <c r="K65" s="91"/>
      <c r="L65" s="115"/>
    </row>
    <row r="66" spans="1:12" x14ac:dyDescent="0.25">
      <c r="A66" s="5">
        <f t="shared" si="0"/>
        <v>56</v>
      </c>
      <c r="B66" s="5"/>
      <c r="C66" s="13" t="s">
        <v>33</v>
      </c>
      <c r="D66" s="53">
        <f>+'[1]Washington volumes'!J56</f>
        <v>440807</v>
      </c>
      <c r="E66" s="53">
        <v>20000</v>
      </c>
      <c r="F66" s="124"/>
      <c r="G66" s="125"/>
      <c r="H66" s="85">
        <f>+'[1]Rates in summary'!D56</f>
        <v>0.54502999999999979</v>
      </c>
      <c r="I66" s="91"/>
      <c r="J66" s="85">
        <v>0.74570999999999987</v>
      </c>
      <c r="K66" s="91"/>
      <c r="L66" s="115"/>
    </row>
    <row r="67" spans="1:12" x14ac:dyDescent="0.25">
      <c r="A67" s="5">
        <f t="shared" si="0"/>
        <v>57</v>
      </c>
      <c r="B67" s="5"/>
      <c r="C67" s="13" t="s">
        <v>40</v>
      </c>
      <c r="D67" s="53">
        <f>+'[1]Washington volumes'!J57</f>
        <v>191593</v>
      </c>
      <c r="E67" s="53">
        <v>20000</v>
      </c>
      <c r="F67" s="124"/>
      <c r="G67" s="125"/>
      <c r="H67" s="85">
        <f>+'[1]Rates in summary'!D57</f>
        <v>0.50781000000000009</v>
      </c>
      <c r="I67" s="91"/>
      <c r="J67" s="85">
        <v>0.70849000000000018</v>
      </c>
      <c r="K67" s="91"/>
      <c r="L67" s="115"/>
    </row>
    <row r="68" spans="1:12" x14ac:dyDescent="0.25">
      <c r="A68" s="5">
        <f t="shared" si="0"/>
        <v>58</v>
      </c>
      <c r="B68" s="5"/>
      <c r="C68" s="13" t="s">
        <v>41</v>
      </c>
      <c r="D68" s="53">
        <f>+'[1]Washington volumes'!J58</f>
        <v>63452</v>
      </c>
      <c r="E68" s="53">
        <v>100000</v>
      </c>
      <c r="F68" s="124"/>
      <c r="G68" s="125"/>
      <c r="H68" s="85">
        <f>+'[1]Rates in summary'!D58</f>
        <v>0.48334000000000005</v>
      </c>
      <c r="I68" s="91"/>
      <c r="J68" s="85">
        <v>0.68402000000000007</v>
      </c>
      <c r="K68" s="91"/>
      <c r="L68" s="115"/>
    </row>
    <row r="69" spans="1:12" x14ac:dyDescent="0.25">
      <c r="A69" s="5">
        <f t="shared" si="0"/>
        <v>59</v>
      </c>
      <c r="B69" s="5"/>
      <c r="C69" s="13" t="s">
        <v>42</v>
      </c>
      <c r="D69" s="53">
        <f>+'[1]Washington volumes'!J59</f>
        <v>0</v>
      </c>
      <c r="E69" s="53">
        <v>600000</v>
      </c>
      <c r="F69" s="124"/>
      <c r="G69" s="125"/>
      <c r="H69" s="85">
        <f>+'[1]Rates in summary'!D59</f>
        <v>0.45072999999999996</v>
      </c>
      <c r="I69" s="91"/>
      <c r="J69" s="85">
        <v>0.65141000000000004</v>
      </c>
      <c r="K69" s="91"/>
      <c r="L69" s="115"/>
    </row>
    <row r="70" spans="1:12" x14ac:dyDescent="0.25">
      <c r="A70" s="5">
        <f t="shared" si="0"/>
        <v>60</v>
      </c>
      <c r="B70" s="5"/>
      <c r="C70" s="13" t="s">
        <v>43</v>
      </c>
      <c r="D70" s="53">
        <f>+'[1]Washington volumes'!J60</f>
        <v>0</v>
      </c>
      <c r="E70" s="112" t="s">
        <v>111</v>
      </c>
      <c r="F70" s="124"/>
      <c r="G70" s="125"/>
      <c r="H70" s="85">
        <f>+'[1]Rates in summary'!D60</f>
        <v>0.40994999999999993</v>
      </c>
      <c r="I70" s="91"/>
      <c r="J70" s="85">
        <v>0.61063000000000001</v>
      </c>
      <c r="K70" s="91"/>
      <c r="L70" s="115"/>
    </row>
    <row r="71" spans="1:12" x14ac:dyDescent="0.25">
      <c r="A71" s="5">
        <f t="shared" si="0"/>
        <v>61</v>
      </c>
      <c r="B71" s="12"/>
      <c r="C71" s="116" t="s">
        <v>112</v>
      </c>
      <c r="D71" s="117"/>
      <c r="E71" s="118"/>
      <c r="F71" s="119"/>
      <c r="G71" s="120"/>
      <c r="H71" s="121"/>
      <c r="I71" s="122">
        <f>$G65+ROUND(IF($F65&lt;$E65,($F65*H65),IF($F65&lt;SUM($E65:$E66),(($E65*H65)+(($F65-$E65)*H66)),IF($F65&lt;SUM($E65:$E67),(($E65*H65)+($E66*H66)+(($F65-$E65-$E66)*H67)),IF($F65&lt;SUM($E65:$E68),(($E65*H65)+($E66*H66)+($E67*H67)+(($F65-SUM($E65:$E67))*H68)),IF($F65&lt;SUM($E65:$E69),(($E65*H65)+($E66*H66)+($E67*H67)+($E68*H68)+(($F65-SUM($E65:$E68))*H69)),(($E65*H65)+($E66*H66)+($E67*H67)+($E68*H67)+($E69*H69)+(($F65-SUM($E65:$E69))*H70))))))),2)</f>
        <v>15589.01</v>
      </c>
      <c r="J71" s="121"/>
      <c r="K71" s="122">
        <v>20781.400000000001</v>
      </c>
      <c r="L71" s="126">
        <v>0.33300000000000002</v>
      </c>
    </row>
    <row r="72" spans="1:12" x14ac:dyDescent="0.25">
      <c r="A72" s="5">
        <f t="shared" ref="A72:A104" si="2">+A71+1</f>
        <v>62</v>
      </c>
      <c r="B72" s="5" t="s">
        <v>48</v>
      </c>
      <c r="C72" s="13" t="s">
        <v>32</v>
      </c>
      <c r="D72" s="53">
        <f>+'[1]Washington volumes'!J61</f>
        <v>138034</v>
      </c>
      <c r="E72" s="53">
        <v>10000</v>
      </c>
      <c r="F72" s="113">
        <f>+'[1]Washington volumes'!M61</f>
        <v>19743</v>
      </c>
      <c r="G72" s="114">
        <v>1300</v>
      </c>
      <c r="H72" s="85">
        <f>+'[1]Rates in summary'!D61</f>
        <v>0.54884999999999984</v>
      </c>
      <c r="I72" s="91"/>
      <c r="J72" s="85">
        <v>0.74952999999999992</v>
      </c>
      <c r="K72" s="91"/>
      <c r="L72" s="115"/>
    </row>
    <row r="73" spans="1:12" x14ac:dyDescent="0.25">
      <c r="A73" s="5">
        <f t="shared" si="2"/>
        <v>63</v>
      </c>
      <c r="B73" s="5"/>
      <c r="C73" s="13" t="s">
        <v>33</v>
      </c>
      <c r="D73" s="53">
        <f>+'[1]Washington volumes'!J62</f>
        <v>98885</v>
      </c>
      <c r="E73" s="53">
        <v>20000</v>
      </c>
      <c r="F73" s="113"/>
      <c r="G73" s="114"/>
      <c r="H73" s="85">
        <f>+'[1]Rates in summary'!D62</f>
        <v>0.53171999999999986</v>
      </c>
      <c r="I73" s="91"/>
      <c r="J73" s="85">
        <v>0.73239999999999994</v>
      </c>
      <c r="K73" s="91"/>
      <c r="L73" s="115"/>
    </row>
    <row r="74" spans="1:12" x14ac:dyDescent="0.25">
      <c r="A74" s="5">
        <f t="shared" si="2"/>
        <v>64</v>
      </c>
      <c r="B74" s="5"/>
      <c r="C74" s="13" t="s">
        <v>40</v>
      </c>
      <c r="D74" s="53">
        <f>+'[1]Washington volumes'!J63</f>
        <v>0</v>
      </c>
      <c r="E74" s="53">
        <v>20000</v>
      </c>
      <c r="F74" s="113"/>
      <c r="G74" s="114"/>
      <c r="H74" s="85">
        <f>+'[1]Rates in summary'!D63</f>
        <v>0.49762000000000001</v>
      </c>
      <c r="I74" s="91"/>
      <c r="J74" s="85">
        <v>0.69830000000000014</v>
      </c>
      <c r="K74" s="91"/>
      <c r="L74" s="115"/>
    </row>
    <row r="75" spans="1:12" x14ac:dyDescent="0.25">
      <c r="A75" s="5">
        <f t="shared" si="2"/>
        <v>65</v>
      </c>
      <c r="B75" s="5"/>
      <c r="C75" s="13" t="s">
        <v>41</v>
      </c>
      <c r="D75" s="53">
        <f>+'[1]Washington volumes'!J64</f>
        <v>0</v>
      </c>
      <c r="E75" s="53">
        <v>100000</v>
      </c>
      <c r="F75" s="113"/>
      <c r="G75" s="114"/>
      <c r="H75" s="85">
        <f>+'[1]Rates in summary'!D64</f>
        <v>0.47519999999999979</v>
      </c>
      <c r="I75" s="91"/>
      <c r="J75" s="85">
        <v>0.67587999999999981</v>
      </c>
      <c r="K75" s="91"/>
      <c r="L75" s="115"/>
    </row>
    <row r="76" spans="1:12" x14ac:dyDescent="0.25">
      <c r="A76" s="5">
        <f t="shared" si="2"/>
        <v>66</v>
      </c>
      <c r="B76" s="5"/>
      <c r="C76" s="13" t="s">
        <v>42</v>
      </c>
      <c r="D76" s="53">
        <f>+'[1]Washington volumes'!J65</f>
        <v>0</v>
      </c>
      <c r="E76" s="53">
        <v>600000</v>
      </c>
      <c r="F76" s="113"/>
      <c r="G76" s="114"/>
      <c r="H76" s="85">
        <f>+'[1]Rates in summary'!D65</f>
        <v>0.44528000000000001</v>
      </c>
      <c r="I76" s="91"/>
      <c r="J76" s="85">
        <v>0.64596000000000009</v>
      </c>
      <c r="K76" s="91"/>
      <c r="L76" s="115"/>
    </row>
    <row r="77" spans="1:12" x14ac:dyDescent="0.25">
      <c r="A77" s="5">
        <f t="shared" si="2"/>
        <v>67</v>
      </c>
      <c r="B77" s="5"/>
      <c r="C77" s="13" t="s">
        <v>43</v>
      </c>
      <c r="D77" s="53">
        <f>+'[1]Washington volumes'!J66</f>
        <v>0</v>
      </c>
      <c r="E77" s="112" t="s">
        <v>111</v>
      </c>
      <c r="F77" s="113"/>
      <c r="G77" s="114"/>
      <c r="H77" s="85">
        <f>+'[1]Rates in summary'!D66</f>
        <v>0.40789999999999993</v>
      </c>
      <c r="I77" s="91"/>
      <c r="J77" s="85">
        <v>0.60858000000000001</v>
      </c>
      <c r="K77" s="91"/>
      <c r="L77" s="115"/>
    </row>
    <row r="78" spans="1:12" x14ac:dyDescent="0.25">
      <c r="A78" s="5">
        <f t="shared" si="2"/>
        <v>68</v>
      </c>
      <c r="B78" s="12"/>
      <c r="C78" s="116" t="s">
        <v>112</v>
      </c>
      <c r="D78" s="117"/>
      <c r="E78" s="118"/>
      <c r="F78" s="119"/>
      <c r="G78" s="120"/>
      <c r="H78" s="121"/>
      <c r="I78" s="122">
        <f>$G72+ROUND(IF($F72&lt;$E72,($F72*H72),IF($F72&lt;SUM($E72:$E73),(($E72*H72)+(($F72-$E72)*H73)),IF($F72&lt;SUM($E72:$E74),(($E72*H72)+($E73*H73)+(($F72-$E72-$E73)*H74)),IF($F72&lt;SUM($E72:$E75),(($E72*H72)+($E73*H73)+($E74*H74)+(($F72-SUM($E72:$E74))*H75)),IF($F72&lt;SUM($E72:$E76),(($E72*H72)+($E73*H73)+($E74*H74)+($E75*H75)+(($F72-SUM($E72:$E75))*H76)),(($E72*H72)+($E73*H73)+($E74*H74)+($E75*H74)+($E76*H76)+(($F72-SUM($E72:$E76))*H77))))))),2)</f>
        <v>11969.05</v>
      </c>
      <c r="J78" s="121"/>
      <c r="K78" s="122">
        <v>15931.07</v>
      </c>
      <c r="L78" s="126">
        <v>0.33100000000000002</v>
      </c>
    </row>
    <row r="79" spans="1:12" x14ac:dyDescent="0.25">
      <c r="A79" s="5">
        <f t="shared" si="2"/>
        <v>69</v>
      </c>
      <c r="B79" s="5" t="s">
        <v>49</v>
      </c>
      <c r="C79" s="13" t="s">
        <v>32</v>
      </c>
      <c r="D79" s="53">
        <f>+'[1]Washington volumes'!J67</f>
        <v>0</v>
      </c>
      <c r="E79" s="53">
        <v>10000</v>
      </c>
      <c r="F79" s="113">
        <f>+'[1]Washington volumes'!M67</f>
        <v>0</v>
      </c>
      <c r="G79" s="114">
        <f>1300+250</f>
        <v>1550</v>
      </c>
      <c r="H79" s="85">
        <f>+'[1]Rates in summary'!D67</f>
        <v>0.13989999999999997</v>
      </c>
      <c r="I79" s="91"/>
      <c r="J79" s="85">
        <v>0.13989999999999997</v>
      </c>
      <c r="K79" s="91"/>
      <c r="L79" s="115"/>
    </row>
    <row r="80" spans="1:12" x14ac:dyDescent="0.25">
      <c r="A80" s="5">
        <f t="shared" si="2"/>
        <v>70</v>
      </c>
      <c r="B80" s="5"/>
      <c r="C80" s="13" t="s">
        <v>33</v>
      </c>
      <c r="D80" s="53">
        <f>+'[1]Washington volumes'!J68</f>
        <v>0</v>
      </c>
      <c r="E80" s="53">
        <v>20000</v>
      </c>
      <c r="F80" s="113"/>
      <c r="G80" s="114"/>
      <c r="H80" s="85">
        <f>+'[1]Rates in summary'!D68</f>
        <v>0.12523999999999999</v>
      </c>
      <c r="I80" s="91"/>
      <c r="J80" s="85">
        <v>0.12523999999999999</v>
      </c>
      <c r="K80" s="91"/>
      <c r="L80" s="115"/>
    </row>
    <row r="81" spans="1:12" x14ac:dyDescent="0.25">
      <c r="A81" s="5">
        <f t="shared" si="2"/>
        <v>71</v>
      </c>
      <c r="B81" s="5"/>
      <c r="C81" s="13" t="s">
        <v>40</v>
      </c>
      <c r="D81" s="53">
        <f>+'[1]Washington volumes'!J69</f>
        <v>0</v>
      </c>
      <c r="E81" s="53">
        <v>20000</v>
      </c>
      <c r="F81" s="113"/>
      <c r="G81" s="114"/>
      <c r="H81" s="85">
        <f>+'[1]Rates in summary'!D69</f>
        <v>9.604E-2</v>
      </c>
      <c r="I81" s="91"/>
      <c r="J81" s="85">
        <v>9.604E-2</v>
      </c>
      <c r="K81" s="91"/>
      <c r="L81" s="115"/>
    </row>
    <row r="82" spans="1:12" x14ac:dyDescent="0.25">
      <c r="A82" s="5">
        <f t="shared" si="2"/>
        <v>72</v>
      </c>
      <c r="B82" s="5"/>
      <c r="C82" s="13" t="s">
        <v>41</v>
      </c>
      <c r="D82" s="53">
        <f>+'[1]Washington volumes'!J70</f>
        <v>0</v>
      </c>
      <c r="E82" s="53">
        <v>100000</v>
      </c>
      <c r="F82" s="113"/>
      <c r="G82" s="114"/>
      <c r="H82" s="85">
        <f>+'[1]Rates in summary'!D70</f>
        <v>7.6839999999999992E-2</v>
      </c>
      <c r="I82" s="91"/>
      <c r="J82" s="85">
        <v>7.6839999999999992E-2</v>
      </c>
      <c r="K82" s="91"/>
      <c r="L82" s="115"/>
    </row>
    <row r="83" spans="1:12" x14ac:dyDescent="0.25">
      <c r="A83" s="5">
        <f t="shared" si="2"/>
        <v>73</v>
      </c>
      <c r="B83" s="5"/>
      <c r="C83" s="13" t="s">
        <v>42</v>
      </c>
      <c r="D83" s="53">
        <f>+'[1]Washington volumes'!J71</f>
        <v>0</v>
      </c>
      <c r="E83" s="53">
        <v>600000</v>
      </c>
      <c r="F83" s="113"/>
      <c r="G83" s="114"/>
      <c r="H83" s="85">
        <f>+'[1]Rates in summary'!D71</f>
        <v>5.1240000000000001E-2</v>
      </c>
      <c r="I83" s="91"/>
      <c r="J83" s="85">
        <v>5.1240000000000001E-2</v>
      </c>
      <c r="K83" s="91"/>
      <c r="L83" s="115"/>
    </row>
    <row r="84" spans="1:12" x14ac:dyDescent="0.25">
      <c r="A84" s="5">
        <f t="shared" si="2"/>
        <v>74</v>
      </c>
      <c r="B84" s="5"/>
      <c r="C84" s="13" t="s">
        <v>43</v>
      </c>
      <c r="D84" s="53">
        <f>+'[1]Washington volumes'!J72</f>
        <v>0</v>
      </c>
      <c r="E84" s="112" t="s">
        <v>111</v>
      </c>
      <c r="F84" s="113"/>
      <c r="G84" s="114"/>
      <c r="H84" s="85">
        <f>+'[1]Rates in summary'!D72</f>
        <v>1.9200000000000002E-2</v>
      </c>
      <c r="I84" s="91"/>
      <c r="J84" s="85">
        <v>1.9200000000000002E-2</v>
      </c>
      <c r="K84" s="91"/>
      <c r="L84" s="115"/>
    </row>
    <row r="85" spans="1:12" x14ac:dyDescent="0.25">
      <c r="A85" s="5">
        <f t="shared" si="2"/>
        <v>75</v>
      </c>
      <c r="B85" s="12"/>
      <c r="C85" s="116" t="s">
        <v>112</v>
      </c>
      <c r="D85" s="117"/>
      <c r="E85" s="118"/>
      <c r="F85" s="119"/>
      <c r="G85" s="120"/>
      <c r="H85" s="121"/>
      <c r="I85" s="122">
        <f>$G79+ROUND(IF($F79&lt;$E79,($F79*H79),IF($F79&lt;SUM($E79:$E80),(($E79*H79)+(($F79-$E79)*H80)),IF($F79&lt;SUM($E79:$E81),(($E79*H79)+($E80*H80)+(($F79-$E79-$E80)*H81)),IF($F79&lt;SUM($E79:$E82),(($E79*H79)+($E80*H80)+($E81*H81)+(($F79-SUM($E79:$E81))*H82)),IF($F79&lt;SUM($E79:$E83),(($E79*H79)+($E80*H80)+($E81*H81)+($E82*H82)+(($F79-SUM($E79:$E82))*H83)),(($E79*H79)+($E80*H80)+($E81*H81)+($E82*H81)+($E83*H83)+(($F79-SUM($E79:$E83))*H84))))))),2)</f>
        <v>1550</v>
      </c>
      <c r="J85" s="122"/>
      <c r="K85" s="122">
        <v>1550</v>
      </c>
      <c r="L85" s="126">
        <v>0</v>
      </c>
    </row>
    <row r="86" spans="1:12" x14ac:dyDescent="0.25">
      <c r="A86" s="5">
        <f t="shared" si="2"/>
        <v>76</v>
      </c>
      <c r="B86" s="5" t="s">
        <v>50</v>
      </c>
      <c r="C86" s="13" t="s">
        <v>32</v>
      </c>
      <c r="D86" s="53">
        <f>+'[1]Washington volumes'!J73</f>
        <v>762322</v>
      </c>
      <c r="E86" s="53">
        <v>10000</v>
      </c>
      <c r="F86" s="113">
        <f>+'[1]Washington volumes'!M74</f>
        <v>0</v>
      </c>
      <c r="G86" s="114">
        <f>1300+250</f>
        <v>1550</v>
      </c>
      <c r="H86" s="85">
        <f>+'[1]Rates in summary'!D73</f>
        <v>0.14205999999999999</v>
      </c>
      <c r="I86" s="91"/>
      <c r="J86" s="85">
        <v>0.14205999999999999</v>
      </c>
      <c r="K86" s="91"/>
      <c r="L86" s="115"/>
    </row>
    <row r="87" spans="1:12" x14ac:dyDescent="0.25">
      <c r="A87" s="5">
        <f t="shared" si="2"/>
        <v>77</v>
      </c>
      <c r="B87" s="5"/>
      <c r="C87" s="13" t="s">
        <v>33</v>
      </c>
      <c r="D87" s="53">
        <f>+'[1]Washington volumes'!J74</f>
        <v>1416561</v>
      </c>
      <c r="E87" s="53">
        <v>20000</v>
      </c>
      <c r="F87" s="113"/>
      <c r="G87" s="114"/>
      <c r="H87" s="85">
        <f>+'[1]Rates in summary'!D74</f>
        <v>0.12716</v>
      </c>
      <c r="I87" s="91"/>
      <c r="J87" s="85">
        <v>0.12716</v>
      </c>
      <c r="K87" s="91"/>
      <c r="L87" s="115"/>
    </row>
    <row r="88" spans="1:12" x14ac:dyDescent="0.25">
      <c r="A88" s="5">
        <f t="shared" si="2"/>
        <v>78</v>
      </c>
      <c r="B88" s="5"/>
      <c r="C88" s="13" t="s">
        <v>40</v>
      </c>
      <c r="D88" s="53">
        <f>+'[1]Washington volumes'!J75</f>
        <v>1182116</v>
      </c>
      <c r="E88" s="53">
        <v>20000</v>
      </c>
      <c r="F88" s="113"/>
      <c r="G88" s="114"/>
      <c r="H88" s="85">
        <f>+'[1]Rates in summary'!D75</f>
        <v>9.7509999999999986E-2</v>
      </c>
      <c r="I88" s="91"/>
      <c r="J88" s="85">
        <v>9.7509999999999986E-2</v>
      </c>
      <c r="K88" s="91"/>
      <c r="L88" s="115"/>
    </row>
    <row r="89" spans="1:12" x14ac:dyDescent="0.25">
      <c r="A89" s="5">
        <f t="shared" si="2"/>
        <v>79</v>
      </c>
      <c r="B89" s="5"/>
      <c r="C89" s="13" t="s">
        <v>41</v>
      </c>
      <c r="D89" s="53">
        <f>+'[1]Washington volumes'!J76</f>
        <v>3080777</v>
      </c>
      <c r="E89" s="53">
        <v>100000</v>
      </c>
      <c r="F89" s="113"/>
      <c r="G89" s="114"/>
      <c r="H89" s="85">
        <f>+'[1]Rates in summary'!D76</f>
        <v>7.8019999999999992E-2</v>
      </c>
      <c r="I89" s="91"/>
      <c r="J89" s="85">
        <v>7.8019999999999992E-2</v>
      </c>
      <c r="K89" s="91"/>
      <c r="L89" s="115"/>
    </row>
    <row r="90" spans="1:12" x14ac:dyDescent="0.25">
      <c r="A90" s="5">
        <f t="shared" si="2"/>
        <v>80</v>
      </c>
      <c r="B90" s="5"/>
      <c r="C90" s="13" t="s">
        <v>42</v>
      </c>
      <c r="D90" s="53">
        <f>+'[1]Washington volumes'!J77</f>
        <v>1407909</v>
      </c>
      <c r="E90" s="53">
        <v>600000</v>
      </c>
      <c r="F90" s="113"/>
      <c r="G90" s="114"/>
      <c r="H90" s="85">
        <f>+'[1]Rates in summary'!D77</f>
        <v>5.2019999999999997E-2</v>
      </c>
      <c r="I90" s="91"/>
      <c r="J90" s="85">
        <v>5.2019999999999997E-2</v>
      </c>
      <c r="K90" s="91"/>
      <c r="L90" s="115"/>
    </row>
    <row r="91" spans="1:12" x14ac:dyDescent="0.25">
      <c r="A91" s="5">
        <f t="shared" si="2"/>
        <v>81</v>
      </c>
      <c r="B91" s="5"/>
      <c r="C91" s="13" t="s">
        <v>43</v>
      </c>
      <c r="D91" s="53">
        <f>+'[1]Washington volumes'!J78</f>
        <v>0</v>
      </c>
      <c r="E91" s="112" t="s">
        <v>111</v>
      </c>
      <c r="F91" s="113"/>
      <c r="G91" s="114"/>
      <c r="H91" s="85">
        <f>+'[1]Rates in summary'!D78</f>
        <v>1.95E-2</v>
      </c>
      <c r="I91" s="91"/>
      <c r="J91" s="85">
        <v>1.95E-2</v>
      </c>
      <c r="K91" s="91"/>
      <c r="L91" s="115"/>
    </row>
    <row r="92" spans="1:12" x14ac:dyDescent="0.25">
      <c r="A92" s="5">
        <f t="shared" si="2"/>
        <v>82</v>
      </c>
      <c r="B92" s="12"/>
      <c r="C92" s="116" t="s">
        <v>112</v>
      </c>
      <c r="D92" s="117"/>
      <c r="E92" s="118"/>
      <c r="F92" s="119"/>
      <c r="G92" s="120"/>
      <c r="H92" s="121"/>
      <c r="I92" s="122">
        <f>$G86+ROUND(IF($F86&lt;$E86,($F86*H86),IF($F86&lt;SUM($E86:$E87),(($E86*H86)+(($F86-$E86)*H87)),IF($F86&lt;SUM($E86:$E88),(($E86*H86)+($E87*H87)+(($F86-$E86-$E87)*H88)),IF($F86&lt;SUM($E86:$E89),(($E86*H86)+($E87*H87)+($E88*H88)+(($F86-SUM($E86:$E88))*H89)),IF($F86&lt;SUM($E86:$E90),(($E86*H86)+($E87*H87)+($E88*H88)+($E89*H89)+(($F86-SUM($E86:$E89))*H90)),(($E86*H86)+($E87*H87)+($E88*H88)+($E89*H88)+($E90*H90)+(($F86-SUM($E86:$E90))*H91))))))),2)</f>
        <v>1550</v>
      </c>
      <c r="J92" s="128"/>
      <c r="K92" s="122">
        <v>1550</v>
      </c>
      <c r="L92" s="129">
        <v>0</v>
      </c>
    </row>
    <row r="93" spans="1:12" x14ac:dyDescent="0.25">
      <c r="A93" s="5">
        <f>+A85+1</f>
        <v>76</v>
      </c>
      <c r="B93" s="12" t="s">
        <v>51</v>
      </c>
      <c r="C93" s="12"/>
      <c r="D93" s="130">
        <f>+'[1]Washington volumes'!J79</f>
        <v>0</v>
      </c>
      <c r="E93" s="131" t="s">
        <v>65</v>
      </c>
      <c r="F93" s="132">
        <f>+'[1]Washington volumes'!M79</f>
        <v>0</v>
      </c>
      <c r="G93" s="133">
        <v>38000</v>
      </c>
      <c r="H93" s="134">
        <f>+'[1]Rates in summary'!D79</f>
        <v>4.9499999999999995E-3</v>
      </c>
      <c r="I93" s="109">
        <f>ROUND(+$G93+(H93*$F93),2)</f>
        <v>38000</v>
      </c>
      <c r="J93" s="134">
        <v>4.9499999999999995E-3</v>
      </c>
      <c r="K93" s="109">
        <v>38000</v>
      </c>
      <c r="L93" s="135">
        <v>0</v>
      </c>
    </row>
    <row r="94" spans="1:12" x14ac:dyDescent="0.25">
      <c r="A94" s="5">
        <f t="shared" si="2"/>
        <v>77</v>
      </c>
      <c r="B94" s="10" t="s">
        <v>52</v>
      </c>
      <c r="C94" s="10"/>
      <c r="D94" s="72">
        <f>+'[1]Washington volumes'!J80</f>
        <v>0</v>
      </c>
      <c r="E94" s="131" t="s">
        <v>65</v>
      </c>
      <c r="F94" s="107">
        <f>+'[1]Washington volumes'!M80</f>
        <v>0</v>
      </c>
      <c r="G94" s="133">
        <v>38000</v>
      </c>
      <c r="H94" s="15">
        <f>+'[1]Rates in summary'!D80</f>
        <v>4.9499999999999995E-3</v>
      </c>
      <c r="I94" s="109">
        <f>ROUND(+$G94+(H94*$F94),2)</f>
        <v>38000</v>
      </c>
      <c r="J94" s="134">
        <v>4.9499999999999995E-3</v>
      </c>
      <c r="K94" s="109">
        <v>38000</v>
      </c>
      <c r="L94" s="110">
        <v>0</v>
      </c>
    </row>
    <row r="95" spans="1:12" ht="15.75" thickBot="1" x14ac:dyDescent="0.3">
      <c r="A95" s="5">
        <f t="shared" si="2"/>
        <v>78</v>
      </c>
      <c r="B95" s="10" t="s">
        <v>53</v>
      </c>
      <c r="C95" s="10"/>
      <c r="D95" s="72"/>
      <c r="E95" s="131"/>
      <c r="F95" s="107"/>
      <c r="G95" s="136"/>
      <c r="H95" s="11"/>
      <c r="I95" s="137"/>
      <c r="J95" s="137"/>
      <c r="K95" s="137"/>
      <c r="L95" s="138"/>
    </row>
    <row r="96" spans="1:12" x14ac:dyDescent="0.25">
      <c r="A96" s="5">
        <f t="shared" si="2"/>
        <v>79</v>
      </c>
      <c r="B96" s="336" t="s">
        <v>113</v>
      </c>
      <c r="C96" s="337"/>
      <c r="D96" s="337"/>
      <c r="E96" s="337"/>
      <c r="F96" s="337"/>
      <c r="G96" s="337"/>
      <c r="H96" s="337"/>
      <c r="I96" s="337"/>
      <c r="J96" s="337"/>
      <c r="K96" s="337"/>
      <c r="L96" s="337"/>
    </row>
    <row r="97" spans="1:12" x14ac:dyDescent="0.25">
      <c r="A97" s="5">
        <f t="shared" si="2"/>
        <v>80</v>
      </c>
      <c r="B97" s="337"/>
      <c r="C97" s="337"/>
      <c r="D97" s="337"/>
      <c r="E97" s="337"/>
      <c r="F97" s="337"/>
      <c r="G97" s="337"/>
      <c r="H97" s="337"/>
      <c r="I97" s="337"/>
      <c r="J97" s="337"/>
      <c r="K97" s="337"/>
      <c r="L97" s="337"/>
    </row>
    <row r="98" spans="1:12" x14ac:dyDescent="0.25">
      <c r="A98" s="5">
        <f t="shared" si="2"/>
        <v>81</v>
      </c>
      <c r="B98" s="338" t="s">
        <v>114</v>
      </c>
      <c r="C98" s="337"/>
      <c r="D98" s="337"/>
      <c r="E98" s="337"/>
      <c r="F98" s="337"/>
      <c r="G98" s="337"/>
      <c r="H98" s="337"/>
      <c r="I98" s="337"/>
      <c r="J98" s="337"/>
      <c r="K98" s="337"/>
      <c r="L98" s="337"/>
    </row>
    <row r="99" spans="1:12" x14ac:dyDescent="0.25">
      <c r="A99" s="5">
        <f t="shared" si="2"/>
        <v>82</v>
      </c>
      <c r="B99" s="337"/>
      <c r="C99" s="337"/>
      <c r="D99" s="337"/>
      <c r="E99" s="337"/>
      <c r="F99" s="337"/>
      <c r="G99" s="337"/>
      <c r="H99" s="337"/>
      <c r="I99" s="337"/>
      <c r="J99" s="337"/>
      <c r="K99" s="337"/>
      <c r="L99" s="337"/>
    </row>
    <row r="100" spans="1:12" x14ac:dyDescent="0.25">
      <c r="A100" s="5">
        <f t="shared" si="2"/>
        <v>83</v>
      </c>
      <c r="B100" s="337"/>
      <c r="C100" s="337"/>
      <c r="D100" s="337"/>
      <c r="E100" s="337"/>
      <c r="F100" s="337"/>
      <c r="G100" s="337"/>
      <c r="H100" s="337"/>
      <c r="I100" s="337"/>
      <c r="J100" s="337"/>
      <c r="K100" s="337"/>
      <c r="L100" s="337"/>
    </row>
    <row r="101" spans="1:12" ht="15.75" thickBot="1" x14ac:dyDescent="0.3">
      <c r="A101" s="5">
        <f t="shared" si="2"/>
        <v>84</v>
      </c>
      <c r="B101" s="16" t="s">
        <v>54</v>
      </c>
      <c r="C101" s="2"/>
      <c r="D101" s="2"/>
      <c r="E101" s="2"/>
      <c r="F101" s="2"/>
      <c r="G101" s="2"/>
      <c r="H101" s="2"/>
      <c r="I101" s="2"/>
      <c r="J101" s="2"/>
      <c r="K101" s="2"/>
      <c r="L101" s="2"/>
    </row>
    <row r="102" spans="1:12" ht="15.75" thickBot="1" x14ac:dyDescent="0.3">
      <c r="A102" s="5">
        <f t="shared" si="2"/>
        <v>85</v>
      </c>
      <c r="B102" s="139" t="s">
        <v>55</v>
      </c>
      <c r="C102" s="18"/>
      <c r="D102" s="140"/>
      <c r="E102" s="20" t="s">
        <v>115</v>
      </c>
      <c r="F102" s="140"/>
      <c r="G102" s="20" t="s">
        <v>115</v>
      </c>
      <c r="H102" s="140"/>
      <c r="I102" s="140"/>
      <c r="J102" s="140"/>
      <c r="K102" s="140"/>
      <c r="L102" s="140"/>
    </row>
    <row r="103" spans="1:12" ht="15.75" thickBot="1" x14ac:dyDescent="0.3">
      <c r="A103" s="5">
        <f t="shared" si="2"/>
        <v>86</v>
      </c>
      <c r="B103" s="2"/>
      <c r="C103" s="2"/>
      <c r="D103" s="2"/>
      <c r="E103" s="2"/>
      <c r="F103" s="2"/>
      <c r="G103" s="2"/>
      <c r="H103" s="2"/>
      <c r="I103" s="2"/>
      <c r="J103" s="2"/>
      <c r="K103" s="2"/>
      <c r="L103" s="2"/>
    </row>
    <row r="104" spans="1:12" ht="15.75" thickBot="1" x14ac:dyDescent="0.3">
      <c r="A104" s="5">
        <f t="shared" si="2"/>
        <v>87</v>
      </c>
      <c r="B104" s="139" t="s">
        <v>116</v>
      </c>
      <c r="C104" s="18"/>
      <c r="D104" s="19"/>
      <c r="E104" s="141"/>
      <c r="F104" s="141"/>
      <c r="G104" s="19"/>
      <c r="H104" s="20" t="s">
        <v>117</v>
      </c>
      <c r="I104" s="19"/>
      <c r="J104" s="19"/>
      <c r="K104" s="19"/>
      <c r="L104" s="19"/>
    </row>
  </sheetData>
  <mergeCells count="2">
    <mergeCell ref="B96:L97"/>
    <mergeCell ref="B98:L100"/>
  </mergeCells>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E922-88B5-439E-A69C-8E630598682A}">
  <dimension ref="A1:J22"/>
  <sheetViews>
    <sheetView zoomScaleNormal="100" workbookViewId="0">
      <selection activeCell="H30" sqref="H30"/>
    </sheetView>
  </sheetViews>
  <sheetFormatPr defaultRowHeight="15" x14ac:dyDescent="0.25"/>
  <cols>
    <col min="1" max="1" width="20.140625" customWidth="1"/>
    <col min="2" max="2" width="38" bestFit="1" customWidth="1"/>
    <col min="3" max="3" width="11.28515625" bestFit="1" customWidth="1"/>
    <col min="4" max="4" width="10.140625" bestFit="1" customWidth="1"/>
    <col min="5" max="5" width="8.7109375" bestFit="1" customWidth="1"/>
    <col min="6" max="6" width="12.5703125" bestFit="1" customWidth="1"/>
    <col min="7" max="7" width="13.140625" bestFit="1" customWidth="1"/>
    <col min="8" max="8" width="11.85546875" bestFit="1" customWidth="1"/>
    <col min="9" max="9" width="14" bestFit="1" customWidth="1"/>
    <col min="10" max="10" width="11" bestFit="1" customWidth="1"/>
  </cols>
  <sheetData>
    <row r="1" spans="1:10" x14ac:dyDescent="0.25">
      <c r="A1" s="142" t="s">
        <v>0</v>
      </c>
      <c r="B1" s="143"/>
      <c r="C1" s="143"/>
      <c r="D1" s="144"/>
      <c r="E1" s="144"/>
      <c r="F1" s="144"/>
      <c r="G1" s="144"/>
      <c r="H1" s="144"/>
      <c r="I1" s="144"/>
      <c r="J1" s="144"/>
    </row>
    <row r="2" spans="1:10" x14ac:dyDescent="0.25">
      <c r="A2" s="142" t="s">
        <v>1</v>
      </c>
      <c r="B2" s="143"/>
      <c r="C2" s="143"/>
      <c r="D2" s="144"/>
      <c r="E2" s="144"/>
      <c r="F2" s="144"/>
      <c r="G2" s="144"/>
      <c r="H2" s="144"/>
      <c r="I2" s="144"/>
      <c r="J2" s="144"/>
    </row>
    <row r="3" spans="1:10" x14ac:dyDescent="0.25">
      <c r="A3" s="142" t="s">
        <v>2</v>
      </c>
      <c r="B3" s="143"/>
      <c r="C3" s="143"/>
      <c r="D3" s="144"/>
      <c r="E3" s="144"/>
      <c r="F3" s="144"/>
      <c r="G3" s="144"/>
      <c r="H3" s="144"/>
      <c r="I3" s="144"/>
      <c r="J3" s="144"/>
    </row>
    <row r="4" spans="1:10" x14ac:dyDescent="0.25">
      <c r="A4" s="142" t="s">
        <v>118</v>
      </c>
      <c r="B4" s="143"/>
      <c r="C4" s="143"/>
      <c r="D4" s="144"/>
      <c r="E4" s="144"/>
      <c r="F4" s="144"/>
      <c r="G4" s="144"/>
      <c r="H4" s="144"/>
      <c r="I4" s="144"/>
      <c r="J4" s="144"/>
    </row>
    <row r="5" spans="1:10" x14ac:dyDescent="0.25">
      <c r="A5" s="144"/>
      <c r="B5" s="145"/>
      <c r="C5" s="143"/>
      <c r="D5" s="144"/>
      <c r="E5" s="144"/>
      <c r="F5" s="144"/>
      <c r="G5" s="146"/>
      <c r="H5" s="147" t="s">
        <v>119</v>
      </c>
      <c r="I5" s="147"/>
      <c r="J5" s="147"/>
    </row>
    <row r="6" spans="1:10" x14ac:dyDescent="0.25">
      <c r="A6" s="144"/>
      <c r="B6" s="148"/>
      <c r="C6" s="143"/>
      <c r="D6" s="147"/>
      <c r="E6" s="144"/>
      <c r="F6" s="144"/>
      <c r="G6" s="147" t="s">
        <v>120</v>
      </c>
      <c r="H6" s="147" t="s">
        <v>120</v>
      </c>
      <c r="I6" s="147"/>
      <c r="J6" s="147"/>
    </row>
    <row r="7" spans="1:10" x14ac:dyDescent="0.25">
      <c r="A7" s="144"/>
      <c r="B7" s="148"/>
      <c r="C7" s="143"/>
      <c r="D7" s="149" t="s">
        <v>121</v>
      </c>
      <c r="E7" s="149"/>
      <c r="F7" s="147" t="s">
        <v>120</v>
      </c>
      <c r="G7" s="147" t="s">
        <v>122</v>
      </c>
      <c r="H7" s="147" t="s">
        <v>123</v>
      </c>
      <c r="I7" s="147" t="s">
        <v>124</v>
      </c>
      <c r="J7" s="147" t="s">
        <v>124</v>
      </c>
    </row>
    <row r="8" spans="1:10" x14ac:dyDescent="0.25">
      <c r="A8" s="144"/>
      <c r="B8" s="143"/>
      <c r="C8" s="147" t="s">
        <v>125</v>
      </c>
      <c r="D8" s="147" t="s">
        <v>120</v>
      </c>
      <c r="E8" s="149" t="s">
        <v>121</v>
      </c>
      <c r="F8" s="147" t="s">
        <v>125</v>
      </c>
      <c r="G8" s="147" t="s">
        <v>126</v>
      </c>
      <c r="H8" s="147" t="s">
        <v>127</v>
      </c>
      <c r="I8" s="147" t="s">
        <v>128</v>
      </c>
      <c r="J8" s="147" t="s">
        <v>129</v>
      </c>
    </row>
    <row r="9" spans="1:10" x14ac:dyDescent="0.25">
      <c r="A9" s="144"/>
      <c r="B9" s="150" t="s">
        <v>130</v>
      </c>
      <c r="C9" s="151">
        <v>44804</v>
      </c>
      <c r="D9" s="150" t="s">
        <v>131</v>
      </c>
      <c r="E9" s="150" t="s">
        <v>122</v>
      </c>
      <c r="F9" s="152">
        <v>44865</v>
      </c>
      <c r="G9" s="150" t="s">
        <v>132</v>
      </c>
      <c r="H9" s="150" t="s">
        <v>133</v>
      </c>
      <c r="I9" s="150" t="s">
        <v>134</v>
      </c>
      <c r="J9" s="150" t="s">
        <v>134</v>
      </c>
    </row>
    <row r="10" spans="1:10" x14ac:dyDescent="0.25">
      <c r="A10" s="153"/>
      <c r="B10" s="147" t="s">
        <v>19</v>
      </c>
      <c r="C10" s="154" t="s">
        <v>20</v>
      </c>
      <c r="D10" s="154" t="s">
        <v>21</v>
      </c>
      <c r="E10" s="154" t="s">
        <v>22</v>
      </c>
      <c r="F10" s="154" t="s">
        <v>23</v>
      </c>
      <c r="G10" s="154" t="s">
        <v>24</v>
      </c>
      <c r="H10" s="154" t="s">
        <v>25</v>
      </c>
      <c r="I10" s="154" t="s">
        <v>82</v>
      </c>
      <c r="J10" s="154" t="s">
        <v>83</v>
      </c>
    </row>
    <row r="11" spans="1:10" x14ac:dyDescent="0.25">
      <c r="A11" s="153"/>
      <c r="B11" s="147"/>
      <c r="C11" s="154"/>
      <c r="D11" s="144"/>
      <c r="E11" s="144"/>
      <c r="F11" s="155" t="s">
        <v>135</v>
      </c>
      <c r="G11" s="156">
        <v>3.5999999999999997E-2</v>
      </c>
      <c r="H11" s="155" t="s">
        <v>136</v>
      </c>
      <c r="I11" s="155"/>
      <c r="J11" s="155"/>
    </row>
    <row r="12" spans="1:10" x14ac:dyDescent="0.25">
      <c r="A12" s="157">
        <v>1</v>
      </c>
      <c r="B12" s="147"/>
      <c r="C12" s="153"/>
      <c r="D12" s="153"/>
      <c r="E12" s="153"/>
      <c r="F12" s="153"/>
      <c r="G12" s="153"/>
      <c r="H12" s="155" t="s">
        <v>137</v>
      </c>
      <c r="I12" s="155"/>
      <c r="J12" s="155"/>
    </row>
    <row r="13" spans="1:10" x14ac:dyDescent="0.25">
      <c r="A13" s="157">
        <v>2</v>
      </c>
      <c r="B13" s="158" t="s">
        <v>138</v>
      </c>
      <c r="C13" s="153"/>
      <c r="D13" s="153"/>
      <c r="E13" s="153"/>
      <c r="F13" s="153"/>
      <c r="G13" s="153"/>
      <c r="H13" s="153"/>
      <c r="I13" s="153"/>
      <c r="J13" s="153"/>
    </row>
    <row r="14" spans="1:10" x14ac:dyDescent="0.25">
      <c r="A14" s="157">
        <v>18</v>
      </c>
      <c r="B14" s="158" t="s">
        <v>139</v>
      </c>
      <c r="C14" s="166"/>
      <c r="D14" s="153"/>
      <c r="E14" s="153"/>
      <c r="F14" s="153"/>
      <c r="G14" s="153"/>
      <c r="H14" s="153"/>
      <c r="I14" s="153"/>
      <c r="J14" s="153"/>
    </row>
    <row r="15" spans="1:10" x14ac:dyDescent="0.25">
      <c r="A15" s="157">
        <v>19</v>
      </c>
      <c r="B15" s="144" t="s">
        <v>140</v>
      </c>
      <c r="C15" s="153">
        <v>10812498.342430893</v>
      </c>
      <c r="D15" s="159">
        <v>0</v>
      </c>
      <c r="E15" s="164">
        <v>64972.31</v>
      </c>
      <c r="F15" s="160">
        <v>10877470.652430894</v>
      </c>
      <c r="G15" s="153"/>
      <c r="H15" s="153"/>
      <c r="I15" s="153"/>
      <c r="J15" s="153"/>
    </row>
    <row r="16" spans="1:10" x14ac:dyDescent="0.25">
      <c r="A16" s="157">
        <v>20</v>
      </c>
      <c r="B16" s="144" t="s">
        <v>141</v>
      </c>
      <c r="C16" s="162">
        <v>-72826.744810589909</v>
      </c>
      <c r="D16" s="167">
        <v>-449754.24</v>
      </c>
      <c r="E16" s="167">
        <v>-1558.48</v>
      </c>
      <c r="F16" s="163">
        <v>-524139.46481058991</v>
      </c>
      <c r="G16" s="162"/>
      <c r="H16" s="162"/>
      <c r="I16" s="153"/>
      <c r="J16" s="153"/>
    </row>
    <row r="17" spans="1:10" x14ac:dyDescent="0.25">
      <c r="A17" s="157">
        <v>21</v>
      </c>
      <c r="B17" s="168"/>
      <c r="C17" s="153">
        <v>10739671.597620303</v>
      </c>
      <c r="D17" s="153">
        <v>-449754.24</v>
      </c>
      <c r="E17" s="153">
        <v>63413.829999999994</v>
      </c>
      <c r="F17" s="153">
        <v>10353331.187620305</v>
      </c>
      <c r="G17" s="161">
        <v>202999</v>
      </c>
      <c r="H17" s="153">
        <v>10556330</v>
      </c>
      <c r="I17" s="153"/>
      <c r="J17" s="153">
        <v>10556330</v>
      </c>
    </row>
    <row r="18" spans="1:10" x14ac:dyDescent="0.25">
      <c r="A18" s="157">
        <v>22</v>
      </c>
      <c r="B18" s="144"/>
      <c r="C18" s="153"/>
      <c r="D18" s="153"/>
      <c r="E18" s="153"/>
      <c r="F18" s="153"/>
      <c r="G18" s="153"/>
      <c r="H18" s="153"/>
      <c r="I18" s="153"/>
      <c r="J18" s="153"/>
    </row>
    <row r="19" spans="1:10" x14ac:dyDescent="0.25">
      <c r="A19" s="157">
        <v>23</v>
      </c>
      <c r="B19" s="144" t="s">
        <v>142</v>
      </c>
      <c r="C19" s="153">
        <v>19127.648713600822</v>
      </c>
      <c r="D19" s="159">
        <v>0</v>
      </c>
      <c r="E19" s="164">
        <v>114.94</v>
      </c>
      <c r="F19" s="160">
        <v>19242.58871360082</v>
      </c>
      <c r="G19" s="169"/>
      <c r="H19" s="153"/>
      <c r="I19" s="153"/>
      <c r="J19" s="153"/>
    </row>
    <row r="20" spans="1:10" x14ac:dyDescent="0.25">
      <c r="A20" s="157">
        <v>24</v>
      </c>
      <c r="B20" s="144" t="s">
        <v>143</v>
      </c>
      <c r="C20" s="153">
        <v>388754.76233139785</v>
      </c>
      <c r="D20" s="164">
        <v>440869.63999999996</v>
      </c>
      <c r="E20" s="164">
        <v>3433.25</v>
      </c>
      <c r="F20" s="160">
        <v>833057.65233139787</v>
      </c>
      <c r="G20" s="153"/>
      <c r="H20" s="153"/>
      <c r="I20" s="153"/>
      <c r="J20" s="153"/>
    </row>
    <row r="21" spans="1:10" x14ac:dyDescent="0.25">
      <c r="A21" s="157">
        <v>25</v>
      </c>
      <c r="B21" s="144" t="s">
        <v>144</v>
      </c>
      <c r="C21" s="162">
        <v>-1490442.879999999</v>
      </c>
      <c r="D21" s="165">
        <v>0</v>
      </c>
      <c r="E21" s="165">
        <v>0</v>
      </c>
      <c r="F21" s="162">
        <v>-1490442.879999999</v>
      </c>
      <c r="G21" s="162"/>
      <c r="H21" s="162"/>
      <c r="I21" s="153"/>
      <c r="J21" s="153"/>
    </row>
    <row r="22" spans="1:10" x14ac:dyDescent="0.25">
      <c r="A22" s="157">
        <v>26</v>
      </c>
      <c r="B22" s="168"/>
      <c r="C22" s="153">
        <v>-1082560.4689550004</v>
      </c>
      <c r="D22" s="153">
        <v>440869.63999999996</v>
      </c>
      <c r="E22" s="153">
        <v>3548.19</v>
      </c>
      <c r="F22" s="153">
        <v>-638142.63895500032</v>
      </c>
      <c r="G22" s="161">
        <v>-12512</v>
      </c>
      <c r="H22" s="153">
        <v>-650655</v>
      </c>
      <c r="I22" s="153"/>
      <c r="J22" s="153">
        <v>-650655</v>
      </c>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D1CBC-9D97-4F29-A7E8-F195A352108D}">
  <dimension ref="A1:I30"/>
  <sheetViews>
    <sheetView zoomScaleNormal="100" workbookViewId="0">
      <selection activeCell="L23" sqref="L23"/>
    </sheetView>
  </sheetViews>
  <sheetFormatPr defaultRowHeight="15" x14ac:dyDescent="0.25"/>
  <cols>
    <col min="1" max="1" width="4.140625" bestFit="1" customWidth="1"/>
    <col min="3" max="3" width="4.7109375" bestFit="1" customWidth="1"/>
    <col min="4" max="4" width="21.140625" customWidth="1"/>
    <col min="5" max="5" width="14" bestFit="1" customWidth="1"/>
    <col min="7" max="7" width="9.85546875" bestFit="1" customWidth="1"/>
    <col min="8" max="8" width="13.28515625" bestFit="1" customWidth="1"/>
    <col min="9" max="9" width="13.5703125" bestFit="1" customWidth="1"/>
  </cols>
  <sheetData>
    <row r="1" spans="1:9" x14ac:dyDescent="0.25">
      <c r="A1" s="170"/>
      <c r="B1" s="171" t="s">
        <v>145</v>
      </c>
      <c r="C1" s="171"/>
      <c r="D1" s="172" t="s">
        <v>146</v>
      </c>
      <c r="E1" s="172"/>
      <c r="F1" s="172"/>
      <c r="G1" s="172"/>
      <c r="H1" s="172"/>
      <c r="I1" s="172"/>
    </row>
    <row r="2" spans="1:9" x14ac:dyDescent="0.25">
      <c r="A2" s="170"/>
      <c r="B2" s="171" t="s">
        <v>147</v>
      </c>
      <c r="C2" s="171"/>
      <c r="D2" s="172" t="s">
        <v>67</v>
      </c>
      <c r="E2" s="172"/>
      <c r="F2" s="172"/>
      <c r="G2" s="172"/>
      <c r="H2" s="172"/>
      <c r="I2" s="172"/>
    </row>
    <row r="3" spans="1:9" x14ac:dyDescent="0.25">
      <c r="A3" s="170"/>
      <c r="B3" s="171" t="s">
        <v>148</v>
      </c>
      <c r="C3" s="171"/>
      <c r="D3" s="173" t="s">
        <v>149</v>
      </c>
      <c r="E3" s="172"/>
      <c r="F3" s="172"/>
      <c r="G3" s="172"/>
      <c r="H3" s="172"/>
      <c r="I3" s="172"/>
    </row>
    <row r="4" spans="1:9" x14ac:dyDescent="0.25">
      <c r="A4" s="170"/>
      <c r="B4" s="171" t="s">
        <v>150</v>
      </c>
      <c r="C4" s="171"/>
      <c r="D4" s="174">
        <v>191420</v>
      </c>
      <c r="E4" s="172"/>
      <c r="F4" s="172"/>
      <c r="G4" s="172"/>
      <c r="H4" s="172"/>
      <c r="I4" s="172"/>
    </row>
    <row r="5" spans="1:9" x14ac:dyDescent="0.25">
      <c r="A5" s="170"/>
      <c r="B5" s="171"/>
      <c r="C5" s="171"/>
      <c r="D5" s="171" t="s">
        <v>151</v>
      </c>
      <c r="E5" s="172"/>
      <c r="F5" s="172"/>
      <c r="G5" s="172"/>
      <c r="H5" s="172"/>
      <c r="I5" s="172"/>
    </row>
    <row r="6" spans="1:9" x14ac:dyDescent="0.25">
      <c r="A6" s="170"/>
      <c r="B6" s="171"/>
      <c r="C6" s="171"/>
      <c r="D6" s="171" t="s">
        <v>152</v>
      </c>
      <c r="E6" s="172"/>
      <c r="F6" s="172"/>
      <c r="G6" s="172"/>
      <c r="H6" s="172"/>
      <c r="I6" s="172"/>
    </row>
    <row r="7" spans="1:9" x14ac:dyDescent="0.25">
      <c r="A7" s="170"/>
      <c r="B7" s="171"/>
      <c r="C7" s="171"/>
      <c r="D7" s="172"/>
      <c r="E7" s="172"/>
      <c r="F7" s="172"/>
      <c r="G7" s="172"/>
      <c r="H7" s="172"/>
      <c r="I7" s="172"/>
    </row>
    <row r="8" spans="1:9" x14ac:dyDescent="0.25">
      <c r="A8" s="175">
        <v>1</v>
      </c>
      <c r="B8" s="171" t="s">
        <v>153</v>
      </c>
      <c r="C8" s="171"/>
      <c r="D8" s="172"/>
      <c r="E8" s="172"/>
      <c r="F8" s="172"/>
      <c r="G8" s="176"/>
      <c r="H8" s="172"/>
      <c r="I8" s="172"/>
    </row>
    <row r="9" spans="1:9" x14ac:dyDescent="0.25">
      <c r="A9" s="175">
        <v>2</v>
      </c>
      <c r="B9" s="171"/>
      <c r="C9" s="171"/>
      <c r="D9" s="172"/>
      <c r="E9" s="172"/>
      <c r="F9" s="172"/>
      <c r="G9" s="176"/>
      <c r="H9" s="172"/>
      <c r="I9" s="172"/>
    </row>
    <row r="10" spans="1:9" x14ac:dyDescent="0.25">
      <c r="A10" s="175">
        <v>3</v>
      </c>
      <c r="B10" s="177"/>
      <c r="C10" s="177"/>
      <c r="D10" s="176"/>
      <c r="E10" s="176"/>
      <c r="F10" s="176"/>
      <c r="G10" s="176"/>
      <c r="H10" s="176"/>
      <c r="I10" s="176"/>
    </row>
    <row r="11" spans="1:9" x14ac:dyDescent="0.25">
      <c r="A11" s="175">
        <v>4</v>
      </c>
      <c r="B11" s="178" t="s">
        <v>154</v>
      </c>
      <c r="C11" s="178" t="s">
        <v>155</v>
      </c>
      <c r="D11" s="179" t="s">
        <v>156</v>
      </c>
      <c r="E11" s="179" t="s">
        <v>157</v>
      </c>
      <c r="F11" s="179" t="s">
        <v>158</v>
      </c>
      <c r="G11" s="179" t="s">
        <v>122</v>
      </c>
      <c r="H11" s="179" t="s">
        <v>131</v>
      </c>
      <c r="I11" s="179" t="s">
        <v>125</v>
      </c>
    </row>
    <row r="12" spans="1:9" x14ac:dyDescent="0.25">
      <c r="A12" s="175">
        <v>5</v>
      </c>
      <c r="B12" s="177" t="s">
        <v>159</v>
      </c>
      <c r="C12" s="177" t="s">
        <v>160</v>
      </c>
      <c r="D12" s="176" t="s">
        <v>161</v>
      </c>
      <c r="E12" s="176" t="s">
        <v>162</v>
      </c>
      <c r="F12" s="176" t="s">
        <v>163</v>
      </c>
      <c r="G12" s="176" t="s">
        <v>164</v>
      </c>
      <c r="H12" s="176" t="s">
        <v>165</v>
      </c>
      <c r="I12" s="176" t="s">
        <v>166</v>
      </c>
    </row>
    <row r="13" spans="1:9" x14ac:dyDescent="0.25">
      <c r="A13" s="175">
        <v>6</v>
      </c>
      <c r="B13" s="171"/>
      <c r="C13" s="171"/>
      <c r="D13" s="172"/>
      <c r="E13" s="172"/>
      <c r="F13" s="172"/>
      <c r="G13" s="176"/>
      <c r="H13" s="172"/>
      <c r="I13" s="172"/>
    </row>
    <row r="14" spans="1:9" x14ac:dyDescent="0.25">
      <c r="A14" s="175">
        <v>190</v>
      </c>
      <c r="B14" s="180">
        <v>44521</v>
      </c>
      <c r="C14" s="181" t="s">
        <v>167</v>
      </c>
      <c r="D14" s="182">
        <v>356574.92</v>
      </c>
      <c r="E14" s="183">
        <v>-4163525.5056184125</v>
      </c>
      <c r="F14" s="184">
        <v>3.2500000000000001E-2</v>
      </c>
      <c r="G14" s="185">
        <v>4303.6499999999996</v>
      </c>
      <c r="H14" s="172">
        <v>-3802646.9356184127</v>
      </c>
      <c r="I14" s="186">
        <v>1771631.2014319114</v>
      </c>
    </row>
    <row r="15" spans="1:9" x14ac:dyDescent="0.25">
      <c r="A15" s="175">
        <v>191</v>
      </c>
      <c r="B15" s="180">
        <v>44561</v>
      </c>
      <c r="C15" s="181"/>
      <c r="D15" s="182">
        <v>1043088.5</v>
      </c>
      <c r="E15" s="183"/>
      <c r="F15" s="184">
        <v>3.2500000000000001E-2</v>
      </c>
      <c r="G15" s="185">
        <v>6210.68</v>
      </c>
      <c r="H15" s="172">
        <v>1049299.18</v>
      </c>
      <c r="I15" s="186">
        <v>2820930.3814319111</v>
      </c>
    </row>
    <row r="16" spans="1:9" x14ac:dyDescent="0.25">
      <c r="A16" s="175">
        <v>192</v>
      </c>
      <c r="B16" s="180">
        <v>44562</v>
      </c>
      <c r="C16" s="181"/>
      <c r="D16" s="182">
        <v>1007957.8629637449</v>
      </c>
      <c r="E16" s="183"/>
      <c r="F16" s="184">
        <v>3.2500000000000001E-2</v>
      </c>
      <c r="G16" s="185">
        <v>9004.9599999999991</v>
      </c>
      <c r="H16" s="172">
        <v>1016962.8229637449</v>
      </c>
      <c r="I16" s="186">
        <v>3837893.204395656</v>
      </c>
    </row>
    <row r="17" spans="1:9" x14ac:dyDescent="0.25">
      <c r="A17" s="175">
        <v>193</v>
      </c>
      <c r="B17" s="180">
        <v>44594</v>
      </c>
      <c r="C17" s="181"/>
      <c r="D17" s="182">
        <v>794853.74706715741</v>
      </c>
      <c r="E17" s="183"/>
      <c r="F17" s="184">
        <v>3.2500000000000001E-2</v>
      </c>
      <c r="G17" s="185">
        <v>11470.66</v>
      </c>
      <c r="H17" s="172">
        <v>806324.40706715744</v>
      </c>
      <c r="I17" s="186">
        <v>4644217.6114628138</v>
      </c>
    </row>
    <row r="18" spans="1:9" x14ac:dyDescent="0.25">
      <c r="A18" s="175">
        <v>194</v>
      </c>
      <c r="B18" s="180">
        <v>44626</v>
      </c>
      <c r="C18" s="181"/>
      <c r="D18" s="182">
        <v>456616.13110740745</v>
      </c>
      <c r="E18" s="183"/>
      <c r="F18" s="184">
        <v>3.2500000000000001E-2</v>
      </c>
      <c r="G18" s="185">
        <v>13196.42</v>
      </c>
      <c r="H18" s="172">
        <v>469812.55110740743</v>
      </c>
      <c r="I18" s="186">
        <v>5114030.1625702213</v>
      </c>
    </row>
    <row r="19" spans="1:9" x14ac:dyDescent="0.25">
      <c r="A19" s="175">
        <v>195</v>
      </c>
      <c r="B19" s="180">
        <v>44658</v>
      </c>
      <c r="C19" s="181"/>
      <c r="D19" s="182">
        <v>1212367.1045766422</v>
      </c>
      <c r="E19" s="183"/>
      <c r="F19" s="184">
        <v>3.2500000000000001E-2</v>
      </c>
      <c r="G19" s="185">
        <v>15492.25</v>
      </c>
      <c r="H19" s="172">
        <v>1227859.3545766422</v>
      </c>
      <c r="I19" s="186">
        <v>6341889.517146863</v>
      </c>
    </row>
    <row r="20" spans="1:9" x14ac:dyDescent="0.25">
      <c r="A20" s="175">
        <v>196</v>
      </c>
      <c r="B20" s="180">
        <v>44690</v>
      </c>
      <c r="C20" s="181"/>
      <c r="D20" s="182">
        <v>1813218.7693729203</v>
      </c>
      <c r="E20" s="183"/>
      <c r="F20" s="184">
        <v>3.2500000000000001E-2</v>
      </c>
      <c r="G20" s="185">
        <v>19631.349999999999</v>
      </c>
      <c r="H20" s="172">
        <v>1832850.1193729204</v>
      </c>
      <c r="I20" s="186">
        <v>8174739.6365197832</v>
      </c>
    </row>
    <row r="21" spans="1:9" x14ac:dyDescent="0.25">
      <c r="A21" s="175">
        <v>197</v>
      </c>
      <c r="B21" s="180">
        <v>44722</v>
      </c>
      <c r="C21" s="181"/>
      <c r="D21" s="182">
        <v>1073287.400191538</v>
      </c>
      <c r="E21" s="183"/>
      <c r="F21" s="184">
        <v>3.2500000000000001E-2</v>
      </c>
      <c r="G21" s="185">
        <v>23593.33</v>
      </c>
      <c r="H21" s="172">
        <v>1096880.7301915381</v>
      </c>
      <c r="I21" s="186">
        <v>9271620.3667113222</v>
      </c>
    </row>
    <row r="22" spans="1:9" x14ac:dyDescent="0.25">
      <c r="A22" s="175">
        <v>198</v>
      </c>
      <c r="B22" s="180">
        <v>44754</v>
      </c>
      <c r="C22" s="181"/>
      <c r="D22" s="182">
        <v>717219.33878711471</v>
      </c>
      <c r="E22" s="183"/>
      <c r="F22" s="184">
        <v>3.5999999999999997E-2</v>
      </c>
      <c r="G22" s="185">
        <v>28890.69</v>
      </c>
      <c r="H22" s="172">
        <v>746110.02878711466</v>
      </c>
      <c r="I22" s="186">
        <v>10017730.395498436</v>
      </c>
    </row>
    <row r="23" spans="1:9" x14ac:dyDescent="0.25">
      <c r="A23" s="175">
        <v>199</v>
      </c>
      <c r="B23" s="180">
        <v>44786</v>
      </c>
      <c r="C23" s="181"/>
      <c r="D23" s="182">
        <v>763569.39693245781</v>
      </c>
      <c r="E23" s="183"/>
      <c r="F23" s="184">
        <v>3.5999999999999997E-2</v>
      </c>
      <c r="G23" s="185">
        <v>31198.55</v>
      </c>
      <c r="H23" s="172">
        <v>794767.94693245785</v>
      </c>
      <c r="I23" s="186">
        <v>10812498.342430893</v>
      </c>
    </row>
    <row r="24" spans="1:9" x14ac:dyDescent="0.25">
      <c r="A24" s="175">
        <v>200</v>
      </c>
      <c r="B24" s="180">
        <v>44818</v>
      </c>
      <c r="C24" s="181"/>
      <c r="D24" s="182"/>
      <c r="E24" s="183"/>
      <c r="F24" s="184">
        <v>3.5999999999999997E-2</v>
      </c>
      <c r="G24" s="185">
        <v>32437.5</v>
      </c>
      <c r="H24" s="172">
        <v>32437.5</v>
      </c>
      <c r="I24" s="186">
        <v>10844935.842430893</v>
      </c>
    </row>
    <row r="25" spans="1:9" x14ac:dyDescent="0.25">
      <c r="A25" s="175">
        <v>201</v>
      </c>
      <c r="B25" s="180">
        <v>44850</v>
      </c>
      <c r="C25" s="181"/>
      <c r="D25" s="182"/>
      <c r="E25" s="183"/>
      <c r="F25" s="184">
        <v>3.5999999999999997E-2</v>
      </c>
      <c r="G25" s="185">
        <v>32534.81</v>
      </c>
      <c r="H25" s="172">
        <v>32534.81</v>
      </c>
      <c r="I25" s="186">
        <v>10877470.652430894</v>
      </c>
    </row>
    <row r="26" spans="1:9" x14ac:dyDescent="0.25">
      <c r="A26" s="175">
        <v>202</v>
      </c>
      <c r="B26" s="171"/>
      <c r="C26" s="171"/>
      <c r="D26" s="182"/>
      <c r="E26" s="171"/>
      <c r="F26" s="187"/>
      <c r="G26" s="185"/>
      <c r="H26" s="172"/>
      <c r="I26" s="186"/>
    </row>
    <row r="27" spans="1:9" x14ac:dyDescent="0.25">
      <c r="A27" s="175">
        <v>203</v>
      </c>
      <c r="B27" s="188" t="s">
        <v>168</v>
      </c>
      <c r="C27" s="171"/>
      <c r="D27" s="172"/>
      <c r="E27" s="172"/>
      <c r="F27" s="172"/>
      <c r="G27" s="172"/>
      <c r="H27" s="172"/>
      <c r="I27" s="172"/>
    </row>
    <row r="28" spans="1:9" x14ac:dyDescent="0.25">
      <c r="A28" s="175">
        <v>204</v>
      </c>
      <c r="B28" s="189"/>
      <c r="C28" s="171"/>
      <c r="D28" s="172"/>
      <c r="E28" s="172"/>
      <c r="F28" s="172"/>
      <c r="G28" s="172"/>
      <c r="H28" s="172"/>
      <c r="I28" s="172"/>
    </row>
    <row r="29" spans="1:9" x14ac:dyDescent="0.25">
      <c r="A29" s="175">
        <v>205</v>
      </c>
      <c r="B29" s="190" t="s">
        <v>169</v>
      </c>
      <c r="C29" s="171"/>
      <c r="D29" s="172"/>
      <c r="E29" s="172"/>
      <c r="F29" s="172"/>
      <c r="G29" s="172"/>
      <c r="H29" s="172"/>
      <c r="I29" s="172"/>
    </row>
    <row r="30" spans="1:9" x14ac:dyDescent="0.25">
      <c r="A30" s="175">
        <v>206</v>
      </c>
      <c r="B30" s="191" t="s">
        <v>170</v>
      </c>
      <c r="C30" s="171"/>
      <c r="D30" s="172"/>
      <c r="E30" s="172"/>
      <c r="F30" s="172"/>
      <c r="G30" s="172"/>
      <c r="H30" s="172"/>
      <c r="I30" s="172"/>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B864F-0C44-458B-9EA3-9B5F3ABA52FC}">
  <dimension ref="A1:I31"/>
  <sheetViews>
    <sheetView zoomScaleNormal="100" workbookViewId="0">
      <selection activeCell="L13" sqref="L13"/>
    </sheetView>
  </sheetViews>
  <sheetFormatPr defaultRowHeight="15" x14ac:dyDescent="0.25"/>
  <cols>
    <col min="4" max="4" width="15.7109375" customWidth="1"/>
    <col min="5" max="5" width="13.28515625" bestFit="1" customWidth="1"/>
    <col min="7" max="7" width="9.85546875" bestFit="1" customWidth="1"/>
    <col min="8" max="9" width="12.42578125" bestFit="1" customWidth="1"/>
  </cols>
  <sheetData>
    <row r="1" spans="1:9" x14ac:dyDescent="0.25">
      <c r="A1" s="170"/>
      <c r="B1" s="171" t="s">
        <v>145</v>
      </c>
      <c r="C1" s="171"/>
      <c r="D1" s="171" t="s">
        <v>146</v>
      </c>
      <c r="E1" s="171"/>
      <c r="F1" s="171"/>
      <c r="G1" s="171"/>
      <c r="H1" s="171"/>
      <c r="I1" s="171"/>
    </row>
    <row r="2" spans="1:9" x14ac:dyDescent="0.25">
      <c r="A2" s="170"/>
      <c r="B2" s="171" t="s">
        <v>147</v>
      </c>
      <c r="C2" s="171"/>
      <c r="D2" s="171" t="s">
        <v>67</v>
      </c>
      <c r="E2" s="171"/>
      <c r="F2" s="171"/>
      <c r="G2" s="171"/>
      <c r="H2" s="171"/>
      <c r="I2" s="171"/>
    </row>
    <row r="3" spans="1:9" x14ac:dyDescent="0.25">
      <c r="A3" s="170"/>
      <c r="B3" s="171" t="s">
        <v>148</v>
      </c>
      <c r="C3" s="171"/>
      <c r="D3" s="191" t="s">
        <v>171</v>
      </c>
      <c r="E3" s="171"/>
      <c r="F3" s="171"/>
      <c r="G3" s="171"/>
      <c r="H3" s="171"/>
      <c r="I3" s="171"/>
    </row>
    <row r="4" spans="1:9" x14ac:dyDescent="0.25">
      <c r="A4" s="170"/>
      <c r="B4" s="171" t="s">
        <v>150</v>
      </c>
      <c r="C4" s="171"/>
      <c r="D4" s="174">
        <v>191421</v>
      </c>
      <c r="E4" s="171"/>
      <c r="F4" s="171"/>
      <c r="G4" s="171"/>
      <c r="H4" s="192"/>
      <c r="I4" s="171"/>
    </row>
    <row r="5" spans="1:9" x14ac:dyDescent="0.25">
      <c r="A5" s="170"/>
      <c r="B5" s="171"/>
      <c r="C5" s="171"/>
      <c r="D5" s="171" t="s">
        <v>151</v>
      </c>
      <c r="E5" s="171"/>
      <c r="F5" s="171"/>
      <c r="G5" s="171"/>
      <c r="H5" s="171"/>
      <c r="I5" s="171"/>
    </row>
    <row r="6" spans="1:9" x14ac:dyDescent="0.25">
      <c r="A6" s="170"/>
      <c r="B6" s="171"/>
      <c r="C6" s="171"/>
      <c r="D6" s="171" t="s">
        <v>152</v>
      </c>
      <c r="E6" s="171"/>
      <c r="F6" s="171"/>
      <c r="G6" s="171"/>
      <c r="H6" s="171"/>
      <c r="I6" s="171"/>
    </row>
    <row r="7" spans="1:9" x14ac:dyDescent="0.25">
      <c r="A7" s="170"/>
      <c r="B7" s="171"/>
      <c r="C7" s="171"/>
      <c r="D7" s="171"/>
      <c r="E7" s="171"/>
      <c r="F7" s="171"/>
      <c r="G7" s="171"/>
      <c r="H7" s="171"/>
      <c r="I7" s="171"/>
    </row>
    <row r="8" spans="1:9" x14ac:dyDescent="0.25">
      <c r="A8" s="175">
        <v>1</v>
      </c>
      <c r="B8" s="171" t="s">
        <v>153</v>
      </c>
      <c r="C8" s="171"/>
      <c r="D8" s="171"/>
      <c r="E8" s="171"/>
      <c r="F8" s="171"/>
      <c r="G8" s="177"/>
      <c r="H8" s="171"/>
      <c r="I8" s="171"/>
    </row>
    <row r="9" spans="1:9" x14ac:dyDescent="0.25">
      <c r="A9" s="175">
        <v>2</v>
      </c>
      <c r="B9" s="171"/>
      <c r="C9" s="171"/>
      <c r="D9" s="171"/>
      <c r="E9" s="171"/>
      <c r="F9" s="171"/>
      <c r="G9" s="177"/>
      <c r="H9" s="171"/>
      <c r="I9" s="171"/>
    </row>
    <row r="10" spans="1:9" x14ac:dyDescent="0.25">
      <c r="A10" s="175">
        <v>3</v>
      </c>
      <c r="B10" s="177"/>
      <c r="C10" s="177"/>
      <c r="D10" s="177"/>
      <c r="E10" s="177"/>
      <c r="F10" s="177"/>
      <c r="G10" s="177"/>
      <c r="H10" s="177"/>
      <c r="I10" s="177"/>
    </row>
    <row r="11" spans="1:9" x14ac:dyDescent="0.25">
      <c r="A11" s="175">
        <v>4</v>
      </c>
      <c r="B11" s="178" t="s">
        <v>154</v>
      </c>
      <c r="C11" s="178" t="s">
        <v>155</v>
      </c>
      <c r="D11" s="178" t="s">
        <v>132</v>
      </c>
      <c r="E11" s="178" t="s">
        <v>157</v>
      </c>
      <c r="F11" s="179" t="s">
        <v>158</v>
      </c>
      <c r="G11" s="179" t="s">
        <v>122</v>
      </c>
      <c r="H11" s="179" t="s">
        <v>131</v>
      </c>
      <c r="I11" s="179" t="s">
        <v>125</v>
      </c>
    </row>
    <row r="12" spans="1:9" x14ac:dyDescent="0.25">
      <c r="A12" s="175">
        <v>5</v>
      </c>
      <c r="B12" s="177" t="s">
        <v>159</v>
      </c>
      <c r="C12" s="177" t="s">
        <v>160</v>
      </c>
      <c r="D12" s="177" t="s">
        <v>161</v>
      </c>
      <c r="E12" s="177" t="s">
        <v>162</v>
      </c>
      <c r="F12" s="176" t="s">
        <v>163</v>
      </c>
      <c r="G12" s="176" t="s">
        <v>164</v>
      </c>
      <c r="H12" s="176" t="s">
        <v>165</v>
      </c>
      <c r="I12" s="176" t="s">
        <v>166</v>
      </c>
    </row>
    <row r="13" spans="1:9" x14ac:dyDescent="0.25">
      <c r="A13" s="175">
        <v>204</v>
      </c>
      <c r="B13" s="180">
        <v>44501</v>
      </c>
      <c r="C13" s="171" t="s">
        <v>172</v>
      </c>
      <c r="D13" s="193">
        <v>-146582.63</v>
      </c>
      <c r="E13" s="194">
        <v>4163525.5056184125</v>
      </c>
      <c r="F13" s="195">
        <v>3.2500000000000001E-2</v>
      </c>
      <c r="G13" s="196">
        <v>11077.72</v>
      </c>
      <c r="H13" s="197">
        <v>4028020.5956184128</v>
      </c>
      <c r="I13" s="198">
        <v>3981500.9351894106</v>
      </c>
    </row>
    <row r="14" spans="1:9" x14ac:dyDescent="0.25">
      <c r="A14" s="175">
        <v>205</v>
      </c>
      <c r="B14" s="180">
        <v>44531</v>
      </c>
      <c r="C14" s="199"/>
      <c r="D14" s="193">
        <v>-592612.25</v>
      </c>
      <c r="E14" s="194"/>
      <c r="F14" s="195">
        <v>3.2500000000000001E-2</v>
      </c>
      <c r="G14" s="196">
        <v>9980.74</v>
      </c>
      <c r="H14" s="197">
        <v>-582631.51</v>
      </c>
      <c r="I14" s="198">
        <v>3398869.4251894103</v>
      </c>
    </row>
    <row r="15" spans="1:9" x14ac:dyDescent="0.25">
      <c r="A15" s="175">
        <v>206</v>
      </c>
      <c r="B15" s="180">
        <v>44562</v>
      </c>
      <c r="C15" s="199"/>
      <c r="D15" s="193">
        <v>-869864.25000000023</v>
      </c>
      <c r="E15" s="194"/>
      <c r="F15" s="195">
        <v>3.2500000000000001E-2</v>
      </c>
      <c r="G15" s="196">
        <v>8027.33</v>
      </c>
      <c r="H15" s="197">
        <v>-861836.92000000027</v>
      </c>
      <c r="I15" s="198">
        <v>2537032.5051894099</v>
      </c>
    </row>
    <row r="16" spans="1:9" x14ac:dyDescent="0.25">
      <c r="A16" s="175">
        <v>207</v>
      </c>
      <c r="B16" s="180">
        <v>44593</v>
      </c>
      <c r="C16" s="199"/>
      <c r="D16" s="193">
        <v>-699081.06000000017</v>
      </c>
      <c r="E16" s="194"/>
      <c r="F16" s="195">
        <v>3.2500000000000001E-2</v>
      </c>
      <c r="G16" s="196">
        <v>5924.46</v>
      </c>
      <c r="H16" s="197">
        <v>-693156.60000000021</v>
      </c>
      <c r="I16" s="198">
        <v>1843875.9051894099</v>
      </c>
    </row>
    <row r="17" spans="1:9" x14ac:dyDescent="0.25">
      <c r="A17" s="175">
        <v>208</v>
      </c>
      <c r="B17" s="180">
        <v>44621</v>
      </c>
      <c r="C17" s="199"/>
      <c r="D17" s="193">
        <v>-594672.43999999983</v>
      </c>
      <c r="E17" s="194"/>
      <c r="F17" s="195">
        <v>3.2500000000000001E-2</v>
      </c>
      <c r="G17" s="196">
        <v>4188.54</v>
      </c>
      <c r="H17" s="197">
        <v>-590483.89999999979</v>
      </c>
      <c r="I17" s="198">
        <v>1253392.0051894099</v>
      </c>
    </row>
    <row r="18" spans="1:9" x14ac:dyDescent="0.25">
      <c r="A18" s="175">
        <v>209</v>
      </c>
      <c r="B18" s="180">
        <v>44652</v>
      </c>
      <c r="C18" s="199"/>
      <c r="D18" s="193">
        <v>-443478.61999999994</v>
      </c>
      <c r="E18" s="194"/>
      <c r="F18" s="195">
        <v>3.2500000000000001E-2</v>
      </c>
      <c r="G18" s="196">
        <v>2794.06</v>
      </c>
      <c r="H18" s="197">
        <v>-440684.55999999994</v>
      </c>
      <c r="I18" s="198">
        <v>812707.44518941001</v>
      </c>
    </row>
    <row r="19" spans="1:9" x14ac:dyDescent="0.25">
      <c r="A19" s="175">
        <v>210</v>
      </c>
      <c r="B19" s="180">
        <v>44682</v>
      </c>
      <c r="C19" s="199"/>
      <c r="D19" s="193">
        <v>-385978.38</v>
      </c>
      <c r="E19" s="194"/>
      <c r="F19" s="195">
        <v>3.2500000000000001E-2</v>
      </c>
      <c r="G19" s="196">
        <v>1678.4</v>
      </c>
      <c r="H19" s="197">
        <v>-384299.98</v>
      </c>
      <c r="I19" s="198">
        <v>428407.46518941002</v>
      </c>
    </row>
    <row r="20" spans="1:9" x14ac:dyDescent="0.25">
      <c r="A20" s="175">
        <v>211</v>
      </c>
      <c r="B20" s="180">
        <v>44713</v>
      </c>
      <c r="C20" s="199"/>
      <c r="D20" s="193">
        <v>-234117.16999999995</v>
      </c>
      <c r="E20" s="194"/>
      <c r="F20" s="195">
        <v>3.2500000000000001E-2</v>
      </c>
      <c r="G20" s="196">
        <v>843.24</v>
      </c>
      <c r="H20" s="197">
        <v>-233273.92999999996</v>
      </c>
      <c r="I20" s="198">
        <v>195133.53518941006</v>
      </c>
    </row>
    <row r="21" spans="1:9" x14ac:dyDescent="0.25">
      <c r="A21" s="175">
        <v>212</v>
      </c>
      <c r="B21" s="180">
        <v>44743</v>
      </c>
      <c r="C21" s="199"/>
      <c r="D21" s="193">
        <v>-153033.24999999994</v>
      </c>
      <c r="E21" s="194"/>
      <c r="F21" s="195">
        <v>3.5999999999999997E-2</v>
      </c>
      <c r="G21" s="196">
        <v>355.85</v>
      </c>
      <c r="H21" s="197">
        <v>-152677.39999999994</v>
      </c>
      <c r="I21" s="198">
        <v>42456.135189410124</v>
      </c>
    </row>
    <row r="22" spans="1:9" x14ac:dyDescent="0.25">
      <c r="A22" s="175">
        <v>213</v>
      </c>
      <c r="B22" s="180">
        <v>44774</v>
      </c>
      <c r="C22" s="199"/>
      <c r="D22" s="193">
        <v>-115237.39000000003</v>
      </c>
      <c r="E22" s="194"/>
      <c r="F22" s="195">
        <v>3.5999999999999997E-2</v>
      </c>
      <c r="G22" s="196">
        <v>-45.49</v>
      </c>
      <c r="H22" s="197">
        <v>-115282.88000000003</v>
      </c>
      <c r="I22" s="198">
        <v>-72826.744810589909</v>
      </c>
    </row>
    <row r="23" spans="1:9" x14ac:dyDescent="0.25">
      <c r="A23" s="175">
        <v>214</v>
      </c>
      <c r="B23" s="180">
        <v>44805</v>
      </c>
      <c r="C23" s="199" t="s">
        <v>173</v>
      </c>
      <c r="D23" s="200">
        <v>-148522.78000000006</v>
      </c>
      <c r="E23" s="194"/>
      <c r="F23" s="195">
        <v>3.5999999999999997E-2</v>
      </c>
      <c r="G23" s="196">
        <v>-441.26</v>
      </c>
      <c r="H23" s="197">
        <v>-148964.04000000007</v>
      </c>
      <c r="I23" s="198">
        <v>-221790.78481058998</v>
      </c>
    </row>
    <row r="24" spans="1:9" x14ac:dyDescent="0.25">
      <c r="A24" s="175">
        <v>215</v>
      </c>
      <c r="B24" s="180">
        <v>44835</v>
      </c>
      <c r="C24" s="199" t="s">
        <v>173</v>
      </c>
      <c r="D24" s="200">
        <v>-301231.45999999996</v>
      </c>
      <c r="E24" s="194"/>
      <c r="F24" s="195">
        <v>3.5999999999999997E-2</v>
      </c>
      <c r="G24" s="196">
        <v>-1117.22</v>
      </c>
      <c r="H24" s="197">
        <v>-302348.67999999993</v>
      </c>
      <c r="I24" s="198">
        <v>-524139.46481058991</v>
      </c>
    </row>
    <row r="25" spans="1:9" x14ac:dyDescent="0.25">
      <c r="A25" s="175">
        <v>216</v>
      </c>
      <c r="B25" s="180"/>
      <c r="C25" s="199"/>
      <c r="D25" s="193"/>
      <c r="E25" s="194"/>
      <c r="F25" s="195"/>
      <c r="G25" s="196"/>
      <c r="H25" s="197"/>
      <c r="I25" s="198"/>
    </row>
    <row r="26" spans="1:9" x14ac:dyDescent="0.25">
      <c r="A26" s="175">
        <v>217</v>
      </c>
      <c r="B26" s="180"/>
      <c r="C26" s="199"/>
      <c r="D26" s="193"/>
      <c r="E26" s="194"/>
      <c r="F26" s="195"/>
      <c r="G26" s="196"/>
      <c r="H26" s="197"/>
      <c r="I26" s="198"/>
    </row>
    <row r="27" spans="1:9" x14ac:dyDescent="0.25">
      <c r="A27" s="175">
        <v>218</v>
      </c>
      <c r="B27" s="171"/>
      <c r="C27" s="201"/>
      <c r="D27" s="182"/>
      <c r="E27" s="172"/>
      <c r="F27" s="202"/>
      <c r="G27" s="203"/>
      <c r="H27" s="172"/>
      <c r="I27" s="186"/>
    </row>
    <row r="28" spans="1:9" x14ac:dyDescent="0.25">
      <c r="A28" s="175">
        <v>219</v>
      </c>
      <c r="B28" s="204" t="s">
        <v>168</v>
      </c>
      <c r="C28" s="171"/>
      <c r="D28" s="205"/>
      <c r="E28" s="206"/>
      <c r="F28" s="172"/>
      <c r="G28" s="207"/>
      <c r="H28" s="171"/>
      <c r="I28" s="198"/>
    </row>
    <row r="29" spans="1:9" x14ac:dyDescent="0.25">
      <c r="A29" s="175">
        <v>220</v>
      </c>
      <c r="B29" s="189"/>
      <c r="C29" s="171"/>
      <c r="D29" s="205"/>
      <c r="E29" s="172"/>
      <c r="F29" s="172"/>
      <c r="G29" s="202"/>
      <c r="H29" s="171"/>
      <c r="I29" s="208"/>
    </row>
    <row r="30" spans="1:9" x14ac:dyDescent="0.25">
      <c r="A30" s="175">
        <v>221</v>
      </c>
      <c r="B30" s="190" t="s">
        <v>169</v>
      </c>
      <c r="C30" s="171"/>
      <c r="D30" s="171"/>
      <c r="E30" s="207"/>
      <c r="F30" s="172"/>
      <c r="G30" s="207"/>
      <c r="H30" s="171"/>
      <c r="I30" s="171"/>
    </row>
    <row r="31" spans="1:9" x14ac:dyDescent="0.25">
      <c r="A31" s="175">
        <v>222</v>
      </c>
      <c r="B31" s="171" t="s">
        <v>174</v>
      </c>
      <c r="C31" s="171"/>
      <c r="D31" s="171"/>
      <c r="E31" s="171"/>
      <c r="F31" s="171"/>
      <c r="G31" s="171"/>
      <c r="H31" s="171"/>
      <c r="I31" s="171"/>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9F5F-D969-43E8-956A-92826B46BB08}">
  <dimension ref="A1:I31"/>
  <sheetViews>
    <sheetView zoomScaleNormal="100" workbookViewId="0">
      <selection activeCell="J17" sqref="J17"/>
    </sheetView>
  </sheetViews>
  <sheetFormatPr defaultRowHeight="15" x14ac:dyDescent="0.25"/>
  <cols>
    <col min="4" max="4" width="16" customWidth="1"/>
    <col min="5" max="5" width="11.5703125" bestFit="1" customWidth="1"/>
    <col min="7" max="7" width="9.5703125" bestFit="1" customWidth="1"/>
    <col min="8" max="8" width="11.5703125" bestFit="1" customWidth="1"/>
    <col min="9" max="9" width="13.28515625" bestFit="1" customWidth="1"/>
  </cols>
  <sheetData>
    <row r="1" spans="1:9" x14ac:dyDescent="0.25">
      <c r="A1" s="170"/>
      <c r="B1" s="171" t="s">
        <v>145</v>
      </c>
      <c r="C1" s="171"/>
      <c r="D1" s="172" t="s">
        <v>146</v>
      </c>
      <c r="E1" s="172"/>
      <c r="F1" s="172"/>
      <c r="G1" s="172"/>
      <c r="H1" s="172"/>
      <c r="I1" s="172"/>
    </row>
    <row r="2" spans="1:9" x14ac:dyDescent="0.25">
      <c r="A2" s="170"/>
      <c r="B2" s="171" t="s">
        <v>147</v>
      </c>
      <c r="C2" s="171"/>
      <c r="D2" s="172" t="s">
        <v>67</v>
      </c>
      <c r="E2" s="172"/>
      <c r="F2" s="172"/>
      <c r="G2" s="172"/>
      <c r="H2" s="172"/>
      <c r="I2" s="172"/>
    </row>
    <row r="3" spans="1:9" x14ac:dyDescent="0.25">
      <c r="A3" s="170"/>
      <c r="B3" s="171" t="s">
        <v>148</v>
      </c>
      <c r="C3" s="171"/>
      <c r="D3" s="173" t="s">
        <v>175</v>
      </c>
      <c r="E3" s="172"/>
      <c r="F3" s="172"/>
      <c r="G3" s="172"/>
      <c r="H3" s="172"/>
      <c r="I3" s="172"/>
    </row>
    <row r="4" spans="1:9" x14ac:dyDescent="0.25">
      <c r="A4" s="170"/>
      <c r="B4" s="171" t="s">
        <v>150</v>
      </c>
      <c r="C4" s="171"/>
      <c r="D4" s="174">
        <v>191430</v>
      </c>
      <c r="E4" s="172"/>
      <c r="F4" s="172"/>
      <c r="G4" s="172"/>
      <c r="H4" s="172"/>
      <c r="I4" s="172"/>
    </row>
    <row r="5" spans="1:9" x14ac:dyDescent="0.25">
      <c r="A5" s="170"/>
      <c r="B5" s="171"/>
      <c r="C5" s="171"/>
      <c r="D5" s="171" t="s">
        <v>151</v>
      </c>
      <c r="E5" s="172"/>
      <c r="F5" s="172"/>
      <c r="G5" s="172"/>
      <c r="H5" s="172"/>
      <c r="I5" s="172"/>
    </row>
    <row r="6" spans="1:9" x14ac:dyDescent="0.25">
      <c r="A6" s="170"/>
      <c r="B6" s="171"/>
      <c r="C6" s="171"/>
      <c r="D6" s="171" t="s">
        <v>152</v>
      </c>
      <c r="E6" s="172"/>
      <c r="F6" s="172"/>
      <c r="G6" s="172"/>
      <c r="H6" s="172"/>
      <c r="I6" s="172"/>
    </row>
    <row r="7" spans="1:9" x14ac:dyDescent="0.25">
      <c r="A7" s="170"/>
      <c r="B7" s="171"/>
      <c r="C7" s="171"/>
      <c r="D7" s="172"/>
      <c r="E7" s="172"/>
      <c r="F7" s="172"/>
      <c r="G7" s="172"/>
      <c r="H7" s="172"/>
      <c r="I7" s="172"/>
    </row>
    <row r="8" spans="1:9" x14ac:dyDescent="0.25">
      <c r="A8" s="175">
        <v>1</v>
      </c>
      <c r="B8" s="171" t="s">
        <v>153</v>
      </c>
      <c r="C8" s="171"/>
      <c r="D8" s="172"/>
      <c r="E8" s="172"/>
      <c r="F8" s="172"/>
      <c r="G8" s="176"/>
      <c r="H8" s="172"/>
      <c r="I8" s="172"/>
    </row>
    <row r="9" spans="1:9" x14ac:dyDescent="0.25">
      <c r="A9" s="175">
        <v>2</v>
      </c>
      <c r="B9" s="171"/>
      <c r="C9" s="171"/>
      <c r="D9" s="172"/>
      <c r="E9" s="172"/>
      <c r="F9" s="172"/>
      <c r="G9" s="176"/>
      <c r="H9" s="172"/>
      <c r="I9" s="172"/>
    </row>
    <row r="10" spans="1:9" x14ac:dyDescent="0.25">
      <c r="A10" s="175">
        <v>3</v>
      </c>
      <c r="B10" s="177"/>
      <c r="C10" s="177"/>
      <c r="D10" s="176"/>
      <c r="E10" s="176"/>
      <c r="F10" s="176"/>
      <c r="G10" s="176"/>
      <c r="H10" s="176"/>
      <c r="I10" s="176"/>
    </row>
    <row r="11" spans="1:9" x14ac:dyDescent="0.25">
      <c r="A11" s="175">
        <v>4</v>
      </c>
      <c r="B11" s="178" t="s">
        <v>154</v>
      </c>
      <c r="C11" s="178" t="s">
        <v>155</v>
      </c>
      <c r="D11" s="179" t="s">
        <v>156</v>
      </c>
      <c r="E11" s="179" t="s">
        <v>157</v>
      </c>
      <c r="F11" s="179" t="s">
        <v>158</v>
      </c>
      <c r="G11" s="179" t="s">
        <v>122</v>
      </c>
      <c r="H11" s="179" t="s">
        <v>131</v>
      </c>
      <c r="I11" s="179" t="s">
        <v>125</v>
      </c>
    </row>
    <row r="12" spans="1:9" x14ac:dyDescent="0.25">
      <c r="A12" s="175">
        <v>5</v>
      </c>
      <c r="B12" s="177" t="s">
        <v>159</v>
      </c>
      <c r="C12" s="177" t="s">
        <v>160</v>
      </c>
      <c r="D12" s="176" t="s">
        <v>161</v>
      </c>
      <c r="E12" s="176" t="s">
        <v>162</v>
      </c>
      <c r="F12" s="176" t="s">
        <v>163</v>
      </c>
      <c r="G12" s="176" t="s">
        <v>164</v>
      </c>
      <c r="H12" s="176" t="s">
        <v>165</v>
      </c>
      <c r="I12" s="176" t="s">
        <v>166</v>
      </c>
    </row>
    <row r="13" spans="1:9" x14ac:dyDescent="0.25">
      <c r="A13" s="175">
        <v>6</v>
      </c>
      <c r="B13" s="171"/>
      <c r="C13" s="171"/>
      <c r="D13" s="172"/>
      <c r="E13" s="172"/>
      <c r="F13" s="172"/>
      <c r="G13" s="176"/>
      <c r="H13" s="172"/>
      <c r="I13" s="172"/>
    </row>
    <row r="14" spans="1:9" x14ac:dyDescent="0.25">
      <c r="A14" s="175">
        <v>7</v>
      </c>
      <c r="B14" s="191" t="s">
        <v>176</v>
      </c>
      <c r="C14" s="171"/>
      <c r="D14" s="172"/>
      <c r="E14" s="172"/>
      <c r="F14" s="172"/>
      <c r="G14" s="172"/>
      <c r="H14" s="172"/>
      <c r="I14" s="172"/>
    </row>
    <row r="15" spans="1:9" x14ac:dyDescent="0.25">
      <c r="A15" s="175">
        <v>190</v>
      </c>
      <c r="B15" s="180">
        <v>44521</v>
      </c>
      <c r="C15" s="181" t="s">
        <v>167</v>
      </c>
      <c r="D15" s="182">
        <v>-128604.43</v>
      </c>
      <c r="E15" s="207">
        <v>-304778.69602219778</v>
      </c>
      <c r="F15" s="184">
        <v>3.2500000000000001E-2</v>
      </c>
      <c r="G15" s="185">
        <v>1140.3800000000001</v>
      </c>
      <c r="H15" s="172">
        <v>-432242.74602219777</v>
      </c>
      <c r="I15" s="186">
        <v>357902.50961339951</v>
      </c>
    </row>
    <row r="16" spans="1:9" x14ac:dyDescent="0.25">
      <c r="A16" s="175">
        <v>191</v>
      </c>
      <c r="B16" s="180">
        <v>44561</v>
      </c>
      <c r="C16" s="171"/>
      <c r="D16" s="182">
        <v>-678688.7</v>
      </c>
      <c r="E16" s="207"/>
      <c r="F16" s="184">
        <v>3.2500000000000001E-2</v>
      </c>
      <c r="G16" s="185">
        <v>50.26</v>
      </c>
      <c r="H16" s="172">
        <v>-678638.44</v>
      </c>
      <c r="I16" s="186">
        <v>-320735.93038660043</v>
      </c>
    </row>
    <row r="17" spans="1:9" x14ac:dyDescent="0.25">
      <c r="A17" s="175">
        <v>192</v>
      </c>
      <c r="B17" s="180">
        <v>44562</v>
      </c>
      <c r="C17" s="171"/>
      <c r="D17" s="182">
        <v>-637677.3553980001</v>
      </c>
      <c r="E17" s="207"/>
      <c r="F17" s="184">
        <v>3.2500000000000001E-2</v>
      </c>
      <c r="G17" s="185">
        <v>-1732.18</v>
      </c>
      <c r="H17" s="172">
        <v>-639409.53539800015</v>
      </c>
      <c r="I17" s="186">
        <v>-960145.46578460059</v>
      </c>
    </row>
    <row r="18" spans="1:9" x14ac:dyDescent="0.25">
      <c r="A18" s="175">
        <v>193</v>
      </c>
      <c r="B18" s="180">
        <v>44593</v>
      </c>
      <c r="C18" s="171"/>
      <c r="D18" s="182">
        <v>-438762.10469259974</v>
      </c>
      <c r="E18" s="207"/>
      <c r="F18" s="184">
        <v>3.2500000000000001E-2</v>
      </c>
      <c r="G18" s="185">
        <v>-3194.55</v>
      </c>
      <c r="H18" s="172">
        <v>-441956.65469259972</v>
      </c>
      <c r="I18" s="186">
        <v>-1402102.1204772003</v>
      </c>
    </row>
    <row r="19" spans="1:9" x14ac:dyDescent="0.25">
      <c r="A19" s="175">
        <v>194</v>
      </c>
      <c r="B19" s="180">
        <v>44621</v>
      </c>
      <c r="C19" s="171"/>
      <c r="D19" s="182">
        <v>-130502.47979999997</v>
      </c>
      <c r="E19" s="207"/>
      <c r="F19" s="184">
        <v>3.2500000000000001E-2</v>
      </c>
      <c r="G19" s="185">
        <v>-3974.08</v>
      </c>
      <c r="H19" s="172">
        <v>-134476.55979999996</v>
      </c>
      <c r="I19" s="186">
        <v>-1536578.6802772002</v>
      </c>
    </row>
    <row r="20" spans="1:9" x14ac:dyDescent="0.25">
      <c r="A20" s="175">
        <v>195</v>
      </c>
      <c r="B20" s="180">
        <v>44652</v>
      </c>
      <c r="C20" s="171"/>
      <c r="D20" s="182">
        <v>-116061.29160099989</v>
      </c>
      <c r="E20" s="207"/>
      <c r="F20" s="184">
        <v>3.2500000000000001E-2</v>
      </c>
      <c r="G20" s="185">
        <v>-4318.7299999999996</v>
      </c>
      <c r="H20" s="172">
        <v>-120380.02160099988</v>
      </c>
      <c r="I20" s="186">
        <v>-1656958.7018782001</v>
      </c>
    </row>
    <row r="21" spans="1:9" x14ac:dyDescent="0.25">
      <c r="A21" s="175">
        <v>196</v>
      </c>
      <c r="B21" s="180">
        <v>44682</v>
      </c>
      <c r="C21" s="171"/>
      <c r="D21" s="182">
        <v>207744.60292540025</v>
      </c>
      <c r="E21" s="207"/>
      <c r="F21" s="184">
        <v>3.2500000000000001E-2</v>
      </c>
      <c r="G21" s="185">
        <v>-4206.28</v>
      </c>
      <c r="H21" s="172">
        <v>203538.32292540025</v>
      </c>
      <c r="I21" s="186">
        <v>-1453420.3789527998</v>
      </c>
    </row>
    <row r="22" spans="1:9" x14ac:dyDescent="0.25">
      <c r="A22" s="175">
        <v>197</v>
      </c>
      <c r="B22" s="180">
        <v>44713</v>
      </c>
      <c r="C22" s="171"/>
      <c r="D22" s="182">
        <v>424476.19296080008</v>
      </c>
      <c r="E22" s="207"/>
      <c r="F22" s="184">
        <v>3.2500000000000001E-2</v>
      </c>
      <c r="G22" s="185">
        <v>-3361.54</v>
      </c>
      <c r="H22" s="172">
        <v>421114.6529608001</v>
      </c>
      <c r="I22" s="186">
        <v>-1032305.7259919997</v>
      </c>
    </row>
    <row r="23" spans="1:9" x14ac:dyDescent="0.25">
      <c r="A23" s="175">
        <v>198</v>
      </c>
      <c r="B23" s="180">
        <v>44743</v>
      </c>
      <c r="C23" s="171"/>
      <c r="D23" s="182">
        <v>523042.79432320013</v>
      </c>
      <c r="E23" s="207"/>
      <c r="F23" s="184">
        <v>3.5999999999999997E-2</v>
      </c>
      <c r="G23" s="185">
        <v>-2312.35</v>
      </c>
      <c r="H23" s="172">
        <v>520730.44432320015</v>
      </c>
      <c r="I23" s="186">
        <v>-511575.28166879958</v>
      </c>
    </row>
    <row r="24" spans="1:9" x14ac:dyDescent="0.25">
      <c r="A24" s="175">
        <v>199</v>
      </c>
      <c r="B24" s="180">
        <v>44774</v>
      </c>
      <c r="C24" s="171"/>
      <c r="D24" s="182">
        <v>531440.50038240035</v>
      </c>
      <c r="E24" s="207"/>
      <c r="F24" s="184">
        <v>3.5999999999999997E-2</v>
      </c>
      <c r="G24" s="185">
        <v>-737.57</v>
      </c>
      <c r="H24" s="172">
        <v>530702.9303824004</v>
      </c>
      <c r="I24" s="186">
        <v>19127.648713600822</v>
      </c>
    </row>
    <row r="25" spans="1:9" x14ac:dyDescent="0.25">
      <c r="A25" s="175">
        <v>200</v>
      </c>
      <c r="B25" s="180">
        <v>44805</v>
      </c>
      <c r="C25" s="171"/>
      <c r="D25" s="182"/>
      <c r="E25" s="207"/>
      <c r="F25" s="184">
        <v>3.5999999999999997E-2</v>
      </c>
      <c r="G25" s="185">
        <v>57.38</v>
      </c>
      <c r="H25" s="172">
        <v>57.38</v>
      </c>
      <c r="I25" s="186">
        <v>19185.028713600823</v>
      </c>
    </row>
    <row r="26" spans="1:9" x14ac:dyDescent="0.25">
      <c r="A26" s="175">
        <v>201</v>
      </c>
      <c r="B26" s="180">
        <v>44835</v>
      </c>
      <c r="C26" s="171"/>
      <c r="D26" s="182"/>
      <c r="E26" s="207"/>
      <c r="F26" s="184">
        <v>3.5999999999999997E-2</v>
      </c>
      <c r="G26" s="185">
        <v>57.56</v>
      </c>
      <c r="H26" s="172">
        <v>57.56</v>
      </c>
      <c r="I26" s="186">
        <v>19242.588713600824</v>
      </c>
    </row>
    <row r="27" spans="1:9" x14ac:dyDescent="0.25">
      <c r="A27" s="175">
        <v>202</v>
      </c>
      <c r="B27" s="180"/>
      <c r="C27" s="171"/>
      <c r="D27" s="182"/>
      <c r="E27" s="207"/>
      <c r="F27" s="187"/>
      <c r="G27" s="185"/>
      <c r="H27" s="172"/>
      <c r="I27" s="186"/>
    </row>
    <row r="28" spans="1:9" x14ac:dyDescent="0.25">
      <c r="A28" s="175">
        <v>203</v>
      </c>
      <c r="B28" s="188" t="s">
        <v>168</v>
      </c>
      <c r="C28" s="171"/>
      <c r="D28" s="182"/>
      <c r="E28" s="207"/>
      <c r="F28" s="207"/>
      <c r="G28" s="185"/>
      <c r="H28" s="172"/>
      <c r="I28" s="186"/>
    </row>
    <row r="29" spans="1:9" x14ac:dyDescent="0.25">
      <c r="A29" s="175">
        <v>204</v>
      </c>
      <c r="B29" s="189"/>
      <c r="C29" s="171"/>
      <c r="D29" s="182"/>
      <c r="E29" s="207"/>
      <c r="F29" s="207"/>
      <c r="G29" s="185"/>
      <c r="H29" s="185"/>
      <c r="I29" s="172"/>
    </row>
    <row r="30" spans="1:9" x14ac:dyDescent="0.25">
      <c r="A30" s="175">
        <v>205</v>
      </c>
      <c r="B30" s="190" t="s">
        <v>169</v>
      </c>
      <c r="C30" s="171"/>
      <c r="D30" s="172"/>
      <c r="E30" s="207"/>
      <c r="F30" s="207"/>
      <c r="G30" s="207"/>
      <c r="H30" s="207"/>
      <c r="I30" s="207"/>
    </row>
    <row r="31" spans="1:9" x14ac:dyDescent="0.25">
      <c r="A31" s="175">
        <v>206</v>
      </c>
      <c r="B31" s="191" t="s">
        <v>177</v>
      </c>
      <c r="C31" s="171"/>
      <c r="D31" s="172"/>
      <c r="E31" s="207"/>
      <c r="F31" s="207"/>
      <c r="G31" s="207"/>
      <c r="H31" s="207"/>
      <c r="I31" s="207"/>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6FE2-05F8-48CD-BB71-59DDC330D6F2}">
  <dimension ref="A1:I32"/>
  <sheetViews>
    <sheetView zoomScaleNormal="100" workbookViewId="0">
      <selection activeCell="I1" sqref="I1"/>
    </sheetView>
  </sheetViews>
  <sheetFormatPr defaultRowHeight="15" x14ac:dyDescent="0.25"/>
  <cols>
    <col min="4" max="4" width="17.28515625" customWidth="1"/>
    <col min="5" max="5" width="13.28515625" bestFit="1" customWidth="1"/>
    <col min="7" max="7" width="9.5703125" bestFit="1" customWidth="1"/>
    <col min="8" max="9" width="13.28515625" bestFit="1" customWidth="1"/>
  </cols>
  <sheetData>
    <row r="1" spans="1:9" x14ac:dyDescent="0.25">
      <c r="A1" s="170"/>
      <c r="B1" s="171" t="s">
        <v>145</v>
      </c>
      <c r="C1" s="171"/>
      <c r="D1" s="172" t="s">
        <v>146</v>
      </c>
      <c r="E1" s="172"/>
      <c r="F1" s="172"/>
      <c r="G1" s="172"/>
      <c r="H1" s="172"/>
      <c r="I1" s="172"/>
    </row>
    <row r="2" spans="1:9" x14ac:dyDescent="0.25">
      <c r="A2" s="170"/>
      <c r="B2" s="171" t="s">
        <v>147</v>
      </c>
      <c r="C2" s="171"/>
      <c r="D2" s="172" t="s">
        <v>67</v>
      </c>
      <c r="E2" s="172"/>
      <c r="F2" s="172"/>
      <c r="G2" s="172"/>
      <c r="H2" s="172"/>
      <c r="I2" s="172"/>
    </row>
    <row r="3" spans="1:9" x14ac:dyDescent="0.25">
      <c r="A3" s="170"/>
      <c r="B3" s="171" t="s">
        <v>148</v>
      </c>
      <c r="C3" s="171"/>
      <c r="D3" s="173" t="s">
        <v>178</v>
      </c>
      <c r="E3" s="172"/>
      <c r="F3" s="172"/>
      <c r="G3" s="172"/>
      <c r="H3" s="172"/>
      <c r="I3" s="172"/>
    </row>
    <row r="4" spans="1:9" x14ac:dyDescent="0.25">
      <c r="A4" s="170"/>
      <c r="B4" s="171" t="s">
        <v>150</v>
      </c>
      <c r="C4" s="171"/>
      <c r="D4" s="174">
        <v>191431</v>
      </c>
      <c r="E4" s="172"/>
      <c r="F4" s="172"/>
      <c r="G4" s="172"/>
      <c r="H4" s="172"/>
      <c r="I4" s="172"/>
    </row>
    <row r="5" spans="1:9" x14ac:dyDescent="0.25">
      <c r="A5" s="170"/>
      <c r="B5" s="171"/>
      <c r="C5" s="171"/>
      <c r="D5" s="171" t="s">
        <v>151</v>
      </c>
      <c r="E5" s="172"/>
      <c r="F5" s="172"/>
      <c r="G5" s="172"/>
      <c r="H5" s="172"/>
      <c r="I5" s="172"/>
    </row>
    <row r="6" spans="1:9" x14ac:dyDescent="0.25">
      <c r="A6" s="170"/>
      <c r="B6" s="171"/>
      <c r="C6" s="171"/>
      <c r="D6" s="171" t="s">
        <v>152</v>
      </c>
      <c r="E6" s="172"/>
      <c r="F6" s="172"/>
      <c r="G6" s="172"/>
      <c r="H6" s="172"/>
      <c r="I6" s="172"/>
    </row>
    <row r="7" spans="1:9" x14ac:dyDescent="0.25">
      <c r="A7" s="170"/>
      <c r="B7" s="171"/>
      <c r="C7" s="171"/>
      <c r="D7" s="172"/>
      <c r="E7" s="172"/>
      <c r="F7" s="172"/>
      <c r="G7" s="172"/>
      <c r="H7" s="172"/>
      <c r="I7" s="172"/>
    </row>
    <row r="8" spans="1:9" x14ac:dyDescent="0.25">
      <c r="A8" s="175">
        <v>1</v>
      </c>
      <c r="B8" s="171" t="s">
        <v>153</v>
      </c>
      <c r="C8" s="171"/>
      <c r="D8" s="172"/>
      <c r="E8" s="172"/>
      <c r="F8" s="172"/>
      <c r="G8" s="176"/>
      <c r="H8" s="172"/>
      <c r="I8" s="172"/>
    </row>
    <row r="9" spans="1:9" x14ac:dyDescent="0.25">
      <c r="A9" s="175">
        <v>2</v>
      </c>
      <c r="B9" s="171"/>
      <c r="C9" s="171"/>
      <c r="D9" s="172"/>
      <c r="E9" s="172"/>
      <c r="F9" s="172"/>
      <c r="G9" s="176"/>
      <c r="H9" s="172"/>
      <c r="I9" s="172"/>
    </row>
    <row r="10" spans="1:9" x14ac:dyDescent="0.25">
      <c r="A10" s="175">
        <v>3</v>
      </c>
      <c r="B10" s="177"/>
      <c r="C10" s="177"/>
      <c r="D10" s="176"/>
      <c r="E10" s="176"/>
      <c r="F10" s="176"/>
      <c r="G10" s="176"/>
      <c r="H10" s="176"/>
      <c r="I10" s="176"/>
    </row>
    <row r="11" spans="1:9" x14ac:dyDescent="0.25">
      <c r="A11" s="175">
        <v>4</v>
      </c>
      <c r="B11" s="178" t="s">
        <v>154</v>
      </c>
      <c r="C11" s="178" t="s">
        <v>155</v>
      </c>
      <c r="D11" s="179" t="s">
        <v>132</v>
      </c>
      <c r="E11" s="179" t="s">
        <v>157</v>
      </c>
      <c r="F11" s="179" t="s">
        <v>158</v>
      </c>
      <c r="G11" s="179" t="s">
        <v>122</v>
      </c>
      <c r="H11" s="179" t="s">
        <v>131</v>
      </c>
      <c r="I11" s="179" t="s">
        <v>125</v>
      </c>
    </row>
    <row r="12" spans="1:9" x14ac:dyDescent="0.25">
      <c r="A12" s="175">
        <v>5</v>
      </c>
      <c r="B12" s="177" t="s">
        <v>159</v>
      </c>
      <c r="C12" s="177" t="s">
        <v>160</v>
      </c>
      <c r="D12" s="176" t="s">
        <v>161</v>
      </c>
      <c r="E12" s="176" t="s">
        <v>162</v>
      </c>
      <c r="F12" s="176" t="s">
        <v>179</v>
      </c>
      <c r="G12" s="176" t="s">
        <v>165</v>
      </c>
      <c r="H12" s="176" t="s">
        <v>166</v>
      </c>
      <c r="I12" s="176" t="s">
        <v>180</v>
      </c>
    </row>
    <row r="13" spans="1:9" x14ac:dyDescent="0.25">
      <c r="A13" s="175">
        <v>6</v>
      </c>
      <c r="B13" s="171"/>
      <c r="C13" s="171"/>
      <c r="D13" s="172"/>
      <c r="E13" s="172"/>
      <c r="F13" s="172"/>
      <c r="G13" s="176"/>
      <c r="H13" s="172"/>
      <c r="I13" s="172"/>
    </row>
    <row r="14" spans="1:9" x14ac:dyDescent="0.25">
      <c r="A14" s="175">
        <v>204</v>
      </c>
      <c r="B14" s="180">
        <v>44501</v>
      </c>
      <c r="C14" s="171" t="s">
        <v>172</v>
      </c>
      <c r="D14" s="182">
        <v>142121.34</v>
      </c>
      <c r="E14" s="197">
        <v>304778.69602219778</v>
      </c>
      <c r="F14" s="195">
        <v>3.2500000000000001E-2</v>
      </c>
      <c r="G14" s="197">
        <v>1017.9</v>
      </c>
      <c r="H14" s="197">
        <v>447917.93602219783</v>
      </c>
      <c r="I14" s="197">
        <v>24440.27233139798</v>
      </c>
    </row>
    <row r="15" spans="1:9" x14ac:dyDescent="0.25">
      <c r="A15" s="175">
        <v>205</v>
      </c>
      <c r="B15" s="180">
        <v>44531</v>
      </c>
      <c r="C15" s="171"/>
      <c r="D15" s="182">
        <v>583676.6</v>
      </c>
      <c r="E15" s="197"/>
      <c r="F15" s="195">
        <v>3.2500000000000001E-2</v>
      </c>
      <c r="G15" s="197">
        <v>856.59</v>
      </c>
      <c r="H15" s="197">
        <v>584533.18999999994</v>
      </c>
      <c r="I15" s="197">
        <v>608973.46233139792</v>
      </c>
    </row>
    <row r="16" spans="1:9" x14ac:dyDescent="0.25">
      <c r="A16" s="175">
        <v>206</v>
      </c>
      <c r="B16" s="180">
        <v>44562</v>
      </c>
      <c r="C16" s="209" t="s">
        <v>181</v>
      </c>
      <c r="D16" s="182">
        <v>858624.97</v>
      </c>
      <c r="E16" s="197">
        <v>-3646485.72</v>
      </c>
      <c r="F16" s="195">
        <v>3.2500000000000001E-2</v>
      </c>
      <c r="G16" s="197">
        <v>-7063.87</v>
      </c>
      <c r="H16" s="197">
        <v>-2794924.62</v>
      </c>
      <c r="I16" s="197">
        <v>-2185951.1576686022</v>
      </c>
    </row>
    <row r="17" spans="1:9" x14ac:dyDescent="0.25">
      <c r="A17" s="175">
        <v>207</v>
      </c>
      <c r="B17" s="180">
        <v>44593</v>
      </c>
      <c r="C17" s="171"/>
      <c r="D17" s="182">
        <v>690078.95000000019</v>
      </c>
      <c r="E17" s="197"/>
      <c r="F17" s="195">
        <v>3.2500000000000001E-2</v>
      </c>
      <c r="G17" s="197">
        <v>-4985.8</v>
      </c>
      <c r="H17" s="197">
        <v>685093.15000000014</v>
      </c>
      <c r="I17" s="197">
        <v>-1500858.007668602</v>
      </c>
    </row>
    <row r="18" spans="1:9" x14ac:dyDescent="0.25">
      <c r="A18" s="175">
        <v>208</v>
      </c>
      <c r="B18" s="180">
        <v>44621</v>
      </c>
      <c r="C18" s="171"/>
      <c r="D18" s="182">
        <v>586374.29</v>
      </c>
      <c r="E18" s="197"/>
      <c r="F18" s="195">
        <v>3.2500000000000001E-2</v>
      </c>
      <c r="G18" s="197">
        <v>-3270.78</v>
      </c>
      <c r="H18" s="197">
        <v>583103.51</v>
      </c>
      <c r="I18" s="197">
        <v>-917754.49766860204</v>
      </c>
    </row>
    <row r="19" spans="1:9" x14ac:dyDescent="0.25">
      <c r="A19" s="175">
        <v>209</v>
      </c>
      <c r="B19" s="180">
        <v>44652</v>
      </c>
      <c r="C19" s="171"/>
      <c r="D19" s="182">
        <v>436442.04000000004</v>
      </c>
      <c r="E19" s="197"/>
      <c r="F19" s="195">
        <v>3.2500000000000001E-2</v>
      </c>
      <c r="G19" s="197">
        <v>-1894.57</v>
      </c>
      <c r="H19" s="197">
        <v>434547.47000000003</v>
      </c>
      <c r="I19" s="197">
        <v>-483207.02766860201</v>
      </c>
    </row>
    <row r="20" spans="1:9" x14ac:dyDescent="0.25">
      <c r="A20" s="175">
        <v>210</v>
      </c>
      <c r="B20" s="180">
        <v>44682</v>
      </c>
      <c r="C20" s="171"/>
      <c r="D20" s="182">
        <v>379874.56999999995</v>
      </c>
      <c r="E20" s="197"/>
      <c r="F20" s="195">
        <v>3.2500000000000001E-2</v>
      </c>
      <c r="G20" s="197">
        <v>-794.27</v>
      </c>
      <c r="H20" s="197">
        <v>379080.29999999993</v>
      </c>
      <c r="I20" s="197">
        <v>-104126.72766860208</v>
      </c>
    </row>
    <row r="21" spans="1:9" x14ac:dyDescent="0.25">
      <c r="A21" s="175">
        <v>211</v>
      </c>
      <c r="B21" s="180">
        <v>44713</v>
      </c>
      <c r="C21" s="171"/>
      <c r="D21" s="182">
        <v>229722.91999999995</v>
      </c>
      <c r="E21" s="197"/>
      <c r="F21" s="195">
        <v>3.2500000000000001E-2</v>
      </c>
      <c r="G21" s="197">
        <v>29.07</v>
      </c>
      <c r="H21" s="197">
        <v>229751.98999999996</v>
      </c>
      <c r="I21" s="197">
        <v>125625.26233139788</v>
      </c>
    </row>
    <row r="22" spans="1:9" x14ac:dyDescent="0.25">
      <c r="A22" s="175">
        <v>212</v>
      </c>
      <c r="B22" s="180">
        <v>44743</v>
      </c>
      <c r="C22" s="171"/>
      <c r="D22" s="182">
        <v>149496.09999999998</v>
      </c>
      <c r="E22" s="197"/>
      <c r="F22" s="195">
        <v>3.5999999999999997E-2</v>
      </c>
      <c r="G22" s="197">
        <v>601.12</v>
      </c>
      <c r="H22" s="197">
        <v>150097.21999999997</v>
      </c>
      <c r="I22" s="197">
        <v>275722.48233139783</v>
      </c>
    </row>
    <row r="23" spans="1:9" x14ac:dyDescent="0.25">
      <c r="A23" s="175">
        <v>213</v>
      </c>
      <c r="B23" s="180">
        <v>44774</v>
      </c>
      <c r="C23" s="171"/>
      <c r="D23" s="182">
        <v>112037.06000000001</v>
      </c>
      <c r="E23" s="197"/>
      <c r="F23" s="195">
        <v>3.5999999999999997E-2</v>
      </c>
      <c r="G23" s="197">
        <v>995.22</v>
      </c>
      <c r="H23" s="197">
        <v>113032.28000000001</v>
      </c>
      <c r="I23" s="197">
        <v>388754.76233139785</v>
      </c>
    </row>
    <row r="24" spans="1:9" x14ac:dyDescent="0.25">
      <c r="A24" s="175">
        <v>214</v>
      </c>
      <c r="B24" s="180">
        <v>44805</v>
      </c>
      <c r="C24" s="210" t="s">
        <v>173</v>
      </c>
      <c r="D24" s="211">
        <v>145088.16999999998</v>
      </c>
      <c r="E24" s="197"/>
      <c r="F24" s="195">
        <v>3.5999999999999997E-2</v>
      </c>
      <c r="G24" s="197">
        <v>1383.9</v>
      </c>
      <c r="H24" s="197">
        <v>146472.06999999998</v>
      </c>
      <c r="I24" s="197">
        <v>535226.8323313978</v>
      </c>
    </row>
    <row r="25" spans="1:9" x14ac:dyDescent="0.25">
      <c r="A25" s="175">
        <v>215</v>
      </c>
      <c r="B25" s="180">
        <v>44835</v>
      </c>
      <c r="C25" s="210" t="s">
        <v>173</v>
      </c>
      <c r="D25" s="211">
        <v>295781.46999999997</v>
      </c>
      <c r="E25" s="182"/>
      <c r="F25" s="195">
        <v>3.5999999999999997E-2</v>
      </c>
      <c r="G25" s="197">
        <v>2049.35</v>
      </c>
      <c r="H25" s="197">
        <v>297830.81999999995</v>
      </c>
      <c r="I25" s="197">
        <v>833057.65233139775</v>
      </c>
    </row>
    <row r="26" spans="1:9" x14ac:dyDescent="0.25">
      <c r="A26" s="175">
        <v>216</v>
      </c>
      <c r="B26" s="171"/>
      <c r="C26" s="171"/>
      <c r="D26" s="212"/>
      <c r="E26" s="182"/>
      <c r="F26" s="202"/>
      <c r="G26" s="203"/>
      <c r="H26" s="172"/>
      <c r="I26" s="213"/>
    </row>
    <row r="27" spans="1:9" x14ac:dyDescent="0.25">
      <c r="A27" s="175">
        <v>217</v>
      </c>
      <c r="B27" s="188" t="s">
        <v>168</v>
      </c>
      <c r="C27" s="171"/>
      <c r="D27" s="182"/>
      <c r="E27" s="172"/>
      <c r="F27" s="187"/>
      <c r="G27" s="203"/>
      <c r="H27" s="172"/>
      <c r="I27" s="213"/>
    </row>
    <row r="28" spans="1:9" x14ac:dyDescent="0.25">
      <c r="A28" s="175">
        <v>218</v>
      </c>
      <c r="B28" s="189"/>
      <c r="C28" s="171"/>
      <c r="D28" s="182"/>
      <c r="E28" s="172"/>
      <c r="F28" s="187"/>
      <c r="G28" s="203"/>
      <c r="H28" s="172"/>
      <c r="I28" s="213"/>
    </row>
    <row r="29" spans="1:9" x14ac:dyDescent="0.25">
      <c r="A29" s="175">
        <v>219</v>
      </c>
      <c r="B29" s="190" t="s">
        <v>169</v>
      </c>
      <c r="C29" s="171"/>
      <c r="D29" s="182"/>
      <c r="E29" s="172"/>
      <c r="F29" s="187"/>
      <c r="G29" s="203"/>
      <c r="H29" s="172"/>
      <c r="I29" s="186"/>
    </row>
    <row r="30" spans="1:9" x14ac:dyDescent="0.25">
      <c r="A30" s="175">
        <v>220</v>
      </c>
      <c r="B30" s="171" t="s">
        <v>182</v>
      </c>
      <c r="C30" s="171"/>
      <c r="D30" s="182"/>
      <c r="E30" s="172"/>
      <c r="F30" s="187"/>
      <c r="G30" s="203"/>
      <c r="H30" s="172"/>
      <c r="I30" s="213"/>
    </row>
    <row r="31" spans="1:9" x14ac:dyDescent="0.25">
      <c r="A31" s="175">
        <v>221</v>
      </c>
      <c r="B31" s="214" t="s">
        <v>183</v>
      </c>
      <c r="C31" s="171"/>
      <c r="D31" s="182"/>
      <c r="E31" s="172"/>
      <c r="F31" s="187"/>
      <c r="G31" s="203"/>
      <c r="H31" s="172"/>
      <c r="I31" s="213"/>
    </row>
    <row r="32" spans="1:9" x14ac:dyDescent="0.25">
      <c r="A32" s="175"/>
      <c r="B32" s="171"/>
      <c r="C32" s="171"/>
      <c r="D32" s="172"/>
      <c r="E32" s="172"/>
      <c r="F32" s="172"/>
      <c r="G32" s="172"/>
      <c r="H32" s="172"/>
      <c r="I32" s="172"/>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B08B-BAAB-40BE-A0F8-79C0E78EFB0C}">
  <dimension ref="A1:H31"/>
  <sheetViews>
    <sheetView zoomScaleNormal="100" workbookViewId="0">
      <selection activeCell="K13" sqref="K13"/>
    </sheetView>
  </sheetViews>
  <sheetFormatPr defaultRowHeight="15" x14ac:dyDescent="0.25"/>
  <cols>
    <col min="4" max="4" width="17.42578125" customWidth="1"/>
    <col min="5" max="6" width="12.42578125" bestFit="1" customWidth="1"/>
    <col min="7" max="7" width="13.28515625" bestFit="1" customWidth="1"/>
  </cols>
  <sheetData>
    <row r="1" spans="1:8" x14ac:dyDescent="0.25">
      <c r="A1" s="170"/>
      <c r="B1" s="171" t="s">
        <v>145</v>
      </c>
      <c r="C1" s="171"/>
      <c r="D1" s="172" t="s">
        <v>146</v>
      </c>
      <c r="E1" s="172"/>
      <c r="F1" s="172"/>
      <c r="G1" s="172"/>
      <c r="H1" s="171"/>
    </row>
    <row r="2" spans="1:8" x14ac:dyDescent="0.25">
      <c r="A2" s="170"/>
      <c r="B2" s="171" t="s">
        <v>147</v>
      </c>
      <c r="C2" s="171"/>
      <c r="D2" s="172" t="s">
        <v>67</v>
      </c>
      <c r="E2" s="172"/>
      <c r="F2" s="172"/>
      <c r="G2" s="172"/>
      <c r="H2" s="171"/>
    </row>
    <row r="3" spans="1:8" x14ac:dyDescent="0.25">
      <c r="A3" s="170"/>
      <c r="B3" s="171" t="s">
        <v>148</v>
      </c>
      <c r="C3" s="171"/>
      <c r="D3" s="173" t="s">
        <v>184</v>
      </c>
      <c r="E3" s="172"/>
      <c r="F3" s="172"/>
      <c r="G3" s="172"/>
      <c r="H3" s="171"/>
    </row>
    <row r="4" spans="1:8" x14ac:dyDescent="0.25">
      <c r="A4" s="170"/>
      <c r="B4" s="171" t="s">
        <v>150</v>
      </c>
      <c r="C4" s="171"/>
      <c r="D4" s="215" t="s">
        <v>185</v>
      </c>
      <c r="E4" s="172"/>
      <c r="F4" s="172"/>
      <c r="G4" s="172"/>
      <c r="H4" s="171"/>
    </row>
    <row r="5" spans="1:8" x14ac:dyDescent="0.25">
      <c r="A5" s="170"/>
      <c r="B5" s="171"/>
      <c r="C5" s="171"/>
      <c r="D5" s="171" t="s">
        <v>186</v>
      </c>
      <c r="E5" s="172"/>
      <c r="F5" s="172"/>
      <c r="G5" s="172"/>
      <c r="H5" s="171"/>
    </row>
    <row r="6" spans="1:8" x14ac:dyDescent="0.25">
      <c r="A6" s="170"/>
      <c r="B6" s="171"/>
      <c r="C6" s="171"/>
      <c r="D6" s="171"/>
      <c r="E6" s="172"/>
      <c r="F6" s="172"/>
      <c r="G6" s="172"/>
      <c r="H6" s="171"/>
    </row>
    <row r="7" spans="1:8" x14ac:dyDescent="0.25">
      <c r="A7" s="170"/>
      <c r="B7" s="171"/>
      <c r="C7" s="171"/>
      <c r="D7" s="172"/>
      <c r="E7" s="172"/>
      <c r="F7" s="172"/>
      <c r="G7" s="172"/>
      <c r="H7" s="171"/>
    </row>
    <row r="8" spans="1:8" x14ac:dyDescent="0.25">
      <c r="A8" s="175">
        <v>1</v>
      </c>
      <c r="B8" s="171" t="s">
        <v>153</v>
      </c>
      <c r="C8" s="171"/>
      <c r="D8" s="172"/>
      <c r="E8" s="172"/>
      <c r="F8" s="172"/>
      <c r="G8" s="172"/>
      <c r="H8" s="171"/>
    </row>
    <row r="9" spans="1:8" x14ac:dyDescent="0.25">
      <c r="A9" s="175">
        <v>2</v>
      </c>
      <c r="B9" s="171"/>
      <c r="C9" s="171"/>
      <c r="D9" s="172"/>
      <c r="E9" s="172"/>
      <c r="F9" s="172"/>
      <c r="G9" s="172"/>
      <c r="H9" s="171"/>
    </row>
    <row r="10" spans="1:8" x14ac:dyDescent="0.25">
      <c r="A10" s="175">
        <v>3</v>
      </c>
      <c r="B10" s="177"/>
      <c r="C10" s="177"/>
      <c r="D10" s="176"/>
      <c r="E10" s="176"/>
      <c r="F10" s="176"/>
      <c r="G10" s="176"/>
      <c r="H10" s="171"/>
    </row>
    <row r="11" spans="1:8" x14ac:dyDescent="0.25">
      <c r="A11" s="175">
        <v>4</v>
      </c>
      <c r="B11" s="178" t="s">
        <v>154</v>
      </c>
      <c r="C11" s="178" t="s">
        <v>155</v>
      </c>
      <c r="D11" s="179" t="s">
        <v>156</v>
      </c>
      <c r="E11" s="179" t="s">
        <v>157</v>
      </c>
      <c r="F11" s="179" t="s">
        <v>131</v>
      </c>
      <c r="G11" s="179" t="s">
        <v>125</v>
      </c>
      <c r="H11" s="171"/>
    </row>
    <row r="12" spans="1:8" x14ac:dyDescent="0.25">
      <c r="A12" s="175">
        <v>5</v>
      </c>
      <c r="B12" s="177" t="s">
        <v>159</v>
      </c>
      <c r="C12" s="177" t="s">
        <v>160</v>
      </c>
      <c r="D12" s="176" t="s">
        <v>161</v>
      </c>
      <c r="E12" s="176" t="s">
        <v>162</v>
      </c>
      <c r="F12" s="176" t="s">
        <v>179</v>
      </c>
      <c r="G12" s="176" t="s">
        <v>165</v>
      </c>
      <c r="H12" s="177"/>
    </row>
    <row r="13" spans="1:8" x14ac:dyDescent="0.25">
      <c r="A13" s="175">
        <v>6</v>
      </c>
      <c r="B13" s="171"/>
      <c r="C13" s="171"/>
      <c r="D13" s="172"/>
      <c r="E13" s="172"/>
      <c r="F13" s="172"/>
      <c r="G13" s="172"/>
      <c r="H13" s="171"/>
    </row>
    <row r="14" spans="1:8" x14ac:dyDescent="0.25">
      <c r="A14" s="175">
        <v>189</v>
      </c>
      <c r="B14" s="171">
        <v>44501</v>
      </c>
      <c r="C14" s="214"/>
      <c r="D14" s="216">
        <v>-113168.27</v>
      </c>
      <c r="E14" s="207"/>
      <c r="F14" s="207">
        <v>-113168.27</v>
      </c>
      <c r="G14" s="186">
        <v>-3511539.5799999991</v>
      </c>
      <c r="H14" s="207"/>
    </row>
    <row r="15" spans="1:8" x14ac:dyDescent="0.25">
      <c r="A15" s="175">
        <v>190</v>
      </c>
      <c r="B15" s="171">
        <v>44531</v>
      </c>
      <c r="C15" s="214"/>
      <c r="D15" s="216">
        <v>-134945.14000000001</v>
      </c>
      <c r="E15" s="207"/>
      <c r="F15" s="207">
        <v>-134945.14000000001</v>
      </c>
      <c r="G15" s="186">
        <v>-3646485.7199999993</v>
      </c>
      <c r="H15" s="207"/>
    </row>
    <row r="16" spans="1:8" x14ac:dyDescent="0.25">
      <c r="A16" s="175">
        <v>191</v>
      </c>
      <c r="B16" s="171">
        <v>44562</v>
      </c>
      <c r="C16" s="217" t="s">
        <v>167</v>
      </c>
      <c r="D16" s="216">
        <v>-11722.76</v>
      </c>
      <c r="E16" s="207">
        <v>3646485.72</v>
      </c>
      <c r="F16" s="207">
        <v>3634762.9600000004</v>
      </c>
      <c r="G16" s="186">
        <v>-11722.759999998845</v>
      </c>
      <c r="H16" s="207"/>
    </row>
    <row r="17" spans="1:8" x14ac:dyDescent="0.25">
      <c r="A17" s="175">
        <v>192</v>
      </c>
      <c r="B17" s="171">
        <v>44593</v>
      </c>
      <c r="C17" s="214"/>
      <c r="D17" s="216">
        <v>-49990.81</v>
      </c>
      <c r="E17" s="207"/>
      <c r="F17" s="207">
        <v>-49990.81</v>
      </c>
      <c r="G17" s="186">
        <v>-61713.569999998843</v>
      </c>
      <c r="H17" s="207"/>
    </row>
    <row r="18" spans="1:8" x14ac:dyDescent="0.25">
      <c r="A18" s="175">
        <v>193</v>
      </c>
      <c r="B18" s="171">
        <v>44621</v>
      </c>
      <c r="C18" s="214"/>
      <c r="D18" s="216">
        <v>-139455.28</v>
      </c>
      <c r="E18" s="207"/>
      <c r="F18" s="207">
        <v>-139455.28</v>
      </c>
      <c r="G18" s="186">
        <v>-201168.84999999884</v>
      </c>
      <c r="H18" s="207"/>
    </row>
    <row r="19" spans="1:8" x14ac:dyDescent="0.25">
      <c r="A19" s="175">
        <v>194</v>
      </c>
      <c r="B19" s="171">
        <v>44652</v>
      </c>
      <c r="C19" s="214"/>
      <c r="D19" s="216">
        <v>-132335.95000000001</v>
      </c>
      <c r="E19" s="207"/>
      <c r="F19" s="207">
        <v>-132335.95000000001</v>
      </c>
      <c r="G19" s="186">
        <v>-333504.79999999888</v>
      </c>
      <c r="H19" s="207"/>
    </row>
    <row r="20" spans="1:8" x14ac:dyDescent="0.25">
      <c r="A20" s="175">
        <v>195</v>
      </c>
      <c r="B20" s="171">
        <v>44682</v>
      </c>
      <c r="C20" s="214"/>
      <c r="D20" s="216">
        <v>-160287.85999999999</v>
      </c>
      <c r="E20" s="207"/>
      <c r="F20" s="207">
        <v>-160287.85999999999</v>
      </c>
      <c r="G20" s="186">
        <v>-493792.65999999887</v>
      </c>
      <c r="H20" s="207"/>
    </row>
    <row r="21" spans="1:8" x14ac:dyDescent="0.25">
      <c r="A21" s="175">
        <v>196</v>
      </c>
      <c r="B21" s="171">
        <v>44713</v>
      </c>
      <c r="C21" s="214"/>
      <c r="D21" s="216">
        <v>-208071.18</v>
      </c>
      <c r="E21" s="207"/>
      <c r="F21" s="207">
        <v>-208071.18</v>
      </c>
      <c r="G21" s="186">
        <v>-701863.83999999892</v>
      </c>
      <c r="H21" s="207"/>
    </row>
    <row r="22" spans="1:8" x14ac:dyDescent="0.25">
      <c r="A22" s="175">
        <v>197</v>
      </c>
      <c r="B22" s="171">
        <v>44743</v>
      </c>
      <c r="C22" s="214"/>
      <c r="D22" s="216">
        <v>-356421.55</v>
      </c>
      <c r="E22" s="207"/>
      <c r="F22" s="207">
        <v>-356421.55</v>
      </c>
      <c r="G22" s="186">
        <v>-1058285.389999999</v>
      </c>
      <c r="H22" s="207"/>
    </row>
    <row r="23" spans="1:8" x14ac:dyDescent="0.25">
      <c r="A23" s="175">
        <v>198</v>
      </c>
      <c r="B23" s="171">
        <v>44774</v>
      </c>
      <c r="C23" s="214"/>
      <c r="D23" s="216">
        <v>-432157.49</v>
      </c>
      <c r="E23" s="207"/>
      <c r="F23" s="207">
        <v>-432157.49</v>
      </c>
      <c r="G23" s="186">
        <v>-1490442.879999999</v>
      </c>
      <c r="H23" s="207"/>
    </row>
    <row r="24" spans="1:8" x14ac:dyDescent="0.25">
      <c r="A24" s="175">
        <v>199</v>
      </c>
      <c r="B24" s="171">
        <v>44805</v>
      </c>
      <c r="C24" s="214"/>
      <c r="D24" s="216"/>
      <c r="E24" s="207"/>
      <c r="F24" s="207">
        <v>0</v>
      </c>
      <c r="G24" s="186">
        <v>-1490442.879999999</v>
      </c>
      <c r="H24" s="207"/>
    </row>
    <row r="25" spans="1:8" x14ac:dyDescent="0.25">
      <c r="A25" s="175">
        <v>200</v>
      </c>
      <c r="B25" s="171">
        <v>44835</v>
      </c>
      <c r="C25" s="214"/>
      <c r="D25" s="216"/>
      <c r="E25" s="207"/>
      <c r="F25" s="207">
        <v>0</v>
      </c>
      <c r="G25" s="186">
        <v>-1490442.879999999</v>
      </c>
      <c r="H25" s="207"/>
    </row>
    <row r="26" spans="1:8" x14ac:dyDescent="0.25">
      <c r="A26" s="175"/>
      <c r="B26" s="171"/>
      <c r="C26" s="214"/>
      <c r="D26" s="216"/>
      <c r="E26" s="207"/>
      <c r="F26" s="207"/>
      <c r="G26" s="207"/>
      <c r="H26" s="207"/>
    </row>
    <row r="27" spans="1:8" x14ac:dyDescent="0.25">
      <c r="A27" s="175">
        <v>201</v>
      </c>
      <c r="B27" s="188" t="s">
        <v>168</v>
      </c>
      <c r="C27" s="214"/>
      <c r="D27" s="216"/>
      <c r="E27" s="207"/>
      <c r="F27" s="207"/>
      <c r="G27" s="207"/>
      <c r="H27" s="207"/>
    </row>
    <row r="28" spans="1:8" x14ac:dyDescent="0.25">
      <c r="A28" s="175">
        <v>202</v>
      </c>
      <c r="B28" s="189"/>
      <c r="C28" s="214"/>
      <c r="D28" s="207"/>
      <c r="E28" s="207"/>
      <c r="F28" s="207"/>
      <c r="G28" s="207"/>
      <c r="H28" s="207"/>
    </row>
    <row r="29" spans="1:8" x14ac:dyDescent="0.25">
      <c r="A29" s="175">
        <v>203</v>
      </c>
      <c r="B29" s="190" t="s">
        <v>169</v>
      </c>
      <c r="C29" s="214"/>
      <c r="D29" s="207"/>
      <c r="E29" s="207"/>
      <c r="F29" s="207"/>
      <c r="G29" s="207"/>
      <c r="H29" s="207"/>
    </row>
    <row r="30" spans="1:8" x14ac:dyDescent="0.25">
      <c r="A30" s="175">
        <v>204</v>
      </c>
      <c r="B30" s="214" t="s">
        <v>187</v>
      </c>
      <c r="C30" s="214"/>
      <c r="D30" s="207"/>
      <c r="E30" s="207"/>
      <c r="F30" s="207"/>
      <c r="G30" s="207"/>
      <c r="H30" s="207"/>
    </row>
    <row r="31" spans="1:8" x14ac:dyDescent="0.25">
      <c r="A31" s="175"/>
      <c r="B31" s="171"/>
      <c r="C31" s="214"/>
      <c r="D31" s="207"/>
      <c r="E31" s="207"/>
      <c r="F31" s="207"/>
      <c r="G31" s="207"/>
      <c r="H31" s="207"/>
    </row>
  </sheetData>
  <pageMargins left="0.7" right="0.7" top="0.75" bottom="0.75" header="0.3" footer="0.3"/>
  <pageSetup orientation="portrait" horizontalDpi="0" verticalDpi="0" r:id="rId1"/>
  <headerFooter>
    <oddHeader>&amp;R&amp;9NWN WUTC Advice 22-07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83C18416B334340AAC80D7EDFC9D181" ma:contentTypeVersion="28" ma:contentTypeDescription="" ma:contentTypeScope="" ma:versionID="996298d6e931a1a9be8bf07f08d3384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2022-09-14T07:00:00+00:00</OpenedDate>
    <SignificantOrder xmlns="dc463f71-b30c-4ab2-9473-d307f9d35888">false</SignificantOrder>
    <Date1 xmlns="dc463f71-b30c-4ab2-9473-d307f9d35888">2022-09-14T07:00:00+00:00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220697</DocketNumber>
    <DelegatedOrder xmlns="dc463f71-b30c-4ab2-9473-d307f9d35888">false</DelegatedOrder>
  </documentManagement>
</p:properties>
</file>

<file path=customXml/itemProps1.xml><?xml version="1.0" encoding="utf-8"?>
<ds:datastoreItem xmlns:ds="http://schemas.openxmlformats.org/officeDocument/2006/customXml" ds:itemID="{11A1F48E-5F9D-488B-B7B9-62DD6403C740}"/>
</file>

<file path=customXml/itemProps2.xml><?xml version="1.0" encoding="utf-8"?>
<ds:datastoreItem xmlns:ds="http://schemas.openxmlformats.org/officeDocument/2006/customXml" ds:itemID="{27140674-D0ED-4433-8267-0BD9D5828F8D}"/>
</file>

<file path=customXml/itemProps3.xml><?xml version="1.0" encoding="utf-8"?>
<ds:datastoreItem xmlns:ds="http://schemas.openxmlformats.org/officeDocument/2006/customXml" ds:itemID="{45CFFF2F-BBED-454A-A22D-F61C3D8C9A41}"/>
</file>

<file path=customXml/itemProps4.xml><?xml version="1.0" encoding="utf-8"?>
<ds:datastoreItem xmlns:ds="http://schemas.openxmlformats.org/officeDocument/2006/customXml" ds:itemID="{E934B1C4-3B92-4297-BCA3-86B8C343C9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Temp Increments</vt:lpstr>
      <vt:lpstr>Calc of Increments</vt:lpstr>
      <vt:lpstr>Effects of Avg Bill</vt:lpstr>
      <vt:lpstr>Summary of Def. Accounts</vt:lpstr>
      <vt:lpstr>191420</vt:lpstr>
      <vt:lpstr>191421</vt:lpstr>
      <vt:lpstr>191430</vt:lpstr>
      <vt:lpstr>191431</vt:lpstr>
      <vt:lpstr>254302</vt:lpstr>
      <vt:lpstr>Total Commodity Cost</vt:lpstr>
      <vt:lpstr>WACOG Calc</vt:lpstr>
      <vt:lpstr>Demand Charges</vt:lpstr>
      <vt:lpstr>Derivation of Demand</vt:lpstr>
      <vt:lpstr>Calc of Winter WACOG</vt:lpstr>
      <vt:lpstr>Effects on Revenue</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Bourdo, Lora</cp:lastModifiedBy>
  <dcterms:created xsi:type="dcterms:W3CDTF">2022-09-14T15:32:42Z</dcterms:created>
  <dcterms:modified xsi:type="dcterms:W3CDTF">2022-09-14T18:06:08Z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0x0101006E56B4D1795A2E4DB2F0B01679ED314A00883C18416B334340AAC80D7EDFC9D181</vt:lpwstr>
  </property>
  <property fmtid="{D5CDD505-2E9C-101B-9397-08002B2CF9AE}" pid="3" name="_docset_NoMedatataSyncRequired">
    <vt:lpwstr>False</vt:lpwstr>
  </property>
  <property fmtid="{D5CDD505-2E9C-101B-9397-08002B2CF9AE}" pid="4" name="IsEFSEC">
    <vt:bool>false</vt:bool>
  </property>
</Properties>
</file>