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.parvinen\OneDrive - MDU Resources 1\Documents\"/>
    </mc:Choice>
  </mc:AlternateContent>
  <xr:revisionPtr revIDLastSave="4" documentId="8_{8B63A074-01A5-4601-A2EF-1B373923779C}" xr6:coauthVersionLast="47" xr6:coauthVersionMax="47" xr10:uidLastSave="{9B3B1EFD-048A-40FC-92D6-68BFBFD940E5}"/>
  <bookViews>
    <workbookView xWindow="28680" yWindow="-120" windowWidth="29040" windowHeight="15840" xr2:uid="{E80F627C-CEAA-45D7-925C-654668622D00}"/>
  </bookViews>
  <sheets>
    <sheet name="Impact" sheetId="1" r:id="rId1"/>
    <sheet name="Effects of Avg. Bil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F6" i="1"/>
  <c r="I6" i="1"/>
  <c r="L12" i="1"/>
  <c r="M11" i="1"/>
  <c r="L11" i="1"/>
  <c r="M10" i="1"/>
  <c r="L10" i="1"/>
  <c r="M9" i="1"/>
  <c r="L9" i="1"/>
  <c r="M8" i="1"/>
  <c r="L8" i="1"/>
  <c r="M7" i="1"/>
  <c r="L7" i="1"/>
  <c r="M6" i="1"/>
  <c r="M12" i="1" s="1"/>
  <c r="N12" i="1" s="1"/>
  <c r="L6" i="1"/>
  <c r="H36" i="2"/>
  <c r="H35" i="2"/>
  <c r="H34" i="2"/>
  <c r="I34" i="2" s="1"/>
  <c r="H33" i="2"/>
  <c r="H29" i="2"/>
  <c r="H28" i="2"/>
  <c r="I28" i="2" s="1"/>
  <c r="I30" i="2" s="1"/>
  <c r="J30" i="2" s="1"/>
  <c r="K30" i="2" s="1"/>
  <c r="H24" i="2"/>
  <c r="I24" i="2" s="1"/>
  <c r="H23" i="2"/>
  <c r="H22" i="2"/>
  <c r="I22" i="2" s="1"/>
  <c r="H18" i="2"/>
  <c r="H17" i="2"/>
  <c r="I17" i="2" s="1"/>
  <c r="H16" i="2"/>
  <c r="I16" i="2" s="1"/>
  <c r="H13" i="2"/>
  <c r="H11" i="2"/>
  <c r="I11" i="2" s="1"/>
  <c r="J11" i="2" s="1"/>
  <c r="K11" i="2" s="1"/>
  <c r="G34" i="2"/>
  <c r="G33" i="2"/>
  <c r="G28" i="2"/>
  <c r="G24" i="2"/>
  <c r="G23" i="2"/>
  <c r="G22" i="2"/>
  <c r="G17" i="2"/>
  <c r="G16" i="2"/>
  <c r="G13" i="2"/>
  <c r="G11" i="2"/>
  <c r="J13" i="2"/>
  <c r="K13" i="2" s="1"/>
  <c r="I33" i="2"/>
  <c r="I23" i="2"/>
  <c r="I13" i="2"/>
  <c r="G37" i="2"/>
  <c r="G30" i="2"/>
  <c r="G19" i="2"/>
  <c r="J6" i="1"/>
  <c r="J7" i="1"/>
  <c r="J8" i="1"/>
  <c r="J9" i="1"/>
  <c r="J10" i="1"/>
  <c r="J11" i="1"/>
  <c r="I37" i="2" l="1"/>
  <c r="J37" i="2" s="1"/>
  <c r="K37" i="2" s="1"/>
  <c r="I25" i="2"/>
  <c r="J25" i="2" s="1"/>
  <c r="K25" i="2" s="1"/>
  <c r="I19" i="2"/>
  <c r="J19" i="2" s="1"/>
  <c r="K19" i="2" s="1"/>
  <c r="G25" i="2"/>
  <c r="I12" i="1" l="1"/>
  <c r="J12" i="1" s="1"/>
  <c r="I11" i="1"/>
  <c r="I10" i="1"/>
  <c r="I9" i="1"/>
  <c r="I8" i="1"/>
  <c r="I7" i="1"/>
  <c r="H12" i="1"/>
  <c r="G11" i="1"/>
  <c r="G10" i="1"/>
  <c r="G9" i="1"/>
  <c r="G8" i="1"/>
  <c r="G7" i="1"/>
  <c r="F11" i="1" l="1"/>
  <c r="F10" i="1"/>
  <c r="F9" i="1"/>
  <c r="F8" i="1"/>
  <c r="F7" i="1"/>
</calcChain>
</file>

<file path=xl/sharedStrings.xml><?xml version="1.0" encoding="utf-8"?>
<sst xmlns="http://schemas.openxmlformats.org/spreadsheetml/2006/main" count="71" uniqueCount="62">
  <si>
    <t>Rate Schedule</t>
  </si>
  <si>
    <t>Increase general rates by (These come from IDM-2 column X)</t>
  </si>
  <si>
    <t>Current CRM Rates</t>
  </si>
  <si>
    <t>Remove all investment up to the end of 2020 and Oct. true-up from 11/21 CRM filing NEW CRM Rates</t>
  </si>
  <si>
    <t>Change in CRM Rate</t>
  </si>
  <si>
    <t>Net Rate Change</t>
  </si>
  <si>
    <t>Volumes</t>
  </si>
  <si>
    <t>Impact</t>
  </si>
  <si>
    <t>Base Rate Increase</t>
  </si>
  <si>
    <t>CRM Rate Reduction</t>
  </si>
  <si>
    <t>Net Change</t>
  </si>
  <si>
    <t>Total</t>
  </si>
  <si>
    <t>Cascade Natural Gas Corporation</t>
  </si>
  <si>
    <t>CRM PROPOSED TYPICAL MONTHLY BILL BY  CLASS</t>
  </si>
  <si>
    <t>State of Washington</t>
  </si>
  <si>
    <t>UG-210755</t>
  </si>
  <si>
    <t>Proposed</t>
  </si>
  <si>
    <t>Typical</t>
  </si>
  <si>
    <t>Current</t>
  </si>
  <si>
    <t>Line</t>
  </si>
  <si>
    <t>Monthly</t>
  </si>
  <si>
    <t>Basic</t>
  </si>
  <si>
    <t>CRM</t>
  </si>
  <si>
    <t>Bill</t>
  </si>
  <si>
    <t>No.</t>
  </si>
  <si>
    <t>Type of Service</t>
  </si>
  <si>
    <t>Therm Used</t>
  </si>
  <si>
    <t>Service Charge</t>
  </si>
  <si>
    <t>Billing Rates</t>
  </si>
  <si>
    <t>Average Bill</t>
  </si>
  <si>
    <t>PGA Effects</t>
  </si>
  <si>
    <t>Difference</t>
  </si>
  <si>
    <t>% Bill Change</t>
  </si>
  <si>
    <t>e=c+(b*d)</t>
  </si>
  <si>
    <t>g=c+(b*f)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</si>
  <si>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</si>
  <si>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</si>
  <si>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</si>
  <si>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</si>
  <si>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</si>
  <si>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</si>
  <si>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</si>
  <si>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</si>
  <si>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</si>
  <si>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Residential, Schedule 503</t>
  </si>
  <si>
    <t>Commercial, Schedule 504</t>
  </si>
  <si>
    <t>Industrial Firm, Schedule 505</t>
  </si>
  <si>
    <t>First 500 therms</t>
  </si>
  <si>
    <t>Next 3,500 therms</t>
  </si>
  <si>
    <t>Over 4,000 therms</t>
  </si>
  <si>
    <t>Total 505</t>
  </si>
  <si>
    <t>Com-Ind Dual Service, Schedule 511</t>
  </si>
  <si>
    <t>Total 511</t>
  </si>
  <si>
    <t>Industrial Interruptible, Schedule 570</t>
  </si>
  <si>
    <t>First 30,000 therms</t>
  </si>
  <si>
    <t>Over 30,000 therms</t>
  </si>
  <si>
    <t>Total 570</t>
  </si>
  <si>
    <t>Transport, Schedule 663</t>
  </si>
  <si>
    <t>First 100,000 therms</t>
  </si>
  <si>
    <t>Next 200,000 therms</t>
  </si>
  <si>
    <t>Over 500,000 therms</t>
  </si>
  <si>
    <t>663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</si>
</sst>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0.00000"/>
    <numFmt numFmtId="165" formatCode="&quot;$&quot;#,##0.00"/>
    <numFmt numFmtId="166" formatCode="General_)"/>
    <numFmt numFmtId="167" formatCode="_(&quot;$&quot;* #,##0.00000_);_(&quot;$&quot;* \(#,##0.00000\);_(&quot;$&quot;* &quot;-&quot;??_);_(@_)"/>
    <numFmt numFmtId="168" formatCode="&quot;$&quot;#,##0.00000"/>
    <numFmt numFmtId="169" formatCode="&quot;$&quot;#,##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165" fontId="0" fillId="0" borderId="1" xfId="0" applyNumberFormat="1" applyBorder="1"/>
    <xf numFmtId="3" fontId="0" fillId="0" borderId="2" xfId="0" applyNumberFormat="1" applyBorder="1"/>
    <xf numFmtId="10" fontId="0" fillId="0" borderId="0" xfId="2" applyNumberFormat="1" applyFont="1"/>
    <xf numFmtId="7" fontId="3" fillId="0" borderId="0" xfId="3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7" fontId="3" fillId="0" borderId="0" xfId="1" applyNumberFormat="1" applyFont="1" applyFill="1"/>
    <xf numFmtId="3" fontId="4" fillId="0" borderId="0" xfId="0" applyNumberFormat="1" applyFont="1" applyAlignment="1">
      <alignment horizontal="center"/>
    </xf>
    <xf numFmtId="167" fontId="4" fillId="0" borderId="0" xfId="1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8" fontId="3" fillId="0" borderId="0" xfId="3" applyNumberFormat="1" applyFont="1" applyAlignment="1">
      <alignment horizontal="center"/>
    </xf>
    <xf numFmtId="166" fontId="3" fillId="0" borderId="0" xfId="3" applyFont="1"/>
    <xf numFmtId="169" fontId="3" fillId="0" borderId="0" xfId="3" applyNumberFormat="1" applyFont="1" applyAlignment="1">
      <alignment horizontal="center"/>
    </xf>
    <xf numFmtId="165" fontId="3" fillId="0" borderId="0" xfId="3" applyNumberFormat="1" applyFont="1" applyAlignment="1">
      <alignment horizontal="center"/>
    </xf>
    <xf numFmtId="10" fontId="3" fillId="0" borderId="3" xfId="2" applyNumberFormat="1" applyFont="1" applyFill="1" applyBorder="1" applyAlignment="1" applyProtection="1">
      <alignment horizontal="center"/>
    </xf>
    <xf numFmtId="166" fontId="5" fillId="0" borderId="0" xfId="3" applyFont="1"/>
    <xf numFmtId="166" fontId="3" fillId="0" borderId="0" xfId="3" applyFont="1" applyAlignment="1">
      <alignment horizontal="right"/>
    </xf>
    <xf numFmtId="3" fontId="3" fillId="0" borderId="0" xfId="3" applyNumberFormat="1" applyFont="1" applyAlignment="1">
      <alignment horizontal="center"/>
    </xf>
    <xf numFmtId="165" fontId="3" fillId="0" borderId="0" xfId="3" applyNumberFormat="1" applyFont="1"/>
    <xf numFmtId="10" fontId="3" fillId="0" borderId="4" xfId="2" applyNumberFormat="1" applyFont="1" applyFill="1" applyBorder="1" applyAlignment="1" applyProtection="1">
      <alignment horizontal="center"/>
    </xf>
    <xf numFmtId="7" fontId="3" fillId="0" borderId="0" xfId="3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4">
    <cellStyle name="Currency" xfId="1" builtinId="4"/>
    <cellStyle name="Normal" xfId="0" builtinId="0"/>
    <cellStyle name="Normal_CNGC Deferral Workpapers 2" xfId="3" xr:uid="{E667E7B4-0BEB-4247-A2BE-1613AD1BFEB8}"/>
    <cellStyle name="Percent" xfId="2" builtinId="5"/>
  </cellStyles>
  <dxfs count="0"/>
  <tableStyles count="1" defaultTableStyle="TableStyleMedium2" defaultPivotStyle="PivotStyleLight16">
    <tableStyle name="Invisible" pivot="0" table="0" count="0" xr9:uid="{13672F70-F7D4-435C-A318-143E30789DB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A02A9-CC13-4AB2-8A15-944DF154106C}">
  <dimension ref="B4:N12"/>
  <sheetViews>
    <sheetView tabSelected="1" workbookViewId="0">
      <selection activeCell="O6" sqref="O6"/>
    </sheetView>
  </sheetViews>
  <sheetFormatPr defaultRowHeight="15"/>
  <cols>
    <col min="2" max="2" width="11.5703125" customWidth="1"/>
    <col min="3" max="3" width="16.140625" customWidth="1"/>
    <col min="4" max="4" width="14.28515625" customWidth="1"/>
    <col min="5" max="5" width="21.7109375" customWidth="1"/>
    <col min="6" max="6" width="13.5703125" customWidth="1"/>
    <col min="7" max="7" width="12.85546875" customWidth="1"/>
    <col min="8" max="8" width="25" customWidth="1"/>
    <col min="9" max="9" width="14" customWidth="1"/>
    <col min="13" max="13" width="11.140625" bestFit="1" customWidth="1"/>
  </cols>
  <sheetData>
    <row r="4" spans="2:14" ht="90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L4" s="2" t="s">
        <v>8</v>
      </c>
      <c r="M4" s="2" t="s">
        <v>9</v>
      </c>
      <c r="N4" s="2" t="s">
        <v>10</v>
      </c>
    </row>
    <row r="5" spans="2:14">
      <c r="F5" s="1"/>
    </row>
    <row r="6" spans="2:14">
      <c r="B6">
        <v>503</v>
      </c>
      <c r="C6">
        <v>5.4099999999999999E-3</v>
      </c>
      <c r="D6">
        <v>1.1610000000000001E-2</v>
      </c>
      <c r="E6">
        <v>3.7699999999999999E-3</v>
      </c>
      <c r="F6">
        <f>-D6+E6</f>
        <v>-7.8399999999999997E-3</v>
      </c>
      <c r="G6">
        <f>+F6+C6</f>
        <v>-2.4299999999999999E-3</v>
      </c>
      <c r="H6" s="4">
        <v>128672935</v>
      </c>
      <c r="I6" s="5">
        <f>+H6*G6</f>
        <v>-312675.23204999999</v>
      </c>
      <c r="J6" s="8">
        <f t="shared" ref="J6:J11" si="0">+I6/H6</f>
        <v>-2.4299999999999999E-3</v>
      </c>
      <c r="L6" s="4">
        <f>+C6*H6</f>
        <v>696120.57834999997</v>
      </c>
      <c r="M6" s="4">
        <f>+H6*F6</f>
        <v>-1008795.8104</v>
      </c>
    </row>
    <row r="7" spans="2:14">
      <c r="B7">
        <v>504</v>
      </c>
      <c r="C7">
        <v>3.5100000000000001E-3</v>
      </c>
      <c r="D7">
        <v>7.8200000000000006E-3</v>
      </c>
      <c r="E7">
        <v>2.5400000000000002E-3</v>
      </c>
      <c r="F7">
        <f t="shared" ref="F6:F11" si="1">-D7+E7</f>
        <v>-5.28E-3</v>
      </c>
      <c r="G7">
        <f t="shared" ref="G7:G11" si="2">+F7+C7</f>
        <v>-1.7699999999999999E-3</v>
      </c>
      <c r="H7" s="4">
        <v>88038975</v>
      </c>
      <c r="I7" s="5">
        <f t="shared" ref="I7:I11" si="3">+H7*G7</f>
        <v>-155828.98574999999</v>
      </c>
      <c r="J7" s="8">
        <f t="shared" si="0"/>
        <v>-1.7699999999999999E-3</v>
      </c>
      <c r="L7" s="4">
        <f t="shared" ref="L7:L11" si="4">+C7*H7</f>
        <v>309016.80225000001</v>
      </c>
      <c r="M7" s="4">
        <f t="shared" ref="M7:M11" si="5">+H7*F7</f>
        <v>-464845.788</v>
      </c>
    </row>
    <row r="8" spans="2:14">
      <c r="B8">
        <v>505</v>
      </c>
      <c r="C8">
        <v>2.7100000000000002E-3</v>
      </c>
      <c r="D8">
        <v>6.7400000000000003E-3</v>
      </c>
      <c r="E8">
        <v>2.1900000000000001E-3</v>
      </c>
      <c r="F8">
        <f t="shared" si="1"/>
        <v>-4.5500000000000002E-3</v>
      </c>
      <c r="G8">
        <f t="shared" si="2"/>
        <v>-1.8400000000000001E-3</v>
      </c>
      <c r="H8" s="4">
        <v>11691973</v>
      </c>
      <c r="I8" s="5">
        <f t="shared" si="3"/>
        <v>-21513.230320000002</v>
      </c>
      <c r="J8" s="8">
        <f t="shared" si="0"/>
        <v>-1.8400000000000003E-3</v>
      </c>
      <c r="L8" s="4">
        <f t="shared" si="4"/>
        <v>31685.246830000004</v>
      </c>
      <c r="M8" s="4">
        <f t="shared" si="5"/>
        <v>-53198.477150000006</v>
      </c>
    </row>
    <row r="9" spans="2:14">
      <c r="B9">
        <v>511</v>
      </c>
      <c r="C9">
        <v>1.5399999999999999E-3</v>
      </c>
      <c r="D9">
        <v>2.31E-3</v>
      </c>
      <c r="E9">
        <v>7.5000000000000002E-4</v>
      </c>
      <c r="F9">
        <f t="shared" si="1"/>
        <v>-1.56E-3</v>
      </c>
      <c r="G9" s="3">
        <f t="shared" si="2"/>
        <v>-2.0000000000000052E-5</v>
      </c>
      <c r="H9" s="4">
        <v>18568767</v>
      </c>
      <c r="I9" s="5">
        <f t="shared" si="3"/>
        <v>-371.37534000000096</v>
      </c>
      <c r="J9" s="8">
        <f t="shared" si="0"/>
        <v>-2.0000000000000052E-5</v>
      </c>
      <c r="L9" s="4">
        <f t="shared" si="4"/>
        <v>28595.901179999997</v>
      </c>
      <c r="M9" s="4">
        <f t="shared" si="5"/>
        <v>-28967.276519999999</v>
      </c>
    </row>
    <row r="10" spans="2:14">
      <c r="B10">
        <v>570</v>
      </c>
      <c r="C10">
        <v>1.8E-3</v>
      </c>
      <c r="D10">
        <v>4.2500000000000003E-3</v>
      </c>
      <c r="E10">
        <v>1.3799999999999999E-3</v>
      </c>
      <c r="F10">
        <f t="shared" si="1"/>
        <v>-2.8700000000000002E-3</v>
      </c>
      <c r="G10">
        <f t="shared" si="2"/>
        <v>-1.0700000000000002E-3</v>
      </c>
      <c r="H10" s="4">
        <v>1951601</v>
      </c>
      <c r="I10" s="5">
        <f t="shared" si="3"/>
        <v>-2088.2130700000002</v>
      </c>
      <c r="J10" s="8">
        <f t="shared" si="0"/>
        <v>-1.0700000000000002E-3</v>
      </c>
      <c r="L10" s="4">
        <f t="shared" si="4"/>
        <v>3512.8818000000001</v>
      </c>
      <c r="M10" s="4">
        <f t="shared" si="5"/>
        <v>-5601.0948699999999</v>
      </c>
    </row>
    <row r="11" spans="2:14" ht="15.75" thickBot="1">
      <c r="B11">
        <v>663</v>
      </c>
      <c r="C11">
        <v>5.1999999999999995E-4</v>
      </c>
      <c r="D11">
        <v>1.1199999999999999E-3</v>
      </c>
      <c r="E11">
        <v>3.6000000000000002E-4</v>
      </c>
      <c r="F11">
        <f t="shared" si="1"/>
        <v>-7.5999999999999983E-4</v>
      </c>
      <c r="G11">
        <f t="shared" si="2"/>
        <v>-2.3999999999999987E-4</v>
      </c>
      <c r="H11" s="4">
        <v>679252242</v>
      </c>
      <c r="I11" s="6">
        <f t="shared" si="3"/>
        <v>-163020.53807999991</v>
      </c>
      <c r="J11" s="8">
        <f t="shared" si="0"/>
        <v>-2.3999999999999987E-4</v>
      </c>
      <c r="L11" s="4">
        <f t="shared" si="4"/>
        <v>353211.16583999997</v>
      </c>
      <c r="M11" s="4">
        <f t="shared" si="5"/>
        <v>-516231.70391999988</v>
      </c>
    </row>
    <row r="12" spans="2:14">
      <c r="B12" t="s">
        <v>11</v>
      </c>
      <c r="H12" s="7">
        <f>SUM(H6:H11)</f>
        <v>928176493</v>
      </c>
      <c r="I12" s="5">
        <f>SUM(I6:I11)</f>
        <v>-655497.57460999989</v>
      </c>
      <c r="J12" s="8">
        <f>+I12/H12</f>
        <v>-7.0622083144051347E-4</v>
      </c>
      <c r="L12" s="7">
        <f t="shared" ref="L12:M12" si="6">SUM(L6:L11)</f>
        <v>1422142.5762499999</v>
      </c>
      <c r="M12" s="7">
        <f t="shared" si="6"/>
        <v>-2077640.1508599999</v>
      </c>
      <c r="N12" s="4">
        <f>+M12+L12</f>
        <v>-655497.57461000001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C75DB-6EF9-44BC-98EE-EBF4827BC811}">
  <dimension ref="A1:K37"/>
  <sheetViews>
    <sheetView topLeftCell="A13" workbookViewId="0">
      <selection activeCell="H40" sqref="H40"/>
    </sheetView>
  </sheetViews>
  <sheetFormatPr defaultRowHeight="15.75"/>
  <cols>
    <col min="1" max="1" width="9.28515625" style="10" bestFit="1" customWidth="1"/>
    <col min="2" max="2" width="9.140625" style="10"/>
    <col min="3" max="3" width="50.85546875" style="10" bestFit="1" customWidth="1"/>
    <col min="4" max="4" width="11.7109375" style="11" bestFit="1" customWidth="1"/>
    <col min="5" max="5" width="14.28515625" style="11" bestFit="1" customWidth="1"/>
    <col min="6" max="6" width="12" style="11" bestFit="1" customWidth="1"/>
    <col min="7" max="7" width="12.140625" style="11" bestFit="1" customWidth="1"/>
    <col min="8" max="8" width="11.28515625" style="11" bestFit="1" customWidth="1"/>
    <col min="9" max="9" width="16.140625" style="11" bestFit="1" customWidth="1"/>
    <col min="10" max="10" width="11.5703125" style="11" bestFit="1" customWidth="1"/>
    <col min="11" max="11" width="17" style="11" bestFit="1" customWidth="1"/>
    <col min="12" max="16384" width="9.140625" style="10"/>
  </cols>
  <sheetData>
    <row r="1" spans="1:11">
      <c r="C1" s="10" t="s">
        <v>12</v>
      </c>
    </row>
    <row r="2" spans="1:11">
      <c r="C2" s="10" t="s">
        <v>13</v>
      </c>
    </row>
    <row r="3" spans="1:11" ht="16.5" thickBot="1">
      <c r="C3" s="10" t="s">
        <v>14</v>
      </c>
    </row>
    <row r="4" spans="1:11">
      <c r="D4" s="11" t="s">
        <v>15</v>
      </c>
      <c r="I4" s="11" t="s">
        <v>16</v>
      </c>
      <c r="K4" s="28" t="s">
        <v>16</v>
      </c>
    </row>
    <row r="5" spans="1:11">
      <c r="D5" s="11" t="s">
        <v>17</v>
      </c>
      <c r="F5" s="11" t="s">
        <v>18</v>
      </c>
      <c r="G5" s="11" t="s">
        <v>18</v>
      </c>
      <c r="H5" s="11" t="s">
        <v>16</v>
      </c>
      <c r="I5" s="12">
        <v>44835</v>
      </c>
      <c r="K5" s="29">
        <v>44835</v>
      </c>
    </row>
    <row r="6" spans="1:11">
      <c r="A6" s="10" t="s">
        <v>19</v>
      </c>
      <c r="D6" s="11" t="s">
        <v>20</v>
      </c>
      <c r="E6" s="11" t="s">
        <v>21</v>
      </c>
      <c r="F6" s="12">
        <v>44805</v>
      </c>
      <c r="G6" s="12">
        <v>44805</v>
      </c>
      <c r="H6" s="12">
        <v>44835</v>
      </c>
      <c r="I6" s="11" t="s">
        <v>22</v>
      </c>
      <c r="J6" s="11" t="s">
        <v>23</v>
      </c>
      <c r="K6" s="30" t="s">
        <v>22</v>
      </c>
    </row>
    <row r="7" spans="1:11">
      <c r="A7" s="10" t="s">
        <v>24</v>
      </c>
      <c r="C7" s="10" t="s">
        <v>25</v>
      </c>
      <c r="D7" s="11" t="s">
        <v>26</v>
      </c>
      <c r="E7" s="11" t="s">
        <v>27</v>
      </c>
      <c r="F7" s="11" t="s">
        <v>28</v>
      </c>
      <c r="G7" s="11" t="s">
        <v>29</v>
      </c>
      <c r="H7" s="11" t="s">
        <v>30</v>
      </c>
      <c r="I7" s="11" t="s">
        <v>29</v>
      </c>
      <c r="J7" s="11" t="s">
        <v>31</v>
      </c>
      <c r="K7" s="30" t="s">
        <v>32</v>
      </c>
    </row>
    <row r="8" spans="1:11">
      <c r="G8" s="11" t="s">
        <v>33</v>
      </c>
      <c r="I8" s="11" t="s">
        <v>34</v>
      </c>
      <c r="K8" s="30"/>
    </row>
    <row r="9" spans="1:11">
      <c r="C9" s="10" t="s">
        <v>35</v>
      </c>
      <c r="D9" s="11" t="s">
        <v>36</v>
      </c>
      <c r="E9" s="11" t="s">
        <v>37</v>
      </c>
      <c r="F9" s="11" t="s">
        <v>38</v>
      </c>
      <c r="G9" s="11" t="s">
        <v>39</v>
      </c>
      <c r="H9" s="11" t="s">
        <v>40</v>
      </c>
      <c r="I9" s="11" t="s">
        <v>41</v>
      </c>
      <c r="J9" s="11" t="s">
        <v>42</v>
      </c>
      <c r="K9" s="30" t="s">
        <v>43</v>
      </c>
    </row>
    <row r="10" spans="1:11">
      <c r="K10" s="30"/>
    </row>
    <row r="11" spans="1:11">
      <c r="A11" s="10">
        <v>1</v>
      </c>
      <c r="C11" s="10" t="s">
        <v>44</v>
      </c>
      <c r="D11" s="11">
        <v>54</v>
      </c>
      <c r="E11" s="11">
        <v>5</v>
      </c>
      <c r="F11" s="15">
        <v>1.03955</v>
      </c>
      <c r="G11" s="9">
        <f>+E11+(D11*F11)</f>
        <v>61.1357</v>
      </c>
      <c r="H11" s="16">
        <f>+F11+Impact!F6</f>
        <v>1.0317099999999999</v>
      </c>
      <c r="I11" s="27">
        <f>E11+(D11*H11)</f>
        <v>60.712339999999998</v>
      </c>
      <c r="J11" s="20">
        <f>+I11-G11</f>
        <v>-0.4233600000000024</v>
      </c>
      <c r="K11" s="21">
        <f>+J11/G11</f>
        <v>-6.9249227538083708E-3</v>
      </c>
    </row>
    <row r="12" spans="1:11">
      <c r="F12" s="15"/>
      <c r="G12" s="9"/>
      <c r="I12" s="27"/>
      <c r="J12" s="20"/>
      <c r="K12" s="21"/>
    </row>
    <row r="13" spans="1:11">
      <c r="A13" s="10">
        <v>2</v>
      </c>
      <c r="C13" s="10" t="s">
        <v>45</v>
      </c>
      <c r="D13" s="11">
        <v>271</v>
      </c>
      <c r="E13" s="11">
        <v>13</v>
      </c>
      <c r="F13" s="15">
        <v>0.97243000000000002</v>
      </c>
      <c r="G13" s="9">
        <f>+E13+(D13*F13)</f>
        <v>276.52852999999999</v>
      </c>
      <c r="H13" s="16">
        <f>+F13+Impact!F7</f>
        <v>0.96715000000000007</v>
      </c>
      <c r="I13" s="27">
        <f>E13+(D13*H13)</f>
        <v>275.09765000000004</v>
      </c>
      <c r="J13" s="20">
        <f t="shared" ref="J13:J25" si="0">+I13-G13</f>
        <v>-1.4308799999999451</v>
      </c>
      <c r="K13" s="21">
        <f t="shared" ref="K13:K37" si="1">+J13/G13</f>
        <v>-5.1744389629523766E-3</v>
      </c>
    </row>
    <row r="14" spans="1:11">
      <c r="F14" s="15"/>
      <c r="I14" s="18"/>
      <c r="J14" s="20"/>
      <c r="K14" s="21"/>
    </row>
    <row r="15" spans="1:11">
      <c r="A15" s="10">
        <v>3</v>
      </c>
      <c r="C15" s="10" t="s">
        <v>46</v>
      </c>
      <c r="E15" s="11">
        <v>60</v>
      </c>
      <c r="F15" s="15"/>
      <c r="I15" s="18"/>
      <c r="J15" s="20"/>
      <c r="K15" s="21"/>
    </row>
    <row r="16" spans="1:11">
      <c r="A16" s="10">
        <v>4</v>
      </c>
      <c r="C16" s="10" t="s">
        <v>47</v>
      </c>
      <c r="F16" s="15">
        <v>0.89736000000000005</v>
      </c>
      <c r="G16" s="9">
        <f>+E15+(500*F16)</f>
        <v>508.68</v>
      </c>
      <c r="H16" s="16">
        <f>+F16+Impact!F8</f>
        <v>0.89280999999999999</v>
      </c>
      <c r="I16" s="9">
        <f>+E15+(500*H16)</f>
        <v>506.40499999999997</v>
      </c>
      <c r="J16" s="20"/>
      <c r="K16" s="21"/>
    </row>
    <row r="17" spans="1:11">
      <c r="A17" s="10">
        <v>5</v>
      </c>
      <c r="C17" s="10" t="s">
        <v>48</v>
      </c>
      <c r="F17" s="15">
        <v>0.85728000000000004</v>
      </c>
      <c r="G17" s="9">
        <f>+(D19-500)*F17</f>
        <v>1279.06176</v>
      </c>
      <c r="H17" s="16">
        <f>+F17+Impact!F8</f>
        <v>0.85272999999999999</v>
      </c>
      <c r="I17" s="9">
        <f>+(D19-500)*H17</f>
        <v>1272.27316</v>
      </c>
      <c r="J17" s="20"/>
      <c r="K17" s="21"/>
    </row>
    <row r="18" spans="1:11">
      <c r="A18" s="10">
        <v>6</v>
      </c>
      <c r="C18" s="10" t="s">
        <v>49</v>
      </c>
      <c r="F18" s="15">
        <v>0.85121999999999998</v>
      </c>
      <c r="G18" s="9"/>
      <c r="H18" s="16">
        <f>+F18+Impact!F8</f>
        <v>0.84666999999999992</v>
      </c>
      <c r="I18" s="18"/>
      <c r="J18" s="20"/>
      <c r="K18" s="21"/>
    </row>
    <row r="19" spans="1:11">
      <c r="A19" s="10">
        <v>7</v>
      </c>
      <c r="C19" s="10" t="s">
        <v>50</v>
      </c>
      <c r="D19" s="11">
        <v>1992</v>
      </c>
      <c r="F19" s="15"/>
      <c r="G19" s="9">
        <f>+SUM((G16:G18))</f>
        <v>1787.7417600000001</v>
      </c>
      <c r="I19" s="9">
        <f>+SUM(I16:I18)</f>
        <v>1778.6781599999999</v>
      </c>
      <c r="J19" s="20">
        <f t="shared" si="0"/>
        <v>-9.0636000000001786</v>
      </c>
      <c r="K19" s="21">
        <f t="shared" si="1"/>
        <v>-5.0698597542411152E-3</v>
      </c>
    </row>
    <row r="20" spans="1:11">
      <c r="F20" s="15"/>
      <c r="G20" s="9"/>
      <c r="I20" s="18"/>
      <c r="J20" s="20"/>
      <c r="K20" s="21"/>
    </row>
    <row r="21" spans="1:11">
      <c r="A21" s="10">
        <v>8</v>
      </c>
      <c r="C21" s="10" t="s">
        <v>51</v>
      </c>
      <c r="E21" s="11">
        <v>125</v>
      </c>
      <c r="F21" s="15"/>
      <c r="G21" s="9"/>
      <c r="I21" s="18"/>
      <c r="J21" s="20"/>
      <c r="K21" s="21"/>
    </row>
    <row r="22" spans="1:11">
      <c r="A22" s="10">
        <v>9</v>
      </c>
      <c r="C22" s="10" t="s">
        <v>47</v>
      </c>
      <c r="F22" s="15">
        <v>0.78756000000000004</v>
      </c>
      <c r="G22" s="9">
        <f>+E21+(+F22*500)</f>
        <v>518.78</v>
      </c>
      <c r="H22" s="16">
        <f>+F22+Impact!F9</f>
        <v>0.78600000000000003</v>
      </c>
      <c r="I22" s="9">
        <f>+E21+(+H22*500)</f>
        <v>518</v>
      </c>
      <c r="J22" s="20"/>
      <c r="K22" s="21"/>
    </row>
    <row r="23" spans="1:11">
      <c r="A23" s="10">
        <v>11</v>
      </c>
      <c r="C23" s="10" t="s">
        <v>48</v>
      </c>
      <c r="F23" s="15">
        <v>0.74805999999999995</v>
      </c>
      <c r="G23" s="9">
        <f>+F23*3500</f>
        <v>2618.21</v>
      </c>
      <c r="H23" s="16">
        <f>+F23+Impact!F9</f>
        <v>0.74649999999999994</v>
      </c>
      <c r="I23" s="9">
        <f>+H23*3500</f>
        <v>2612.75</v>
      </c>
      <c r="J23" s="20"/>
      <c r="K23" s="21"/>
    </row>
    <row r="24" spans="1:11">
      <c r="A24" s="10">
        <v>12</v>
      </c>
      <c r="C24" s="10" t="s">
        <v>49</v>
      </c>
      <c r="F24" s="15">
        <v>0.65036000000000005</v>
      </c>
      <c r="G24" s="9">
        <f>+(+D25-(4000))*F24</f>
        <v>8219.9000400000004</v>
      </c>
      <c r="H24" s="16">
        <f>+F24+Impact!F9</f>
        <v>0.64880000000000004</v>
      </c>
      <c r="I24" s="9">
        <f>+(+D25-(4000))*H24</f>
        <v>8200.1832000000013</v>
      </c>
      <c r="J24" s="20"/>
      <c r="K24" s="21"/>
    </row>
    <row r="25" spans="1:11">
      <c r="A25" s="10">
        <v>13</v>
      </c>
      <c r="C25" s="10" t="s">
        <v>52</v>
      </c>
      <c r="D25" s="14">
        <v>16639</v>
      </c>
      <c r="F25" s="15"/>
      <c r="G25" s="9">
        <f>+SUM(G22:G24)</f>
        <v>11356.89004</v>
      </c>
      <c r="I25" s="9">
        <f>+SUM(I22:I24)</f>
        <v>11330.933200000001</v>
      </c>
      <c r="J25" s="20">
        <f t="shared" si="0"/>
        <v>-25.95683999999892</v>
      </c>
      <c r="K25" s="21">
        <f t="shared" si="1"/>
        <v>-2.2855588025046088E-3</v>
      </c>
    </row>
    <row r="26" spans="1:11">
      <c r="F26" s="15"/>
      <c r="G26" s="9"/>
      <c r="I26" s="18"/>
      <c r="J26" s="20"/>
      <c r="K26" s="21"/>
    </row>
    <row r="27" spans="1:11">
      <c r="A27" s="10">
        <v>14</v>
      </c>
      <c r="C27" s="10" t="s">
        <v>53</v>
      </c>
      <c r="E27" s="11">
        <v>163</v>
      </c>
      <c r="F27" s="15"/>
      <c r="G27" s="9"/>
      <c r="I27" s="18"/>
      <c r="J27" s="20"/>
      <c r="K27" s="21"/>
    </row>
    <row r="28" spans="1:11">
      <c r="A28" s="10">
        <v>15</v>
      </c>
      <c r="C28" s="10" t="s">
        <v>54</v>
      </c>
      <c r="F28" s="15">
        <v>0.75588999999999995</v>
      </c>
      <c r="G28" s="9">
        <f>+E27+(D30*F28)</f>
        <v>17724.592369999998</v>
      </c>
      <c r="H28" s="16">
        <f>+F28+Impact!F10</f>
        <v>0.75301999999999991</v>
      </c>
      <c r="I28" s="9">
        <f>+E27+(D30*H28)</f>
        <v>17657.913659999998</v>
      </c>
      <c r="J28" s="20"/>
      <c r="K28" s="21"/>
    </row>
    <row r="29" spans="1:11">
      <c r="A29" s="10">
        <v>16</v>
      </c>
      <c r="C29" s="10" t="s">
        <v>55</v>
      </c>
      <c r="F29" s="15">
        <v>0.68922000000000005</v>
      </c>
      <c r="G29" s="9"/>
      <c r="H29" s="16">
        <f>+F29+Impact!F10</f>
        <v>0.68635000000000002</v>
      </c>
      <c r="I29" s="18"/>
      <c r="J29" s="20"/>
      <c r="K29" s="21"/>
    </row>
    <row r="30" spans="1:11">
      <c r="A30" s="10">
        <v>17</v>
      </c>
      <c r="C30" s="10" t="s">
        <v>56</v>
      </c>
      <c r="D30" s="14">
        <v>23233</v>
      </c>
      <c r="G30" s="13">
        <f>+G28+G29</f>
        <v>17724.592369999998</v>
      </c>
      <c r="I30" s="9">
        <f>+I28+I29</f>
        <v>17657.913659999998</v>
      </c>
      <c r="J30" s="20">
        <f>+I30-G30</f>
        <v>-66.678710000000137</v>
      </c>
      <c r="K30" s="21">
        <f t="shared" si="1"/>
        <v>-3.7619319309626607E-3</v>
      </c>
    </row>
    <row r="31" spans="1:11">
      <c r="I31" s="18"/>
      <c r="J31" s="18"/>
      <c r="K31" s="21"/>
    </row>
    <row r="32" spans="1:11">
      <c r="A32" s="10">
        <v>18</v>
      </c>
      <c r="C32" s="18" t="s">
        <v>57</v>
      </c>
      <c r="D32" s="18"/>
      <c r="E32" s="19">
        <v>625</v>
      </c>
      <c r="F32" s="17"/>
      <c r="G32" s="18"/>
      <c r="H32" s="18"/>
      <c r="I32" s="18"/>
      <c r="J32" s="20"/>
      <c r="K32" s="21"/>
    </row>
    <row r="33" spans="1:11">
      <c r="A33" s="10">
        <v>19</v>
      </c>
      <c r="C33" s="18" t="s">
        <v>58</v>
      </c>
      <c r="D33" s="18"/>
      <c r="E33" s="22"/>
      <c r="F33" s="17">
        <v>6.0679999999999998E-2</v>
      </c>
      <c r="G33" s="9">
        <f>+E32+(F33*100000)</f>
        <v>6693</v>
      </c>
      <c r="H33" s="17">
        <f>+F33+Impact!F11</f>
        <v>5.9920000000000001E-2</v>
      </c>
      <c r="I33" s="9">
        <f>+E32+(H33*100000)</f>
        <v>6617</v>
      </c>
      <c r="J33" s="20"/>
      <c r="K33" s="21"/>
    </row>
    <row r="34" spans="1:11">
      <c r="A34" s="10">
        <v>20</v>
      </c>
      <c r="C34" s="18" t="s">
        <v>59</v>
      </c>
      <c r="D34" s="18"/>
      <c r="E34" s="18"/>
      <c r="F34" s="17">
        <v>2.3990000000000001E-2</v>
      </c>
      <c r="G34" s="9">
        <f>+(+D37-(100000))*F34</f>
        <v>4459.2851900000005</v>
      </c>
      <c r="H34" s="17">
        <f>+F34+Impact!F11</f>
        <v>2.3230000000000001E-2</v>
      </c>
      <c r="I34" s="9">
        <f>+(+D37-(100000))*H34</f>
        <v>4318.0156299999999</v>
      </c>
      <c r="J34" s="20"/>
      <c r="K34" s="21"/>
    </row>
    <row r="35" spans="1:11">
      <c r="A35" s="10">
        <v>21</v>
      </c>
      <c r="C35" s="18" t="s">
        <v>59</v>
      </c>
      <c r="D35" s="18"/>
      <c r="E35" s="18"/>
      <c r="F35" s="17">
        <v>1.5730000000000001E-2</v>
      </c>
      <c r="G35" s="18"/>
      <c r="H35" s="17">
        <f>+F35+Impact!F11</f>
        <v>1.4970000000000001E-2</v>
      </c>
      <c r="I35" s="18"/>
      <c r="J35" s="20"/>
      <c r="K35" s="21"/>
    </row>
    <row r="36" spans="1:11">
      <c r="A36" s="10">
        <v>22</v>
      </c>
      <c r="C36" s="18" t="s">
        <v>60</v>
      </c>
      <c r="D36" s="18"/>
      <c r="E36" s="18"/>
      <c r="F36" s="17">
        <v>9.0100000000000006E-3</v>
      </c>
      <c r="G36" s="18"/>
      <c r="H36" s="17">
        <f>+F36+Impact!F11</f>
        <v>8.2500000000000004E-3</v>
      </c>
      <c r="I36" s="18"/>
      <c r="J36" s="20"/>
      <c r="K36" s="21"/>
    </row>
    <row r="37" spans="1:11" ht="16.5" thickBot="1">
      <c r="A37" s="10">
        <v>23</v>
      </c>
      <c r="C37" s="23" t="s">
        <v>61</v>
      </c>
      <c r="D37" s="24">
        <v>285881</v>
      </c>
      <c r="E37" s="18"/>
      <c r="F37" s="18"/>
      <c r="G37" s="25">
        <f>+SUM(G33:G36)</f>
        <v>11152.285190000001</v>
      </c>
      <c r="H37" s="25"/>
      <c r="I37" s="25">
        <f>+SUM(I33:I36)</f>
        <v>10935.01563</v>
      </c>
      <c r="J37" s="20">
        <f t="shared" ref="J37" si="2">+I37-G37</f>
        <v>-217.26956000000064</v>
      </c>
      <c r="K37" s="26">
        <f t="shared" si="1"/>
        <v>-1.9482066347695386E-2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404F30B2D70243BA60189DF8E380B5" ma:contentTypeVersion="28" ma:contentTypeDescription="" ma:contentTypeScope="" ma:versionID="df3e25a2f6b2c1287c87c0258bfab7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2022-09-01T07:00:00+00:00</OpenedDate>
    <SignificantOrder xmlns="dc463f71-b30c-4ab2-9473-d307f9d35888">false</SignificantOrder>
    <Date1 xmlns="dc463f71-b30c-4ab2-9473-d307f9d35888">2022-09-01T07:00:00+00:00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220664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3C3D462-B950-4E27-A47A-A7214DF3E769}"/>
</file>

<file path=customXml/itemProps2.xml><?xml version="1.0" encoding="utf-8"?>
<ds:datastoreItem xmlns:ds="http://schemas.openxmlformats.org/officeDocument/2006/customXml" ds:itemID="{003850E3-B3B8-4101-AC7A-587849547E71}"/>
</file>

<file path=customXml/itemProps3.xml><?xml version="1.0" encoding="utf-8"?>
<ds:datastoreItem xmlns:ds="http://schemas.openxmlformats.org/officeDocument/2006/customXml" ds:itemID="{60F1839B-D62A-401C-BE70-08675CBAA3F6}"/>
</file>

<file path=customXml/itemProps4.xml><?xml version="1.0" encoding="utf-8"?>
<ds:datastoreItem xmlns:ds="http://schemas.openxmlformats.org/officeDocument/2006/customXml" ds:itemID="{780D44FD-C7FE-49A6-AD85-1642BC0163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Parvinen, Michael</dc:creator>
  <cp:keywords/>
  <dc:description/>
  <cp:lastModifiedBy>Mickelson, Christopher</cp:lastModifiedBy>
  <cp:revision/>
  <dcterms:created xsi:type="dcterms:W3CDTF">2022-08-23T15:38:54Z</dcterms:created>
  <dcterms:modified xsi:type="dcterms:W3CDTF">2022-09-01T16:12:34Z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0x0101006E56B4D1795A2E4DB2F0B01679ED314A002A404F30B2D70243BA60189DF8E380B5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