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A\Quarterly Results of Operations Reports\2021\Q1 2021 (6-29-21) UE-21____\Working Docs\"/>
    </mc:Choice>
  </mc:AlternateContent>
  <xr:revisionPtr revIDLastSave="0" documentId="13_ncr:1_{EFB2CFAB-7906-4631-B874-48364B686F8F}" xr6:coauthVersionLast="45" xr6:coauthVersionMax="45" xr10:uidLastSave="{00000000-0000-0000-0000-000000000000}"/>
  <bookViews>
    <workbookView xWindow="28680" yWindow="-120" windowWidth="19440" windowHeight="15000" xr2:uid="{3F1B1B99-7C74-4FAB-BE3C-E893BC3C03AC}"/>
  </bookViews>
  <sheets>
    <sheet name="Balance" sheetId="1" r:id="rId1"/>
    <sheet name="Deferr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[3]Inputs!#REF!</definedName>
    <definedName name="__123Graph_A" localSheetId="1" hidden="1">[3]Inputs!#REF!</definedName>
    <definedName name="__123Graph_A" hidden="1">'[4]OR kWh'!#REF!</definedName>
    <definedName name="__123Graph_B" localSheetId="0" hidden="1">[3]Inputs!#REF!</definedName>
    <definedName name="__123Graph_B" localSheetId="1" hidden="1">[3]Inputs!#REF!</definedName>
    <definedName name="__123Graph_B" hidden="1">'[4]OR kWh'!#REF!</definedName>
    <definedName name="__123Graph_D" localSheetId="0" hidden="1">[3]Inputs!#REF!</definedName>
    <definedName name="__123Graph_D" localSheetId="1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TOP1">[1]Jan!#REF!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0" hidden="1">#REF!</definedName>
    <definedName name="copy" localSheetId="1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0" hidden="1">[21]Inputs!#REF!</definedName>
    <definedName name="dsd" localSheetId="1" hidden="1">[21]Inputs!#REF!</definedName>
    <definedName name="dsd" hidden="1">[21]Inputs!#REF!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0" hidden="1">[3]Inputs!#REF!</definedName>
    <definedName name="PricingInfo" localSheetId="1" hidden="1">[3]Inputs!#REF!</definedName>
    <definedName name="PricingInfo" hidden="1">[3]Inputs!#REF!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0" hidden="1">[30]Inputs!#REF!</definedName>
    <definedName name="w" localSheetId="1" hidden="1">[30]Inputs!#REF!</definedName>
    <definedName name="w" hidden="1">[30]Inputs!#REF!</definedName>
    <definedName name="WaRevenueTax">[14]Variables!$D$27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>'[32]Weather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>'[33]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157" i="2" l="1"/>
  <c r="BJ148" i="2"/>
  <c r="BJ147" i="2"/>
  <c r="BJ146" i="2"/>
  <c r="BJ158" i="2"/>
  <c r="BM143" i="2"/>
  <c r="BL143" i="2"/>
  <c r="BK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BJ142" i="2"/>
  <c r="BJ151" i="2" s="1"/>
  <c r="AY142" i="2"/>
  <c r="AD142" i="2"/>
  <c r="T142" i="2"/>
  <c r="J142" i="2"/>
  <c r="G142" i="2"/>
  <c r="BM141" i="2"/>
  <c r="BL141" i="2"/>
  <c r="BK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X142" i="2" s="1"/>
  <c r="AW141" i="2"/>
  <c r="AV141" i="2"/>
  <c r="AU141" i="2"/>
  <c r="AT141" i="2"/>
  <c r="AS141" i="2"/>
  <c r="AR141" i="2"/>
  <c r="AQ141" i="2"/>
  <c r="AP141" i="2"/>
  <c r="AO141" i="2"/>
  <c r="AN141" i="2"/>
  <c r="AN142" i="2" s="1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BM140" i="2"/>
  <c r="BL140" i="2"/>
  <c r="BK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S140" i="2"/>
  <c r="U140" i="2" s="1"/>
  <c r="R140" i="2"/>
  <c r="Q140" i="2"/>
  <c r="P140" i="2"/>
  <c r="O140" i="2"/>
  <c r="N140" i="2"/>
  <c r="M140" i="2"/>
  <c r="L140" i="2"/>
  <c r="K140" i="2"/>
  <c r="J140" i="2"/>
  <c r="I140" i="2"/>
  <c r="H140" i="2"/>
  <c r="BM139" i="2"/>
  <c r="BL139" i="2"/>
  <c r="BK139" i="2"/>
  <c r="BK142" i="2" s="1"/>
  <c r="BI139" i="2"/>
  <c r="BH139" i="2"/>
  <c r="BG139" i="2"/>
  <c r="BF139" i="2"/>
  <c r="BE139" i="2"/>
  <c r="BE142" i="2" s="1"/>
  <c r="BD139" i="2"/>
  <c r="BC139" i="2"/>
  <c r="BB139" i="2"/>
  <c r="BB142" i="2" s="1"/>
  <c r="BA139" i="2"/>
  <c r="AZ139" i="2"/>
  <c r="AY139" i="2"/>
  <c r="AX139" i="2"/>
  <c r="AW139" i="2"/>
  <c r="AW142" i="2" s="1"/>
  <c r="AV139" i="2"/>
  <c r="AU139" i="2"/>
  <c r="AT139" i="2"/>
  <c r="AT142" i="2" s="1"/>
  <c r="AS139" i="2"/>
  <c r="AR139" i="2"/>
  <c r="AQ139" i="2"/>
  <c r="AQ142" i="2" s="1"/>
  <c r="AP139" i="2"/>
  <c r="AO139" i="2"/>
  <c r="AO142" i="2" s="1"/>
  <c r="AN139" i="2"/>
  <c r="AM139" i="2"/>
  <c r="AL139" i="2"/>
  <c r="AL142" i="2" s="1"/>
  <c r="AK139" i="2"/>
  <c r="AJ139" i="2"/>
  <c r="AI139" i="2"/>
  <c r="AH139" i="2"/>
  <c r="AG139" i="2"/>
  <c r="AG142" i="2" s="1"/>
  <c r="AF139" i="2"/>
  <c r="AE139" i="2"/>
  <c r="AD139" i="2"/>
  <c r="AC139" i="2"/>
  <c r="AB139" i="2"/>
  <c r="AA139" i="2"/>
  <c r="AA142" i="2" s="1"/>
  <c r="Z139" i="2"/>
  <c r="Y139" i="2"/>
  <c r="Y142" i="2" s="1"/>
  <c r="X139" i="2"/>
  <c r="W139" i="2"/>
  <c r="V139" i="2"/>
  <c r="V142" i="2" s="1"/>
  <c r="S139" i="2"/>
  <c r="U139" i="2" s="1"/>
  <c r="R139" i="2"/>
  <c r="Q139" i="2"/>
  <c r="Q142" i="2" s="1"/>
  <c r="P139" i="2"/>
  <c r="P142" i="2" s="1"/>
  <c r="O139" i="2"/>
  <c r="O142" i="2" s="1"/>
  <c r="N139" i="2"/>
  <c r="N142" i="2" s="1"/>
  <c r="M139" i="2"/>
  <c r="M142" i="2" s="1"/>
  <c r="L139" i="2"/>
  <c r="L142" i="2" s="1"/>
  <c r="K139" i="2"/>
  <c r="K142" i="2" s="1"/>
  <c r="J139" i="2"/>
  <c r="I139" i="2"/>
  <c r="H139" i="2"/>
  <c r="H142" i="2" s="1"/>
  <c r="BJ130" i="2"/>
  <c r="BJ118" i="2"/>
  <c r="S111" i="2"/>
  <c r="S101" i="2"/>
  <c r="T113" i="2"/>
  <c r="G101" i="2"/>
  <c r="H101" i="2"/>
  <c r="BJ106" i="2"/>
  <c r="T99" i="2"/>
  <c r="S99" i="2"/>
  <c r="BJ97" i="2"/>
  <c r="BJ96" i="2"/>
  <c r="BM96" i="2" s="1"/>
  <c r="BM104" i="2" s="1"/>
  <c r="BJ95" i="2"/>
  <c r="BJ103" i="2" s="1"/>
  <c r="BM92" i="2"/>
  <c r="BL92" i="2"/>
  <c r="BK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BJ91" i="2"/>
  <c r="T91" i="2"/>
  <c r="G91" i="2"/>
  <c r="BM90" i="2"/>
  <c r="BL90" i="2"/>
  <c r="BK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S90" i="2"/>
  <c r="U90" i="2" s="1"/>
  <c r="R90" i="2"/>
  <c r="Q90" i="2"/>
  <c r="P90" i="2"/>
  <c r="O90" i="2"/>
  <c r="N90" i="2"/>
  <c r="M90" i="2"/>
  <c r="L90" i="2"/>
  <c r="K90" i="2"/>
  <c r="J90" i="2"/>
  <c r="I90" i="2"/>
  <c r="H90" i="2"/>
  <c r="BM89" i="2"/>
  <c r="BL89" i="2"/>
  <c r="BK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S89" i="2"/>
  <c r="U89" i="2" s="1"/>
  <c r="R89" i="2"/>
  <c r="Q89" i="2"/>
  <c r="P89" i="2"/>
  <c r="O89" i="2"/>
  <c r="N89" i="2"/>
  <c r="M89" i="2"/>
  <c r="L89" i="2"/>
  <c r="K89" i="2"/>
  <c r="J89" i="2"/>
  <c r="I89" i="2"/>
  <c r="H89" i="2"/>
  <c r="BM88" i="2"/>
  <c r="BL88" i="2"/>
  <c r="BK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S88" i="2"/>
  <c r="R88" i="2"/>
  <c r="Q88" i="2"/>
  <c r="P88" i="2"/>
  <c r="O88" i="2"/>
  <c r="N88" i="2"/>
  <c r="M88" i="2"/>
  <c r="L88" i="2"/>
  <c r="L91" i="2" s="1"/>
  <c r="K88" i="2"/>
  <c r="J88" i="2"/>
  <c r="I88" i="2"/>
  <c r="H88" i="2"/>
  <c r="BJ79" i="2"/>
  <c r="S62" i="2"/>
  <c r="H62" i="2"/>
  <c r="BJ67" i="2"/>
  <c r="T50" i="2"/>
  <c r="S50" i="2"/>
  <c r="T62" i="2"/>
  <c r="G50" i="2"/>
  <c r="H50" i="2"/>
  <c r="BJ55" i="2"/>
  <c r="T48" i="2"/>
  <c r="S48" i="2"/>
  <c r="H48" i="2"/>
  <c r="BJ46" i="2"/>
  <c r="BL46" i="2" s="1"/>
  <c r="BJ45" i="2"/>
  <c r="BM45" i="2" s="1"/>
  <c r="BM53" i="2" s="1"/>
  <c r="BJ44" i="2"/>
  <c r="BM41" i="2"/>
  <c r="BL41" i="2"/>
  <c r="BK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BJ40" i="2"/>
  <c r="BJ49" i="2" s="1"/>
  <c r="T40" i="2"/>
  <c r="G40" i="2"/>
  <c r="BM39" i="2"/>
  <c r="BL39" i="2"/>
  <c r="BK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S39" i="2"/>
  <c r="U39" i="2" s="1"/>
  <c r="R39" i="2"/>
  <c r="Q39" i="2"/>
  <c r="P39" i="2"/>
  <c r="O39" i="2"/>
  <c r="N39" i="2"/>
  <c r="M39" i="2"/>
  <c r="L39" i="2"/>
  <c r="K39" i="2"/>
  <c r="J39" i="2"/>
  <c r="I39" i="2"/>
  <c r="H39" i="2"/>
  <c r="BM38" i="2"/>
  <c r="BL38" i="2"/>
  <c r="BK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P40" i="2" s="1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S38" i="2"/>
  <c r="U38" i="2" s="1"/>
  <c r="R38" i="2"/>
  <c r="Q38" i="2"/>
  <c r="P38" i="2"/>
  <c r="O38" i="2"/>
  <c r="N38" i="2"/>
  <c r="M38" i="2"/>
  <c r="L38" i="2"/>
  <c r="K38" i="2"/>
  <c r="J38" i="2"/>
  <c r="I38" i="2"/>
  <c r="H38" i="2"/>
  <c r="H40" i="2" s="1"/>
  <c r="BM37" i="2"/>
  <c r="BM40" i="2" s="1"/>
  <c r="BL37" i="2"/>
  <c r="BK37" i="2"/>
  <c r="BI37" i="2"/>
  <c r="BH37" i="2"/>
  <c r="BG37" i="2"/>
  <c r="BG40" i="2" s="1"/>
  <c r="BF37" i="2"/>
  <c r="BE37" i="2"/>
  <c r="BE40" i="2" s="1"/>
  <c r="BD37" i="2"/>
  <c r="BD40" i="2" s="1"/>
  <c r="BC37" i="2"/>
  <c r="BB37" i="2"/>
  <c r="BA37" i="2"/>
  <c r="BA40" i="2" s="1"/>
  <c r="AZ37" i="2"/>
  <c r="AZ40" i="2" s="1"/>
  <c r="AY37" i="2"/>
  <c r="AY40" i="2" s="1"/>
  <c r="AX37" i="2"/>
  <c r="AW37" i="2"/>
  <c r="AW40" i="2" s="1"/>
  <c r="AV37" i="2"/>
  <c r="AU37" i="2"/>
  <c r="AT37" i="2"/>
  <c r="AS37" i="2"/>
  <c r="AR37" i="2"/>
  <c r="AQ37" i="2"/>
  <c r="AQ40" i="2" s="1"/>
  <c r="AP37" i="2"/>
  <c r="AO37" i="2"/>
  <c r="AO40" i="2" s="1"/>
  <c r="AN37" i="2"/>
  <c r="AM37" i="2"/>
  <c r="AL37" i="2"/>
  <c r="AK37" i="2"/>
  <c r="AJ37" i="2"/>
  <c r="AI37" i="2"/>
  <c r="AI40" i="2" s="1"/>
  <c r="AH37" i="2"/>
  <c r="AG37" i="2"/>
  <c r="AG40" i="2" s="1"/>
  <c r="AF37" i="2"/>
  <c r="AF40" i="2" s="1"/>
  <c r="AE37" i="2"/>
  <c r="AD37" i="2"/>
  <c r="AC37" i="2"/>
  <c r="AC40" i="2" s="1"/>
  <c r="AB37" i="2"/>
  <c r="AA37" i="2"/>
  <c r="AA40" i="2" s="1"/>
  <c r="Z37" i="2"/>
  <c r="Y37" i="2"/>
  <c r="Y40" i="2" s="1"/>
  <c r="X37" i="2"/>
  <c r="W37" i="2"/>
  <c r="V37" i="2"/>
  <c r="S37" i="2"/>
  <c r="R37" i="2"/>
  <c r="Q37" i="2"/>
  <c r="Q40" i="2" s="1"/>
  <c r="P37" i="2"/>
  <c r="O37" i="2"/>
  <c r="N37" i="2"/>
  <c r="M37" i="2"/>
  <c r="L37" i="2"/>
  <c r="K37" i="2"/>
  <c r="J37" i="2"/>
  <c r="I37" i="2"/>
  <c r="H37" i="2"/>
  <c r="BJ31" i="2"/>
  <c r="BJ22" i="2"/>
  <c r="BJ21" i="2"/>
  <c r="BM21" i="2" s="1"/>
  <c r="BJ20" i="2"/>
  <c r="BJ32" i="2"/>
  <c r="BM17" i="2"/>
  <c r="BL17" i="2"/>
  <c r="BK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BJ16" i="2"/>
  <c r="BJ25" i="2" s="1"/>
  <c r="T16" i="2"/>
  <c r="G16" i="2"/>
  <c r="BM15" i="2"/>
  <c r="BM32" i="2" s="1"/>
  <c r="BL15" i="2"/>
  <c r="BK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S15" i="2"/>
  <c r="U15" i="2" s="1"/>
  <c r="R15" i="2"/>
  <c r="Q15" i="2"/>
  <c r="P15" i="2"/>
  <c r="O15" i="2"/>
  <c r="N15" i="2"/>
  <c r="M15" i="2"/>
  <c r="L15" i="2"/>
  <c r="K15" i="2"/>
  <c r="J15" i="2"/>
  <c r="I15" i="2"/>
  <c r="H15" i="2"/>
  <c r="BM14" i="2"/>
  <c r="BL14" i="2"/>
  <c r="BK14" i="2"/>
  <c r="BI14" i="2"/>
  <c r="BH14" i="2"/>
  <c r="BG14" i="2"/>
  <c r="BF14" i="2"/>
  <c r="BF16" i="2" s="1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Z16" i="2" s="1"/>
  <c r="Y14" i="2"/>
  <c r="X14" i="2"/>
  <c r="W14" i="2"/>
  <c r="V14" i="2"/>
  <c r="S14" i="2"/>
  <c r="U14" i="2" s="1"/>
  <c r="R14" i="2"/>
  <c r="Q14" i="2"/>
  <c r="P14" i="2"/>
  <c r="O14" i="2"/>
  <c r="N14" i="2"/>
  <c r="M14" i="2"/>
  <c r="L14" i="2"/>
  <c r="K14" i="2"/>
  <c r="J14" i="2"/>
  <c r="I14" i="2"/>
  <c r="H14" i="2"/>
  <c r="BM13" i="2"/>
  <c r="BL13" i="2"/>
  <c r="BK13" i="2"/>
  <c r="BI13" i="2"/>
  <c r="BH13" i="2"/>
  <c r="BG13" i="2"/>
  <c r="BG16" i="2" s="1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N16" i="2" s="1"/>
  <c r="AM13" i="2"/>
  <c r="AL13" i="2"/>
  <c r="AK13" i="2"/>
  <c r="AJ13" i="2"/>
  <c r="AI13" i="2"/>
  <c r="AI16" i="2" s="1"/>
  <c r="AH13" i="2"/>
  <c r="AG13" i="2"/>
  <c r="AF13" i="2"/>
  <c r="AF16" i="2" s="1"/>
  <c r="AE13" i="2"/>
  <c r="AD13" i="2"/>
  <c r="AC13" i="2"/>
  <c r="AB13" i="2"/>
  <c r="AA13" i="2"/>
  <c r="AA16" i="2" s="1"/>
  <c r="Z13" i="2"/>
  <c r="Y13" i="2"/>
  <c r="X13" i="2"/>
  <c r="X16" i="2" s="1"/>
  <c r="W13" i="2"/>
  <c r="V13" i="2"/>
  <c r="U13" i="2"/>
  <c r="S13" i="2"/>
  <c r="R13" i="2"/>
  <c r="Q13" i="2"/>
  <c r="P13" i="2"/>
  <c r="P16" i="2" s="1"/>
  <c r="O13" i="2"/>
  <c r="O16" i="2" s="1"/>
  <c r="N13" i="2"/>
  <c r="M13" i="2"/>
  <c r="L13" i="2"/>
  <c r="K13" i="2"/>
  <c r="J13" i="2"/>
  <c r="J16" i="2" s="1"/>
  <c r="I13" i="2"/>
  <c r="H13" i="2"/>
  <c r="BM6" i="2"/>
  <c r="BL6" i="2"/>
  <c r="BK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E409" i="1"/>
  <c r="E404" i="1"/>
  <c r="H399" i="1"/>
  <c r="G399" i="1"/>
  <c r="F399" i="1"/>
  <c r="F147" i="1" s="1"/>
  <c r="F148" i="1" s="1"/>
  <c r="E399" i="1"/>
  <c r="E395" i="1"/>
  <c r="E394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BG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N386" i="1"/>
  <c r="M386" i="1"/>
  <c r="L386" i="1"/>
  <c r="K386" i="1"/>
  <c r="J386" i="1"/>
  <c r="I386" i="1"/>
  <c r="H386" i="1"/>
  <c r="G386" i="1"/>
  <c r="F386" i="1"/>
  <c r="E386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BG193" i="1"/>
  <c r="BF193" i="1"/>
  <c r="BE193" i="1"/>
  <c r="BE393" i="1" s="1"/>
  <c r="BD193" i="1"/>
  <c r="BC193" i="1"/>
  <c r="BC393" i="1" s="1"/>
  <c r="BB193" i="1"/>
  <c r="BA193" i="1"/>
  <c r="BA393" i="1" s="1"/>
  <c r="AZ193" i="1"/>
  <c r="AY193" i="1"/>
  <c r="AY393" i="1" s="1"/>
  <c r="AX193" i="1"/>
  <c r="AW193" i="1"/>
  <c r="AW393" i="1" s="1"/>
  <c r="AV193" i="1"/>
  <c r="AU193" i="1"/>
  <c r="AU393" i="1" s="1"/>
  <c r="AT193" i="1"/>
  <c r="AS193" i="1"/>
  <c r="AR193" i="1"/>
  <c r="AQ193" i="1"/>
  <c r="AP193" i="1"/>
  <c r="AO193" i="1"/>
  <c r="AO393" i="1" s="1"/>
  <c r="AN193" i="1"/>
  <c r="AM193" i="1"/>
  <c r="AM393" i="1" s="1"/>
  <c r="AL193" i="1"/>
  <c r="AK193" i="1"/>
  <c r="AJ193" i="1"/>
  <c r="AI193" i="1"/>
  <c r="AH193" i="1"/>
  <c r="AG193" i="1"/>
  <c r="AG393" i="1" s="1"/>
  <c r="AF193" i="1"/>
  <c r="AE193" i="1"/>
  <c r="AE393" i="1" s="1"/>
  <c r="AD193" i="1"/>
  <c r="AC193" i="1"/>
  <c r="AC393" i="1" s="1"/>
  <c r="AB193" i="1"/>
  <c r="AA193" i="1"/>
  <c r="AA393" i="1" s="1"/>
  <c r="Z193" i="1"/>
  <c r="Y193" i="1"/>
  <c r="Y393" i="1" s="1"/>
  <c r="X193" i="1"/>
  <c r="W193" i="1"/>
  <c r="W393" i="1" s="1"/>
  <c r="V193" i="1"/>
  <c r="U193" i="1"/>
  <c r="T193" i="1"/>
  <c r="S193" i="1"/>
  <c r="R193" i="1"/>
  <c r="Q193" i="1"/>
  <c r="Q393" i="1" s="1"/>
  <c r="P193" i="1"/>
  <c r="O193" i="1"/>
  <c r="O393" i="1" s="1"/>
  <c r="N193" i="1"/>
  <c r="M193" i="1"/>
  <c r="L193" i="1"/>
  <c r="K193" i="1"/>
  <c r="J193" i="1"/>
  <c r="I193" i="1"/>
  <c r="I393" i="1" s="1"/>
  <c r="H193" i="1"/>
  <c r="G193" i="1"/>
  <c r="G393" i="1" s="1"/>
  <c r="F193" i="1"/>
  <c r="E193" i="1"/>
  <c r="I40" i="2" l="1"/>
  <c r="I81" i="2" s="1"/>
  <c r="AH16" i="2"/>
  <c r="AH25" i="2" s="1"/>
  <c r="AD420" i="1" s="1"/>
  <c r="AQ16" i="2"/>
  <c r="Z40" i="2"/>
  <c r="BF40" i="2"/>
  <c r="W91" i="2"/>
  <c r="W112" i="2" s="1"/>
  <c r="AE91" i="2"/>
  <c r="AM91" i="2"/>
  <c r="AM132" i="2" s="1"/>
  <c r="AU91" i="2"/>
  <c r="AU124" i="2" s="1"/>
  <c r="AQ432" i="1" s="1"/>
  <c r="BC91" i="2"/>
  <c r="BL91" i="2"/>
  <c r="BM106" i="2"/>
  <c r="BE91" i="2"/>
  <c r="BD142" i="2"/>
  <c r="AB40" i="2"/>
  <c r="AJ40" i="2"/>
  <c r="AJ61" i="2" s="1"/>
  <c r="AR40" i="2"/>
  <c r="AR49" i="2" s="1"/>
  <c r="O91" i="2"/>
  <c r="AG91" i="2"/>
  <c r="BF142" i="2"/>
  <c r="H91" i="2"/>
  <c r="P91" i="2"/>
  <c r="P100" i="2" s="1"/>
  <c r="Z91" i="2"/>
  <c r="AH91" i="2"/>
  <c r="AH120" i="2" s="1"/>
  <c r="AP91" i="2"/>
  <c r="AP112" i="2" s="1"/>
  <c r="AX91" i="2"/>
  <c r="BF91" i="2"/>
  <c r="M16" i="2"/>
  <c r="AD40" i="2"/>
  <c r="BK40" i="2"/>
  <c r="BK73" i="2" s="1"/>
  <c r="R16" i="2"/>
  <c r="BB16" i="2"/>
  <c r="BB33" i="2" s="1"/>
  <c r="BK16" i="2"/>
  <c r="BB40" i="2"/>
  <c r="W16" i="2"/>
  <c r="AE16" i="2"/>
  <c r="AM16" i="2"/>
  <c r="AU16" i="2"/>
  <c r="AU33" i="2" s="1"/>
  <c r="BC16" i="2"/>
  <c r="BL16" i="2"/>
  <c r="BL25" i="2" s="1"/>
  <c r="W40" i="2"/>
  <c r="W57" i="2" s="1"/>
  <c r="AE40" i="2"/>
  <c r="AE81" i="2" s="1"/>
  <c r="AM40" i="2"/>
  <c r="AM73" i="2" s="1"/>
  <c r="AI422" i="1" s="1"/>
  <c r="AU40" i="2"/>
  <c r="BC40" i="2"/>
  <c r="BL40" i="2"/>
  <c r="BL61" i="2" s="1"/>
  <c r="AC142" i="2"/>
  <c r="AK142" i="2"/>
  <c r="AK151" i="2" s="1"/>
  <c r="AG425" i="1" s="1"/>
  <c r="AS142" i="2"/>
  <c r="BA142" i="2"/>
  <c r="BI142" i="2"/>
  <c r="AV16" i="2"/>
  <c r="BD16" i="2"/>
  <c r="BM16" i="2"/>
  <c r="BM25" i="2" s="1"/>
  <c r="AW16" i="2"/>
  <c r="N40" i="2"/>
  <c r="N81" i="2" s="1"/>
  <c r="K91" i="2"/>
  <c r="K112" i="2" s="1"/>
  <c r="L393" i="1"/>
  <c r="T393" i="1"/>
  <c r="AB393" i="1"/>
  <c r="AJ393" i="1"/>
  <c r="AR393" i="1"/>
  <c r="AZ393" i="1"/>
  <c r="G147" i="1"/>
  <c r="F100" i="1"/>
  <c r="F101" i="1" s="1"/>
  <c r="G100" i="1" s="1"/>
  <c r="G101" i="1" s="1"/>
  <c r="F288" i="1"/>
  <c r="F289" i="1" s="1"/>
  <c r="G288" i="1" s="1"/>
  <c r="G289" i="1" s="1"/>
  <c r="F382" i="1"/>
  <c r="F383" i="1" s="1"/>
  <c r="F194" i="1"/>
  <c r="F195" i="1" s="1"/>
  <c r="F335" i="1"/>
  <c r="F336" i="1" s="1"/>
  <c r="G335" i="1" s="1"/>
  <c r="G336" i="1" s="1"/>
  <c r="V16" i="2"/>
  <c r="AD16" i="2"/>
  <c r="AL16" i="2"/>
  <c r="AT16" i="2"/>
  <c r="K16" i="2"/>
  <c r="K33" i="2" s="1"/>
  <c r="AB16" i="2"/>
  <c r="AB25" i="2" s="1"/>
  <c r="X412" i="1" s="1"/>
  <c r="AJ16" i="2"/>
  <c r="AR16" i="2"/>
  <c r="AR33" i="2" s="1"/>
  <c r="AZ16" i="2"/>
  <c r="AZ25" i="2" s="1"/>
  <c r="AV428" i="1" s="1"/>
  <c r="P40" i="2"/>
  <c r="AH40" i="2"/>
  <c r="AH61" i="2" s="1"/>
  <c r="BL45" i="2"/>
  <c r="BL65" i="2" s="1"/>
  <c r="BJ65" i="2"/>
  <c r="X91" i="2"/>
  <c r="X112" i="2" s="1"/>
  <c r="AF91" i="2"/>
  <c r="AN91" i="2"/>
  <c r="AN132" i="2" s="1"/>
  <c r="AV91" i="2"/>
  <c r="AV120" i="2" s="1"/>
  <c r="BD91" i="2"/>
  <c r="Y91" i="2"/>
  <c r="Y132" i="2" s="1"/>
  <c r="Y133" i="2" s="1"/>
  <c r="U250" i="1" s="1"/>
  <c r="AO91" i="2"/>
  <c r="AO108" i="2" s="1"/>
  <c r="AW91" i="2"/>
  <c r="AW132" i="2" s="1"/>
  <c r="X142" i="2"/>
  <c r="X151" i="2" s="1"/>
  <c r="T417" i="1" s="1"/>
  <c r="AF142" i="2"/>
  <c r="AV142" i="2"/>
  <c r="AV159" i="2" s="1"/>
  <c r="BM142" i="2"/>
  <c r="BM91" i="2"/>
  <c r="BH40" i="2"/>
  <c r="BH73" i="2" s="1"/>
  <c r="AH142" i="2"/>
  <c r="AH159" i="2" s="1"/>
  <c r="J40" i="2"/>
  <c r="J57" i="2" s="1"/>
  <c r="R40" i="2"/>
  <c r="R61" i="2" s="1"/>
  <c r="AK40" i="2"/>
  <c r="L40" i="2"/>
  <c r="L73" i="2" s="1"/>
  <c r="AS40" i="2"/>
  <c r="AS57" i="2" s="1"/>
  <c r="BI40" i="2"/>
  <c r="V50" i="2"/>
  <c r="J91" i="2"/>
  <c r="J120" i="2" s="1"/>
  <c r="J121" i="2" s="1"/>
  <c r="R91" i="2"/>
  <c r="R112" i="2" s="1"/>
  <c r="AB91" i="2"/>
  <c r="AB100" i="2" s="1"/>
  <c r="V40" i="2"/>
  <c r="AL40" i="2"/>
  <c r="AL73" i="2" s="1"/>
  <c r="AH422" i="1" s="1"/>
  <c r="AT40" i="2"/>
  <c r="AT73" i="2" s="1"/>
  <c r="AP430" i="1" s="1"/>
  <c r="I91" i="2"/>
  <c r="Q91" i="2"/>
  <c r="Q132" i="2" s="1"/>
  <c r="AA91" i="2"/>
  <c r="AA100" i="2" s="1"/>
  <c r="AI91" i="2"/>
  <c r="AQ91" i="2"/>
  <c r="AQ124" i="2" s="1"/>
  <c r="AM432" i="1" s="1"/>
  <c r="AY91" i="2"/>
  <c r="BG91" i="2"/>
  <c r="BG120" i="2" s="1"/>
  <c r="BL96" i="2"/>
  <c r="BL104" i="2" s="1"/>
  <c r="BG142" i="2"/>
  <c r="Y16" i="2"/>
  <c r="Y33" i="2" s="1"/>
  <c r="AO16" i="2"/>
  <c r="AO25" i="2" s="1"/>
  <c r="AK420" i="1" s="1"/>
  <c r="BE16" i="2"/>
  <c r="BE25" i="2" s="1"/>
  <c r="M40" i="2"/>
  <c r="M57" i="2" s="1"/>
  <c r="AC91" i="2"/>
  <c r="AK91" i="2"/>
  <c r="AK124" i="2" s="1"/>
  <c r="AG424" i="1" s="1"/>
  <c r="AS91" i="2"/>
  <c r="AS124" i="2" s="1"/>
  <c r="AO432" i="1" s="1"/>
  <c r="BA91" i="2"/>
  <c r="BI91" i="2"/>
  <c r="BI108" i="2" s="1"/>
  <c r="BK91" i="2"/>
  <c r="BK132" i="2" s="1"/>
  <c r="H16" i="2"/>
  <c r="H33" i="2" s="1"/>
  <c r="X40" i="2"/>
  <c r="X73" i="2" s="1"/>
  <c r="T414" i="1" s="1"/>
  <c r="AN40" i="2"/>
  <c r="AV40" i="2"/>
  <c r="AV81" i="2" s="1"/>
  <c r="M91" i="2"/>
  <c r="M124" i="2" s="1"/>
  <c r="AX40" i="2"/>
  <c r="O40" i="2"/>
  <c r="O81" i="2" s="1"/>
  <c r="W142" i="2"/>
  <c r="W159" i="2" s="1"/>
  <c r="AE142" i="2"/>
  <c r="BC142" i="2"/>
  <c r="BC151" i="2" s="1"/>
  <c r="N393" i="1"/>
  <c r="AD393" i="1"/>
  <c r="V393" i="1"/>
  <c r="AL393" i="1"/>
  <c r="AT393" i="1"/>
  <c r="BB393" i="1"/>
  <c r="P393" i="1"/>
  <c r="AF393" i="1"/>
  <c r="AN393" i="1"/>
  <c r="BD393" i="1"/>
  <c r="F393" i="1"/>
  <c r="J393" i="1"/>
  <c r="R393" i="1"/>
  <c r="Z393" i="1"/>
  <c r="AP393" i="1"/>
  <c r="AX393" i="1"/>
  <c r="BF393" i="1"/>
  <c r="X33" i="2"/>
  <c r="X25" i="2"/>
  <c r="T412" i="1" s="1"/>
  <c r="AF33" i="2"/>
  <c r="AN33" i="2"/>
  <c r="AN34" i="2" s="1"/>
  <c r="AN25" i="2"/>
  <c r="AJ420" i="1" s="1"/>
  <c r="G148" i="1"/>
  <c r="H288" i="1"/>
  <c r="H289" i="1" s="1"/>
  <c r="M33" i="2"/>
  <c r="M25" i="2"/>
  <c r="AS16" i="2"/>
  <c r="Q16" i="2"/>
  <c r="BK33" i="2"/>
  <c r="BK25" i="2"/>
  <c r="AH393" i="1"/>
  <c r="AW33" i="2"/>
  <c r="J33" i="2"/>
  <c r="J25" i="2"/>
  <c r="AH33" i="2"/>
  <c r="BF25" i="2"/>
  <c r="L16" i="2"/>
  <c r="U16" i="2"/>
  <c r="AC16" i="2"/>
  <c r="AK16" i="2"/>
  <c r="BA16" i="2"/>
  <c r="BI16" i="2"/>
  <c r="Z25" i="2"/>
  <c r="V412" i="1" s="1"/>
  <c r="Z33" i="2"/>
  <c r="BF33" i="2"/>
  <c r="W33" i="2"/>
  <c r="K393" i="1"/>
  <c r="S393" i="1"/>
  <c r="AI393" i="1"/>
  <c r="AQ393" i="1"/>
  <c r="BG393" i="1"/>
  <c r="E393" i="1"/>
  <c r="M393" i="1"/>
  <c r="U393" i="1"/>
  <c r="AK393" i="1"/>
  <c r="AS393" i="1"/>
  <c r="AA25" i="2"/>
  <c r="W412" i="1" s="1"/>
  <c r="BG25" i="2"/>
  <c r="R25" i="2"/>
  <c r="P412" i="1" s="1"/>
  <c r="R33" i="2"/>
  <c r="AQ25" i="2"/>
  <c r="AM428" i="1" s="1"/>
  <c r="AQ33" i="2"/>
  <c r="BE33" i="2"/>
  <c r="AB33" i="2"/>
  <c r="N16" i="2"/>
  <c r="AE33" i="2"/>
  <c r="AM33" i="2"/>
  <c r="BC33" i="2"/>
  <c r="K25" i="2"/>
  <c r="AJ33" i="2"/>
  <c r="AJ34" i="2" s="1"/>
  <c r="AJ25" i="2"/>
  <c r="AF420" i="1" s="1"/>
  <c r="AR25" i="2"/>
  <c r="AN428" i="1" s="1"/>
  <c r="AI25" i="2"/>
  <c r="AE420" i="1" s="1"/>
  <c r="AI33" i="2"/>
  <c r="BL21" i="2"/>
  <c r="BL29" i="2" s="1"/>
  <c r="H393" i="1"/>
  <c r="X393" i="1"/>
  <c r="AV393" i="1"/>
  <c r="BG33" i="2"/>
  <c r="BL22" i="2"/>
  <c r="BM22" i="2"/>
  <c r="BM30" i="2" s="1"/>
  <c r="F241" i="1"/>
  <c r="F242" i="1" s="1"/>
  <c r="F53" i="1"/>
  <c r="S16" i="2"/>
  <c r="W25" i="2"/>
  <c r="S412" i="1" s="1"/>
  <c r="AM25" i="2"/>
  <c r="AI420" i="1" s="1"/>
  <c r="I16" i="2"/>
  <c r="AP16" i="2"/>
  <c r="AX16" i="2"/>
  <c r="BL31" i="2"/>
  <c r="G33" i="2"/>
  <c r="G25" i="2"/>
  <c r="AE25" i="2"/>
  <c r="AA420" i="1" s="1"/>
  <c r="BC25" i="2"/>
  <c r="O33" i="2"/>
  <c r="P25" i="2"/>
  <c r="AF25" i="2"/>
  <c r="AB420" i="1" s="1"/>
  <c r="AV33" i="2"/>
  <c r="BD33" i="2"/>
  <c r="AY16" i="2"/>
  <c r="BM31" i="2"/>
  <c r="T33" i="2"/>
  <c r="T25" i="2"/>
  <c r="BD25" i="2"/>
  <c r="I49" i="2"/>
  <c r="Y61" i="2"/>
  <c r="AO73" i="2"/>
  <c r="AK422" i="1" s="1"/>
  <c r="AW61" i="2"/>
  <c r="BH16" i="2"/>
  <c r="AG16" i="2"/>
  <c r="AW25" i="2"/>
  <c r="AS428" i="1" s="1"/>
  <c r="BH81" i="2"/>
  <c r="W81" i="2"/>
  <c r="W61" i="2"/>
  <c r="W69" i="2"/>
  <c r="AE61" i="2"/>
  <c r="AE49" i="2"/>
  <c r="AE69" i="2"/>
  <c r="AU81" i="2"/>
  <c r="AU73" i="2"/>
  <c r="AQ430" i="1" s="1"/>
  <c r="AU69" i="2"/>
  <c r="AU61" i="2"/>
  <c r="AU57" i="2"/>
  <c r="AU49" i="2"/>
  <c r="BC81" i="2"/>
  <c r="BC73" i="2"/>
  <c r="BC61" i="2"/>
  <c r="BC69" i="2"/>
  <c r="BC57" i="2"/>
  <c r="BC49" i="2"/>
  <c r="BL73" i="2"/>
  <c r="BL49" i="2"/>
  <c r="AK81" i="2"/>
  <c r="AK69" i="2"/>
  <c r="AK73" i="2"/>
  <c r="AG422" i="1" s="1"/>
  <c r="AK57" i="2"/>
  <c r="AK49" i="2"/>
  <c r="AK61" i="2"/>
  <c r="I57" i="2"/>
  <c r="I69" i="2"/>
  <c r="AX73" i="2"/>
  <c r="AT430" i="1" s="1"/>
  <c r="AX81" i="2"/>
  <c r="AX82" i="2" s="1"/>
  <c r="AT121" i="1" s="1"/>
  <c r="AX69" i="2"/>
  <c r="AX70" i="2" s="1"/>
  <c r="AX61" i="2"/>
  <c r="AX57" i="2"/>
  <c r="AX49" i="2"/>
  <c r="AF73" i="2"/>
  <c r="AB422" i="1" s="1"/>
  <c r="AF81" i="2"/>
  <c r="AF61" i="2"/>
  <c r="AF57" i="2"/>
  <c r="AF49" i="2"/>
  <c r="AF69" i="2"/>
  <c r="BD73" i="2"/>
  <c r="BD81" i="2"/>
  <c r="BD61" i="2"/>
  <c r="BD69" i="2"/>
  <c r="BD57" i="2"/>
  <c r="BD49" i="2"/>
  <c r="BM73" i="2"/>
  <c r="BM61" i="2"/>
  <c r="BM49" i="2"/>
  <c r="V81" i="2"/>
  <c r="V57" i="2"/>
  <c r="Y81" i="2"/>
  <c r="Y73" i="2"/>
  <c r="U414" i="1" s="1"/>
  <c r="Y69" i="2"/>
  <c r="Y57" i="2"/>
  <c r="Y49" i="2"/>
  <c r="AG81" i="2"/>
  <c r="AG82" i="2" s="1"/>
  <c r="AC115" i="1" s="1"/>
  <c r="AG73" i="2"/>
  <c r="AC422" i="1" s="1"/>
  <c r="AG61" i="2"/>
  <c r="AG57" i="2"/>
  <c r="AG69" i="2"/>
  <c r="AG49" i="2"/>
  <c r="AO81" i="2"/>
  <c r="AO57" i="2"/>
  <c r="AO69" i="2"/>
  <c r="AO49" i="2"/>
  <c r="M81" i="2"/>
  <c r="M73" i="2"/>
  <c r="P81" i="2"/>
  <c r="P73" i="2"/>
  <c r="P69" i="2"/>
  <c r="P70" i="2" s="1"/>
  <c r="P61" i="2"/>
  <c r="P57" i="2"/>
  <c r="P49" i="2"/>
  <c r="AH73" i="2"/>
  <c r="AD422" i="1" s="1"/>
  <c r="AH81" i="2"/>
  <c r="X81" i="2"/>
  <c r="AN81" i="2"/>
  <c r="AN73" i="2"/>
  <c r="AJ422" i="1" s="1"/>
  <c r="AN69" i="2"/>
  <c r="AN61" i="2"/>
  <c r="AN57" i="2"/>
  <c r="AN49" i="2"/>
  <c r="AV57" i="2"/>
  <c r="L81" i="2"/>
  <c r="AS69" i="2"/>
  <c r="AS73" i="2"/>
  <c r="AO430" i="1" s="1"/>
  <c r="BI81" i="2"/>
  <c r="BI69" i="2"/>
  <c r="BI73" i="2"/>
  <c r="BI57" i="2"/>
  <c r="BI49" i="2"/>
  <c r="BI61" i="2"/>
  <c r="O49" i="2"/>
  <c r="J73" i="2"/>
  <c r="J81" i="2"/>
  <c r="J61" i="2"/>
  <c r="J69" i="2"/>
  <c r="R69" i="2"/>
  <c r="AB81" i="2"/>
  <c r="AB73" i="2"/>
  <c r="X414" i="1" s="1"/>
  <c r="AB69" i="2"/>
  <c r="AB57" i="2"/>
  <c r="AB61" i="2"/>
  <c r="AB49" i="2"/>
  <c r="AR73" i="2"/>
  <c r="AN430" i="1" s="1"/>
  <c r="AR57" i="2"/>
  <c r="AR69" i="2"/>
  <c r="AR61" i="2"/>
  <c r="T49" i="2"/>
  <c r="BJ28" i="2"/>
  <c r="AC69" i="2"/>
  <c r="AC70" i="2" s="1"/>
  <c r="AC81" i="2"/>
  <c r="AC82" i="2" s="1"/>
  <c r="Y109" i="1" s="1"/>
  <c r="AC73" i="2"/>
  <c r="Y414" i="1" s="1"/>
  <c r="AC57" i="2"/>
  <c r="AC49" i="2"/>
  <c r="Y413" i="1" s="1"/>
  <c r="AC61" i="2"/>
  <c r="BA69" i="2"/>
  <c r="BA81" i="2"/>
  <c r="BA73" i="2"/>
  <c r="AW430" i="1" s="1"/>
  <c r="BA57" i="2"/>
  <c r="BA58" i="2" s="1"/>
  <c r="BA49" i="2"/>
  <c r="BA61" i="2"/>
  <c r="BL28" i="2"/>
  <c r="BM28" i="2"/>
  <c r="AP81" i="2"/>
  <c r="AP73" i="2"/>
  <c r="AL422" i="1" s="1"/>
  <c r="AP61" i="2"/>
  <c r="AP57" i="2"/>
  <c r="AP49" i="2"/>
  <c r="AP69" i="2"/>
  <c r="AP70" i="2" s="1"/>
  <c r="AZ81" i="2"/>
  <c r="AZ82" i="2" s="1"/>
  <c r="AV121" i="1" s="1"/>
  <c r="AZ73" i="2"/>
  <c r="AV430" i="1" s="1"/>
  <c r="AZ57" i="2"/>
  <c r="AZ69" i="2"/>
  <c r="AZ70" i="2" s="1"/>
  <c r="AZ61" i="2"/>
  <c r="H60" i="2"/>
  <c r="H61" i="2" s="1"/>
  <c r="G60" i="2"/>
  <c r="G61" i="2" s="1"/>
  <c r="H72" i="2"/>
  <c r="H73" i="2" s="1"/>
  <c r="BJ54" i="2"/>
  <c r="BL64" i="2"/>
  <c r="V33" i="2"/>
  <c r="AD33" i="2"/>
  <c r="AL33" i="2"/>
  <c r="AT33" i="2"/>
  <c r="BL79" i="2"/>
  <c r="BL55" i="2"/>
  <c r="BL67" i="2"/>
  <c r="G57" i="2"/>
  <c r="BJ73" i="2"/>
  <c r="BJ61" i="2"/>
  <c r="BM65" i="2"/>
  <c r="BJ30" i="2"/>
  <c r="AA81" i="2"/>
  <c r="AA73" i="2"/>
  <c r="W414" i="1" s="1"/>
  <c r="AA69" i="2"/>
  <c r="AA61" i="2"/>
  <c r="AA57" i="2"/>
  <c r="AA49" i="2"/>
  <c r="AI81" i="2"/>
  <c r="AI73" i="2"/>
  <c r="AE422" i="1" s="1"/>
  <c r="AI69" i="2"/>
  <c r="AI61" i="2"/>
  <c r="AI57" i="2"/>
  <c r="AI49" i="2"/>
  <c r="AQ81" i="2"/>
  <c r="AQ73" i="2"/>
  <c r="AM430" i="1" s="1"/>
  <c r="AQ69" i="2"/>
  <c r="AQ61" i="2"/>
  <c r="AQ57" i="2"/>
  <c r="AQ49" i="2"/>
  <c r="AY81" i="2"/>
  <c r="AY73" i="2"/>
  <c r="AU430" i="1" s="1"/>
  <c r="AY69" i="2"/>
  <c r="AY61" i="2"/>
  <c r="AY57" i="2"/>
  <c r="AY49" i="2"/>
  <c r="BG81" i="2"/>
  <c r="BG73" i="2"/>
  <c r="BG69" i="2"/>
  <c r="BG61" i="2"/>
  <c r="BG57" i="2"/>
  <c r="BG49" i="2"/>
  <c r="BM79" i="2"/>
  <c r="BM67" i="2"/>
  <c r="BM55" i="2"/>
  <c r="H69" i="2"/>
  <c r="H57" i="2"/>
  <c r="H49" i="2"/>
  <c r="Q81" i="2"/>
  <c r="Q73" i="2"/>
  <c r="O414" i="1" s="1"/>
  <c r="Q69" i="2"/>
  <c r="Q61" i="2"/>
  <c r="Q57" i="2"/>
  <c r="Z73" i="2"/>
  <c r="V414" i="1" s="1"/>
  <c r="Z81" i="2"/>
  <c r="Z61" i="2"/>
  <c r="Z69" i="2"/>
  <c r="Z57" i="2"/>
  <c r="Z49" i="2"/>
  <c r="AJ81" i="2"/>
  <c r="AJ57" i="2"/>
  <c r="AJ69" i="2"/>
  <c r="BL52" i="2"/>
  <c r="AD57" i="2"/>
  <c r="BL30" i="2"/>
  <c r="K40" i="2"/>
  <c r="S40" i="2"/>
  <c r="BJ80" i="2"/>
  <c r="BJ56" i="2"/>
  <c r="BJ68" i="2"/>
  <c r="AZ49" i="2"/>
  <c r="AV429" i="1" s="1"/>
  <c r="BM52" i="2"/>
  <c r="BJ29" i="2"/>
  <c r="U37" i="2"/>
  <c r="U40" i="2" s="1"/>
  <c r="BL80" i="2"/>
  <c r="BL56" i="2"/>
  <c r="BL68" i="2"/>
  <c r="T81" i="2"/>
  <c r="T73" i="2"/>
  <c r="T57" i="2"/>
  <c r="T58" i="2" s="1"/>
  <c r="T69" i="2"/>
  <c r="AD49" i="2"/>
  <c r="BB73" i="2"/>
  <c r="AX430" i="1" s="1"/>
  <c r="BJ78" i="2"/>
  <c r="BM46" i="2"/>
  <c r="BM54" i="2" s="1"/>
  <c r="BL54" i="2"/>
  <c r="BM56" i="2"/>
  <c r="AD81" i="2"/>
  <c r="AD69" i="2"/>
  <c r="AD73" i="2"/>
  <c r="Z414" i="1" s="1"/>
  <c r="AD61" i="2"/>
  <c r="AM81" i="2"/>
  <c r="AM61" i="2"/>
  <c r="AM49" i="2"/>
  <c r="BE81" i="2"/>
  <c r="BE73" i="2"/>
  <c r="BE61" i="2"/>
  <c r="BE69" i="2"/>
  <c r="BE57" i="2"/>
  <c r="AT81" i="2"/>
  <c r="BE49" i="2"/>
  <c r="BM29" i="2"/>
  <c r="BF73" i="2"/>
  <c r="BF81" i="2"/>
  <c r="BF61" i="2"/>
  <c r="BF69" i="2"/>
  <c r="BF57" i="2"/>
  <c r="BF49" i="2"/>
  <c r="N61" i="2"/>
  <c r="G48" i="2"/>
  <c r="G49" i="2" s="1"/>
  <c r="Q49" i="2"/>
  <c r="U50" i="2"/>
  <c r="T60" i="2"/>
  <c r="T61" i="2" s="1"/>
  <c r="U62" i="2"/>
  <c r="V62" i="2"/>
  <c r="V69" i="2" s="1"/>
  <c r="AB108" i="2"/>
  <c r="BJ53" i="2"/>
  <c r="S60" i="2"/>
  <c r="G62" i="2"/>
  <c r="G69" i="2" s="1"/>
  <c r="BJ66" i="2"/>
  <c r="G72" i="2"/>
  <c r="G73" i="2" s="1"/>
  <c r="BL66" i="2"/>
  <c r="BK100" i="2"/>
  <c r="BK108" i="2"/>
  <c r="BJ52" i="2"/>
  <c r="BM64" i="2"/>
  <c r="H74" i="2"/>
  <c r="H81" i="2" s="1"/>
  <c r="I132" i="2"/>
  <c r="I124" i="2"/>
  <c r="I120" i="2"/>
  <c r="I112" i="2"/>
  <c r="I100" i="2"/>
  <c r="I108" i="2"/>
  <c r="Q112" i="2"/>
  <c r="Q100" i="2"/>
  <c r="Y124" i="2"/>
  <c r="U416" i="1" s="1"/>
  <c r="Y100" i="2"/>
  <c r="AO124" i="2"/>
  <c r="AK424" i="1" s="1"/>
  <c r="AO120" i="2"/>
  <c r="AO112" i="2"/>
  <c r="AO100" i="2"/>
  <c r="AW124" i="2"/>
  <c r="AS432" i="1" s="1"/>
  <c r="AW112" i="2"/>
  <c r="AW108" i="2"/>
  <c r="AW100" i="2"/>
  <c r="G74" i="2"/>
  <c r="G81" i="2" s="1"/>
  <c r="G82" i="2" s="1"/>
  <c r="E103" i="1" s="1"/>
  <c r="BJ64" i="2"/>
  <c r="BM80" i="2"/>
  <c r="BM68" i="2"/>
  <c r="W132" i="2"/>
  <c r="W124" i="2"/>
  <c r="S416" i="1" s="1"/>
  <c r="W120" i="2"/>
  <c r="W100" i="2"/>
  <c r="AE132" i="2"/>
  <c r="AE124" i="2"/>
  <c r="AA424" i="1" s="1"/>
  <c r="AE120" i="2"/>
  <c r="AE100" i="2"/>
  <c r="AE112" i="2"/>
  <c r="AE108" i="2"/>
  <c r="AM120" i="2"/>
  <c r="AM100" i="2"/>
  <c r="AM108" i="2"/>
  <c r="BC132" i="2"/>
  <c r="BC124" i="2"/>
  <c r="BC120" i="2"/>
  <c r="BC100" i="2"/>
  <c r="BC108" i="2"/>
  <c r="BC112" i="2"/>
  <c r="N91" i="2"/>
  <c r="X132" i="2"/>
  <c r="X120" i="2"/>
  <c r="AF132" i="2"/>
  <c r="AF124" i="2"/>
  <c r="AB424" i="1" s="1"/>
  <c r="AF120" i="2"/>
  <c r="AF112" i="2"/>
  <c r="AF108" i="2"/>
  <c r="AF100" i="2"/>
  <c r="AN108" i="2"/>
  <c r="AV132" i="2"/>
  <c r="AV124" i="2"/>
  <c r="AR432" i="1" s="1"/>
  <c r="AV108" i="2"/>
  <c r="BD132" i="2"/>
  <c r="BD133" i="2" s="1"/>
  <c r="AZ268" i="1" s="1"/>
  <c r="BD124" i="2"/>
  <c r="BD120" i="2"/>
  <c r="BD112" i="2"/>
  <c r="BD108" i="2"/>
  <c r="BD100" i="2"/>
  <c r="V91" i="2"/>
  <c r="AD91" i="2"/>
  <c r="AL91" i="2"/>
  <c r="AT91" i="2"/>
  <c r="BB91" i="2"/>
  <c r="J132" i="2"/>
  <c r="J112" i="2"/>
  <c r="J100" i="2"/>
  <c r="R132" i="2"/>
  <c r="R120" i="2"/>
  <c r="R124" i="2"/>
  <c r="P416" i="1" s="1"/>
  <c r="R100" i="2"/>
  <c r="G108" i="2"/>
  <c r="BE132" i="2"/>
  <c r="BE124" i="2"/>
  <c r="BE112" i="2"/>
  <c r="BE120" i="2"/>
  <c r="BE108" i="2"/>
  <c r="BE100" i="2"/>
  <c r="BL76" i="2"/>
  <c r="BL130" i="2"/>
  <c r="BL118" i="2"/>
  <c r="BL106" i="2"/>
  <c r="BM97" i="2"/>
  <c r="BM105" i="2" s="1"/>
  <c r="BL97" i="2"/>
  <c r="BL117" i="2" s="1"/>
  <c r="BJ105" i="2"/>
  <c r="H108" i="2"/>
  <c r="P124" i="2"/>
  <c r="P120" i="2"/>
  <c r="P121" i="2" s="1"/>
  <c r="P112" i="2"/>
  <c r="P108" i="2"/>
  <c r="Z132" i="2"/>
  <c r="Z120" i="2"/>
  <c r="Z124" i="2"/>
  <c r="V416" i="1" s="1"/>
  <c r="Z112" i="2"/>
  <c r="Z108" i="2"/>
  <c r="Z109" i="2" s="1"/>
  <c r="Z100" i="2"/>
  <c r="AH132" i="2"/>
  <c r="AH112" i="2"/>
  <c r="AH100" i="2"/>
  <c r="AD423" i="1" s="1"/>
  <c r="AP132" i="2"/>
  <c r="AP120" i="2"/>
  <c r="AP124" i="2"/>
  <c r="AL424" i="1" s="1"/>
  <c r="AP100" i="2"/>
  <c r="AX132" i="2"/>
  <c r="AX120" i="2"/>
  <c r="AX121" i="2" s="1"/>
  <c r="AX124" i="2"/>
  <c r="AT432" i="1" s="1"/>
  <c r="AX112" i="2"/>
  <c r="AX108" i="2"/>
  <c r="AX100" i="2"/>
  <c r="BF132" i="2"/>
  <c r="BF120" i="2"/>
  <c r="BF124" i="2"/>
  <c r="BF112" i="2"/>
  <c r="BF108" i="2"/>
  <c r="BF109" i="2" s="1"/>
  <c r="BF100" i="2"/>
  <c r="L132" i="2"/>
  <c r="L120" i="2"/>
  <c r="L124" i="2"/>
  <c r="L112" i="2"/>
  <c r="L100" i="2"/>
  <c r="L108" i="2"/>
  <c r="AG132" i="2"/>
  <c r="AG124" i="2"/>
  <c r="AC424" i="1" s="1"/>
  <c r="AG120" i="2"/>
  <c r="AG112" i="2"/>
  <c r="AG108" i="2"/>
  <c r="AG100" i="2"/>
  <c r="AA132" i="2"/>
  <c r="AA112" i="2"/>
  <c r="AA120" i="2"/>
  <c r="AA108" i="2"/>
  <c r="AI132" i="2"/>
  <c r="AI124" i="2"/>
  <c r="AE424" i="1" s="1"/>
  <c r="AI120" i="2"/>
  <c r="AI112" i="2"/>
  <c r="AI108" i="2"/>
  <c r="AI100" i="2"/>
  <c r="AQ108" i="2"/>
  <c r="AY124" i="2"/>
  <c r="AU432" i="1" s="1"/>
  <c r="AY132" i="2"/>
  <c r="AY120" i="2"/>
  <c r="AY112" i="2"/>
  <c r="AY108" i="2"/>
  <c r="AY100" i="2"/>
  <c r="BG132" i="2"/>
  <c r="BG112" i="2"/>
  <c r="M120" i="2"/>
  <c r="M100" i="2"/>
  <c r="M108" i="2"/>
  <c r="O132" i="2"/>
  <c r="O124" i="2"/>
  <c r="O120" i="2"/>
  <c r="O100" i="2"/>
  <c r="O112" i="2"/>
  <c r="O108" i="2"/>
  <c r="BM124" i="2"/>
  <c r="BM112" i="2"/>
  <c r="BM100" i="2"/>
  <c r="BL105" i="2"/>
  <c r="BJ76" i="2"/>
  <c r="AJ91" i="2"/>
  <c r="AR91" i="2"/>
  <c r="AZ91" i="2"/>
  <c r="BH91" i="2"/>
  <c r="K132" i="2"/>
  <c r="K124" i="2"/>
  <c r="K120" i="2"/>
  <c r="K100" i="2"/>
  <c r="S91" i="2"/>
  <c r="U88" i="2"/>
  <c r="U91" i="2" s="1"/>
  <c r="T132" i="2"/>
  <c r="T120" i="2"/>
  <c r="T124" i="2"/>
  <c r="T100" i="2"/>
  <c r="AU132" i="2"/>
  <c r="AU120" i="2"/>
  <c r="AU100" i="2"/>
  <c r="AU108" i="2"/>
  <c r="AU112" i="2"/>
  <c r="H99" i="2"/>
  <c r="H100" i="2" s="1"/>
  <c r="G99" i="2"/>
  <c r="G100" i="2" s="1"/>
  <c r="BL78" i="2"/>
  <c r="BM76" i="2"/>
  <c r="BM77" i="2"/>
  <c r="BL124" i="2"/>
  <c r="BL112" i="2"/>
  <c r="BL100" i="2"/>
  <c r="AC124" i="2"/>
  <c r="Y416" i="1" s="1"/>
  <c r="AC132" i="2"/>
  <c r="AC133" i="2" s="1"/>
  <c r="Y250" i="1" s="1"/>
  <c r="AC112" i="2"/>
  <c r="AC120" i="2"/>
  <c r="AC108" i="2"/>
  <c r="AC100" i="2"/>
  <c r="AK132" i="2"/>
  <c r="AS120" i="2"/>
  <c r="AS100" i="2"/>
  <c r="AS108" i="2"/>
  <c r="AS109" i="2" s="1"/>
  <c r="BA124" i="2"/>
  <c r="AW432" i="1" s="1"/>
  <c r="BA132" i="2"/>
  <c r="BA112" i="2"/>
  <c r="BA120" i="2"/>
  <c r="BA100" i="2"/>
  <c r="AW431" i="1" s="1"/>
  <c r="BA108" i="2"/>
  <c r="BI132" i="2"/>
  <c r="BI124" i="2"/>
  <c r="BI112" i="2"/>
  <c r="BI120" i="2"/>
  <c r="U111" i="2"/>
  <c r="BJ77" i="2"/>
  <c r="BJ124" i="2"/>
  <c r="BJ112" i="2"/>
  <c r="BJ131" i="2"/>
  <c r="BJ119" i="2"/>
  <c r="BJ107" i="2"/>
  <c r="G111" i="2"/>
  <c r="G112" i="2" s="1"/>
  <c r="BM130" i="2"/>
  <c r="BM118" i="2"/>
  <c r="T101" i="2"/>
  <c r="BL103" i="2"/>
  <c r="BJ104" i="2"/>
  <c r="T111" i="2"/>
  <c r="U99" i="2" s="1"/>
  <c r="BL131" i="2"/>
  <c r="BL119" i="2"/>
  <c r="BL107" i="2"/>
  <c r="G123" i="2"/>
  <c r="G124" i="2" s="1"/>
  <c r="BM131" i="2"/>
  <c r="BM119" i="2"/>
  <c r="BM107" i="2"/>
  <c r="BJ100" i="2"/>
  <c r="H113" i="2"/>
  <c r="H120" i="2" s="1"/>
  <c r="G113" i="2"/>
  <c r="G120" i="2" s="1"/>
  <c r="BM103" i="2"/>
  <c r="H111" i="2"/>
  <c r="H112" i="2" s="1"/>
  <c r="S113" i="2"/>
  <c r="V101" i="2" s="1"/>
  <c r="BJ117" i="2"/>
  <c r="BM128" i="2"/>
  <c r="BJ115" i="2"/>
  <c r="O159" i="2"/>
  <c r="O151" i="2"/>
  <c r="X159" i="2"/>
  <c r="BM151" i="2"/>
  <c r="BL115" i="2"/>
  <c r="BM115" i="2"/>
  <c r="BJ116" i="2"/>
  <c r="BF159" i="2"/>
  <c r="BF151" i="2"/>
  <c r="BL116" i="2"/>
  <c r="BL120" i="2" s="1"/>
  <c r="BL121" i="2" s="1"/>
  <c r="H123" i="2"/>
  <c r="H124" i="2" s="1"/>
  <c r="H125" i="2"/>
  <c r="H132" i="2" s="1"/>
  <c r="BM116" i="2"/>
  <c r="BJ127" i="2"/>
  <c r="W151" i="2"/>
  <c r="S417" i="1" s="1"/>
  <c r="AE159" i="2"/>
  <c r="AE151" i="2"/>
  <c r="AA425" i="1" s="1"/>
  <c r="BC159" i="2"/>
  <c r="BI159" i="2"/>
  <c r="BI151" i="2"/>
  <c r="BL127" i="2"/>
  <c r="BM127" i="2"/>
  <c r="M159" i="2"/>
  <c r="M151" i="2"/>
  <c r="V159" i="2"/>
  <c r="V151" i="2"/>
  <c r="Q159" i="2"/>
  <c r="Q151" i="2"/>
  <c r="O417" i="1" s="1"/>
  <c r="AG159" i="2"/>
  <c r="AG151" i="2"/>
  <c r="AC425" i="1" s="1"/>
  <c r="AX159" i="2"/>
  <c r="AX151" i="2"/>
  <c r="AT433" i="1" s="1"/>
  <c r="AY159" i="2"/>
  <c r="AY151" i="2"/>
  <c r="AU433" i="1" s="1"/>
  <c r="BL147" i="2"/>
  <c r="BL155" i="2" s="1"/>
  <c r="BM147" i="2"/>
  <c r="BM155" i="2" s="1"/>
  <c r="BL148" i="2"/>
  <c r="BL156" i="2" s="1"/>
  <c r="BJ129" i="2"/>
  <c r="AF159" i="2"/>
  <c r="AF151" i="2"/>
  <c r="AB425" i="1" s="1"/>
  <c r="AL159" i="2"/>
  <c r="AL151" i="2"/>
  <c r="AH425" i="1" s="1"/>
  <c r="BM148" i="2"/>
  <c r="BM156" i="2" s="1"/>
  <c r="H159" i="2"/>
  <c r="H151" i="2"/>
  <c r="P159" i="2"/>
  <c r="P151" i="2"/>
  <c r="Y159" i="2"/>
  <c r="Y151" i="2"/>
  <c r="U417" i="1" s="1"/>
  <c r="AW159" i="2"/>
  <c r="AW151" i="2"/>
  <c r="AS433" i="1" s="1"/>
  <c r="BE159" i="2"/>
  <c r="BE151" i="2"/>
  <c r="G159" i="2"/>
  <c r="G151" i="2"/>
  <c r="AN159" i="2"/>
  <c r="AN151" i="2"/>
  <c r="AJ425" i="1" s="1"/>
  <c r="BD159" i="2"/>
  <c r="BD151" i="2"/>
  <c r="BJ128" i="2"/>
  <c r="I142" i="2"/>
  <c r="Z142" i="2"/>
  <c r="AP142" i="2"/>
  <c r="AM142" i="2"/>
  <c r="AU142" i="2"/>
  <c r="BL157" i="2"/>
  <c r="BL142" i="2"/>
  <c r="BL151" i="2" s="1"/>
  <c r="S142" i="2"/>
  <c r="U141" i="2"/>
  <c r="U142" i="2" s="1"/>
  <c r="J159" i="2"/>
  <c r="J151" i="2"/>
  <c r="AO159" i="2"/>
  <c r="AO151" i="2"/>
  <c r="AK425" i="1" s="1"/>
  <c r="BL128" i="2"/>
  <c r="BG159" i="2"/>
  <c r="BG151" i="2"/>
  <c r="K159" i="2"/>
  <c r="K151" i="2"/>
  <c r="AA159" i="2"/>
  <c r="AA151" i="2"/>
  <c r="W417" i="1" s="1"/>
  <c r="AQ159" i="2"/>
  <c r="AQ151" i="2"/>
  <c r="AM433" i="1" s="1"/>
  <c r="G125" i="2"/>
  <c r="G132" i="2" s="1"/>
  <c r="BL158" i="2"/>
  <c r="N159" i="2"/>
  <c r="N151" i="2"/>
  <c r="AD159" i="2"/>
  <c r="AD151" i="2"/>
  <c r="Z417" i="1" s="1"/>
  <c r="AT159" i="2"/>
  <c r="AT151" i="2"/>
  <c r="AP433" i="1" s="1"/>
  <c r="L159" i="2"/>
  <c r="L151" i="2"/>
  <c r="AC159" i="2"/>
  <c r="AC151" i="2"/>
  <c r="Y417" i="1" s="1"/>
  <c r="AK159" i="2"/>
  <c r="AS159" i="2"/>
  <c r="AS151" i="2"/>
  <c r="AO433" i="1" s="1"/>
  <c r="BA159" i="2"/>
  <c r="BA151" i="2"/>
  <c r="AW433" i="1" s="1"/>
  <c r="BB159" i="2"/>
  <c r="BB151" i="2"/>
  <c r="AX433" i="1" s="1"/>
  <c r="BK159" i="2"/>
  <c r="BK151" i="2"/>
  <c r="BM158" i="2"/>
  <c r="R142" i="2"/>
  <c r="AI142" i="2"/>
  <c r="BM157" i="2"/>
  <c r="AB142" i="2"/>
  <c r="AJ142" i="2"/>
  <c r="AR142" i="2"/>
  <c r="AZ142" i="2"/>
  <c r="BH142" i="2"/>
  <c r="BJ155" i="2"/>
  <c r="T159" i="2"/>
  <c r="T151" i="2"/>
  <c r="BJ154" i="2"/>
  <c r="BL154" i="2"/>
  <c r="BM154" i="2"/>
  <c r="BJ156" i="2"/>
  <c r="J58" i="2" l="1"/>
  <c r="W58" i="2"/>
  <c r="AS112" i="2"/>
  <c r="V99" i="2"/>
  <c r="V100" i="2" s="1"/>
  <c r="M112" i="2"/>
  <c r="AI121" i="2"/>
  <c r="AA124" i="2"/>
  <c r="W416" i="1" s="1"/>
  <c r="AH108" i="2"/>
  <c r="P132" i="2"/>
  <c r="J108" i="2"/>
  <c r="AV100" i="2"/>
  <c r="AM112" i="2"/>
  <c r="BL77" i="2"/>
  <c r="AW120" i="2"/>
  <c r="AO132" i="2"/>
  <c r="AO133" i="2" s="1"/>
  <c r="AK256" i="1" s="1"/>
  <c r="Q108" i="2"/>
  <c r="BK120" i="2"/>
  <c r="AB124" i="2"/>
  <c r="X416" i="1" s="1"/>
  <c r="AJ49" i="2"/>
  <c r="AM57" i="2"/>
  <c r="AM58" i="2" s="1"/>
  <c r="AD82" i="2"/>
  <c r="Z109" i="1" s="1"/>
  <c r="BJ33" i="2"/>
  <c r="BJ34" i="2" s="1"/>
  <c r="AJ73" i="2"/>
  <c r="AF422" i="1" s="1"/>
  <c r="AR81" i="2"/>
  <c r="R73" i="2"/>
  <c r="P414" i="1" s="1"/>
  <c r="O57" i="2"/>
  <c r="AS81" i="2"/>
  <c r="AN82" i="2"/>
  <c r="AJ115" i="1" s="1"/>
  <c r="AE57" i="2"/>
  <c r="AE58" i="2" s="1"/>
  <c r="W73" i="2"/>
  <c r="S414" i="1" s="1"/>
  <c r="AS121" i="2"/>
  <c r="O61" i="2"/>
  <c r="BE34" i="2"/>
  <c r="P160" i="2"/>
  <c r="N338" i="1" s="1"/>
  <c r="AH151" i="2"/>
  <c r="AD425" i="1" s="1"/>
  <c r="BI100" i="2"/>
  <c r="BI109" i="2" s="1"/>
  <c r="AS132" i="2"/>
  <c r="AS133" i="2" s="1"/>
  <c r="AO262" i="1" s="1"/>
  <c r="K108" i="2"/>
  <c r="M132" i="2"/>
  <c r="M133" i="2" s="1"/>
  <c r="K244" i="1" s="1"/>
  <c r="BF133" i="2"/>
  <c r="BB268" i="1" s="1"/>
  <c r="AP108" i="2"/>
  <c r="AP109" i="2" s="1"/>
  <c r="AH124" i="2"/>
  <c r="AD424" i="1" s="1"/>
  <c r="Z133" i="2"/>
  <c r="V250" i="1" s="1"/>
  <c r="BJ108" i="2"/>
  <c r="BJ109" i="2" s="1"/>
  <c r="BJ136" i="2" s="1"/>
  <c r="R108" i="2"/>
  <c r="J124" i="2"/>
  <c r="AV112" i="2"/>
  <c r="AR431" i="1" s="1"/>
  <c r="AF121" i="2"/>
  <c r="AM124" i="2"/>
  <c r="AI424" i="1" s="1"/>
  <c r="W108" i="2"/>
  <c r="Y108" i="2"/>
  <c r="Q120" i="2"/>
  <c r="BE58" i="2"/>
  <c r="BE84" i="2" s="1"/>
  <c r="BA80" i="1" s="1"/>
  <c r="AM69" i="2"/>
  <c r="BL53" i="2"/>
  <c r="BL57" i="2" s="1"/>
  <c r="BL58" i="2" s="1"/>
  <c r="BL84" i="2" s="1"/>
  <c r="Q70" i="2"/>
  <c r="AU429" i="1"/>
  <c r="J49" i="2"/>
  <c r="O69" i="2"/>
  <c r="AH69" i="2"/>
  <c r="AH70" i="2" s="1"/>
  <c r="AF70" i="2"/>
  <c r="AE73" i="2"/>
  <c r="AA422" i="1" s="1"/>
  <c r="BH49" i="2"/>
  <c r="H25" i="2"/>
  <c r="H34" i="2" s="1"/>
  <c r="F9" i="1" s="1"/>
  <c r="AO33" i="2"/>
  <c r="BG121" i="2"/>
  <c r="AL160" i="2"/>
  <c r="AH350" i="1" s="1"/>
  <c r="BJ159" i="2"/>
  <c r="BJ160" i="2" s="1"/>
  <c r="M121" i="2"/>
  <c r="M136" i="2" s="1"/>
  <c r="K291" i="1" s="1"/>
  <c r="BM33" i="2"/>
  <c r="BM34" i="2" s="1"/>
  <c r="BJ132" i="2"/>
  <c r="BJ133" i="2" s="1"/>
  <c r="T112" i="2"/>
  <c r="L121" i="2"/>
  <c r="AT431" i="1"/>
  <c r="BJ69" i="2"/>
  <c r="Y120" i="2"/>
  <c r="Y121" i="2" s="1"/>
  <c r="Q124" i="2"/>
  <c r="O416" i="1" s="1"/>
  <c r="H82" i="2"/>
  <c r="F103" i="1" s="1"/>
  <c r="T82" i="2"/>
  <c r="O73" i="2"/>
  <c r="AS61" i="2"/>
  <c r="AS70" i="2" s="1"/>
  <c r="AH49" i="2"/>
  <c r="AD421" i="1" s="1"/>
  <c r="BH61" i="2"/>
  <c r="Y25" i="2"/>
  <c r="U412" i="1" s="1"/>
  <c r="BM159" i="2"/>
  <c r="BM160" i="2" s="1"/>
  <c r="BG362" i="1" s="1"/>
  <c r="Y112" i="2"/>
  <c r="G70" i="2"/>
  <c r="AM82" i="2"/>
  <c r="AI115" i="1" s="1"/>
  <c r="AS49" i="2"/>
  <c r="AO429" i="1" s="1"/>
  <c r="AH57" i="2"/>
  <c r="W49" i="2"/>
  <c r="BH57" i="2"/>
  <c r="BH58" i="2" s="1"/>
  <c r="AZ33" i="2"/>
  <c r="AZ34" i="2" s="1"/>
  <c r="BI160" i="2"/>
  <c r="AE423" i="1"/>
  <c r="I109" i="2"/>
  <c r="O413" i="1"/>
  <c r="BK57" i="2"/>
  <c r="AU82" i="2"/>
  <c r="AQ121" i="1" s="1"/>
  <c r="BH69" i="2"/>
  <c r="BH70" i="2" s="1"/>
  <c r="AM109" i="2"/>
  <c r="AM135" i="2" s="1"/>
  <c r="AI209" i="1" s="1"/>
  <c r="Z82" i="2"/>
  <c r="V109" i="1" s="1"/>
  <c r="BD70" i="2"/>
  <c r="AF82" i="2"/>
  <c r="AB115" i="1" s="1"/>
  <c r="W70" i="2"/>
  <c r="G382" i="1"/>
  <c r="G383" i="1" s="1"/>
  <c r="H382" i="1" s="1"/>
  <c r="H383" i="1" s="1"/>
  <c r="I382" i="1" s="1"/>
  <c r="I383" i="1" s="1"/>
  <c r="R70" i="2"/>
  <c r="L82" i="2"/>
  <c r="J103" i="1" s="1"/>
  <c r="BB160" i="2"/>
  <c r="AX356" i="1" s="1"/>
  <c r="BA121" i="2"/>
  <c r="Y415" i="1"/>
  <c r="BG124" i="2"/>
  <c r="AQ100" i="2"/>
  <c r="L109" i="2"/>
  <c r="AN100" i="2"/>
  <c r="AN109" i="2" s="1"/>
  <c r="X124" i="2"/>
  <c r="T416" i="1" s="1"/>
  <c r="AE109" i="2"/>
  <c r="S415" i="1"/>
  <c r="AO109" i="2"/>
  <c r="BL69" i="2"/>
  <c r="BL70" i="2" s="1"/>
  <c r="AB112" i="2"/>
  <c r="BF82" i="2"/>
  <c r="BB127" i="1" s="1"/>
  <c r="Z70" i="2"/>
  <c r="AN429" i="1"/>
  <c r="AB58" i="2"/>
  <c r="AB85" i="2" s="1"/>
  <c r="X156" i="1" s="1"/>
  <c r="R81" i="2"/>
  <c r="BI58" i="2"/>
  <c r="AV49" i="2"/>
  <c r="M69" i="2"/>
  <c r="BD58" i="2"/>
  <c r="BD85" i="2" s="1"/>
  <c r="AZ174" i="1" s="1"/>
  <c r="AB70" i="2"/>
  <c r="AK108" i="2"/>
  <c r="AK109" i="2" s="1"/>
  <c r="AU431" i="1"/>
  <c r="AQ112" i="2"/>
  <c r="AN112" i="2"/>
  <c r="AJ423" i="1" s="1"/>
  <c r="AS431" i="1"/>
  <c r="AB120" i="2"/>
  <c r="AB121" i="2" s="1"/>
  <c r="AL81" i="2"/>
  <c r="AL82" i="2" s="1"/>
  <c r="AH115" i="1" s="1"/>
  <c r="AJ70" i="2"/>
  <c r="H58" i="2"/>
  <c r="L49" i="2"/>
  <c r="AV69" i="2"/>
  <c r="X49" i="2"/>
  <c r="T413" i="1" s="1"/>
  <c r="AH58" i="2"/>
  <c r="AH84" i="2" s="1"/>
  <c r="AD68" i="1" s="1"/>
  <c r="AE70" i="2"/>
  <c r="AV61" i="2"/>
  <c r="AR429" i="1" s="1"/>
  <c r="G34" i="2"/>
  <c r="BL159" i="2"/>
  <c r="BL160" i="2" s="1"/>
  <c r="AW160" i="2"/>
  <c r="AS356" i="1" s="1"/>
  <c r="AY160" i="2"/>
  <c r="AU356" i="1" s="1"/>
  <c r="BJ120" i="2"/>
  <c r="BJ121" i="2" s="1"/>
  <c r="V111" i="2"/>
  <c r="V112" i="2" s="1"/>
  <c r="AK100" i="2"/>
  <c r="AU109" i="2"/>
  <c r="AU135" i="2" s="1"/>
  <c r="AQ215" i="1" s="1"/>
  <c r="AQ120" i="2"/>
  <c r="AH121" i="2"/>
  <c r="AN120" i="2"/>
  <c r="AB132" i="2"/>
  <c r="AE421" i="1"/>
  <c r="AL421" i="1"/>
  <c r="AB82" i="2"/>
  <c r="X109" i="1" s="1"/>
  <c r="O70" i="2"/>
  <c r="BI82" i="2"/>
  <c r="L61" i="2"/>
  <c r="X57" i="2"/>
  <c r="AG58" i="2"/>
  <c r="AG84" i="2" s="1"/>
  <c r="AC68" i="1" s="1"/>
  <c r="AT429" i="1"/>
  <c r="T34" i="2"/>
  <c r="BG34" i="2"/>
  <c r="BC33" i="1" s="1"/>
  <c r="BG133" i="2"/>
  <c r="BC268" i="1" s="1"/>
  <c r="M82" i="2"/>
  <c r="K103" i="1" s="1"/>
  <c r="AV151" i="2"/>
  <c r="AR433" i="1" s="1"/>
  <c r="AK120" i="2"/>
  <c r="BG100" i="2"/>
  <c r="AQ132" i="2"/>
  <c r="AN124" i="2"/>
  <c r="AJ424" i="1" s="1"/>
  <c r="X100" i="2"/>
  <c r="AF421" i="1"/>
  <c r="R49" i="2"/>
  <c r="P413" i="1" s="1"/>
  <c r="L69" i="2"/>
  <c r="X69" i="2"/>
  <c r="X70" i="2" s="1"/>
  <c r="M61" i="2"/>
  <c r="M70" i="2" s="1"/>
  <c r="AK133" i="2"/>
  <c r="AG256" i="1" s="1"/>
  <c r="G109" i="2"/>
  <c r="G135" i="2" s="1"/>
  <c r="E197" i="1" s="1"/>
  <c r="AQ109" i="2"/>
  <c r="AS82" i="2"/>
  <c r="AO121" i="1" s="1"/>
  <c r="BM108" i="2"/>
  <c r="BM109" i="2" s="1"/>
  <c r="AO431" i="1"/>
  <c r="AK112" i="2"/>
  <c r="O133" i="2"/>
  <c r="M244" i="1" s="1"/>
  <c r="BG108" i="2"/>
  <c r="AY121" i="2"/>
  <c r="AA109" i="2"/>
  <c r="L133" i="2"/>
  <c r="J244" i="1" s="1"/>
  <c r="BD109" i="2"/>
  <c r="X108" i="2"/>
  <c r="X109" i="2" s="1"/>
  <c r="X135" i="2" s="1"/>
  <c r="T203" i="1" s="1"/>
  <c r="BC109" i="2"/>
  <c r="Z413" i="1"/>
  <c r="R57" i="2"/>
  <c r="R58" i="2" s="1"/>
  <c r="L57" i="2"/>
  <c r="L58" i="2" s="1"/>
  <c r="AN58" i="2"/>
  <c r="X61" i="2"/>
  <c r="M49" i="2"/>
  <c r="M58" i="2" s="1"/>
  <c r="AU58" i="2"/>
  <c r="AU85" i="2" s="1"/>
  <c r="AQ168" i="1" s="1"/>
  <c r="W82" i="2"/>
  <c r="S109" i="1" s="1"/>
  <c r="X160" i="2"/>
  <c r="T344" i="1" s="1"/>
  <c r="W121" i="2"/>
  <c r="M109" i="2"/>
  <c r="AY133" i="2"/>
  <c r="AU262" i="1" s="1"/>
  <c r="AA121" i="2"/>
  <c r="AP133" i="2"/>
  <c r="AL256" i="1" s="1"/>
  <c r="J133" i="2"/>
  <c r="H244" i="1" s="1"/>
  <c r="AB423" i="1"/>
  <c r="U415" i="1"/>
  <c r="V413" i="1"/>
  <c r="AH34" i="2"/>
  <c r="AD21" i="1" s="1"/>
  <c r="AB34" i="2"/>
  <c r="I288" i="1"/>
  <c r="I289" i="1" s="1"/>
  <c r="E104" i="1"/>
  <c r="E105" i="1" s="1"/>
  <c r="H100" i="1"/>
  <c r="H101" i="1" s="1"/>
  <c r="BG33" i="1"/>
  <c r="BD34" i="2"/>
  <c r="AT82" i="2"/>
  <c r="AP121" i="1" s="1"/>
  <c r="AI34" i="2"/>
  <c r="J34" i="2"/>
  <c r="BA82" i="2"/>
  <c r="AW121" i="1" s="1"/>
  <c r="AR82" i="2"/>
  <c r="AN121" i="1" s="1"/>
  <c r="AV73" i="2"/>
  <c r="AR430" i="1" s="1"/>
  <c r="X58" i="2"/>
  <c r="P82" i="2"/>
  <c r="N103" i="1" s="1"/>
  <c r="AW69" i="2"/>
  <c r="AW70" i="2" s="1"/>
  <c r="AO82" i="2"/>
  <c r="AK115" i="1" s="1"/>
  <c r="Y58" i="2"/>
  <c r="AL57" i="2"/>
  <c r="AX58" i="2"/>
  <c r="I61" i="2"/>
  <c r="I70" i="2" s="1"/>
  <c r="AK82" i="2"/>
  <c r="AG115" i="1" s="1"/>
  <c r="BC58" i="2"/>
  <c r="AU70" i="2"/>
  <c r="AE82" i="2"/>
  <c r="AA115" i="1" s="1"/>
  <c r="AG33" i="2"/>
  <c r="AG25" i="2"/>
  <c r="AC420" i="1" s="1"/>
  <c r="G241" i="1"/>
  <c r="G242" i="1" s="1"/>
  <c r="K34" i="2"/>
  <c r="AU25" i="2"/>
  <c r="AQ428" i="1" s="1"/>
  <c r="AQ34" i="2"/>
  <c r="AT25" i="2"/>
  <c r="AP428" i="1" s="1"/>
  <c r="P33" i="2"/>
  <c r="P34" i="2" s="1"/>
  <c r="AA33" i="2"/>
  <c r="AA34" i="2" s="1"/>
  <c r="BF34" i="2"/>
  <c r="AK33" i="2"/>
  <c r="AK25" i="2"/>
  <c r="AG420" i="1" s="1"/>
  <c r="Q33" i="2"/>
  <c r="Q25" i="2"/>
  <c r="O412" i="1" s="1"/>
  <c r="H147" i="1"/>
  <c r="H148" i="1" s="1"/>
  <c r="AP159" i="2"/>
  <c r="AP151" i="2"/>
  <c r="AL425" i="1" s="1"/>
  <c r="K81" i="2"/>
  <c r="K73" i="2"/>
  <c r="K69" i="2"/>
  <c r="K61" i="2"/>
  <c r="K57" i="2"/>
  <c r="K49" i="2"/>
  <c r="BK61" i="2"/>
  <c r="BH159" i="2"/>
  <c r="BH151" i="2"/>
  <c r="AC160" i="2"/>
  <c r="Y344" i="1" s="1"/>
  <c r="Z159" i="2"/>
  <c r="Z160" i="2" s="1"/>
  <c r="V344" i="1" s="1"/>
  <c r="Z151" i="2"/>
  <c r="V417" i="1" s="1"/>
  <c r="BL81" i="2"/>
  <c r="BL82" i="2" s="1"/>
  <c r="AE133" i="2"/>
  <c r="AA256" i="1" s="1"/>
  <c r="AW109" i="2"/>
  <c r="AO121" i="2"/>
  <c r="U81" i="2"/>
  <c r="U69" i="2"/>
  <c r="U73" i="2"/>
  <c r="U57" i="2"/>
  <c r="AZ159" i="2"/>
  <c r="AZ151" i="2"/>
  <c r="AV433" i="1" s="1"/>
  <c r="BK160" i="2"/>
  <c r="BF362" i="1" s="1"/>
  <c r="I159" i="2"/>
  <c r="I151" i="2"/>
  <c r="BE160" i="2"/>
  <c r="BA362" i="1" s="1"/>
  <c r="H160" i="2"/>
  <c r="F338" i="1" s="1"/>
  <c r="BM117" i="2"/>
  <c r="BM120" i="2" s="1"/>
  <c r="BM121" i="2" s="1"/>
  <c r="BM135" i="2" s="1"/>
  <c r="BG221" i="1" s="1"/>
  <c r="BL108" i="2"/>
  <c r="BL109" i="2" s="1"/>
  <c r="AC109" i="2"/>
  <c r="O121" i="2"/>
  <c r="AI109" i="2"/>
  <c r="AX133" i="2"/>
  <c r="AT262" i="1" s="1"/>
  <c r="AH109" i="2"/>
  <c r="P133" i="2"/>
  <c r="N244" i="1" s="1"/>
  <c r="BE109" i="2"/>
  <c r="G121" i="2"/>
  <c r="R121" i="2"/>
  <c r="BB124" i="2"/>
  <c r="AX432" i="1" s="1"/>
  <c r="BB132" i="2"/>
  <c r="BB112" i="2"/>
  <c r="BB120" i="2"/>
  <c r="BB121" i="2" s="1"/>
  <c r="BB100" i="2"/>
  <c r="BB108" i="2"/>
  <c r="BD121" i="2"/>
  <c r="AV133" i="2"/>
  <c r="AR262" i="1" s="1"/>
  <c r="AF109" i="2"/>
  <c r="X121" i="2"/>
  <c r="W109" i="2"/>
  <c r="O415" i="1"/>
  <c r="BM66" i="2"/>
  <c r="BM69" i="2" s="1"/>
  <c r="BM70" i="2" s="1"/>
  <c r="BK109" i="2"/>
  <c r="V60" i="2"/>
  <c r="U60" i="2"/>
  <c r="U61" i="2" s="1"/>
  <c r="BF58" i="2"/>
  <c r="AM70" i="2"/>
  <c r="BK81" i="2"/>
  <c r="BK82" i="2" s="1"/>
  <c r="Q58" i="2"/>
  <c r="H70" i="2"/>
  <c r="W413" i="1"/>
  <c r="AR159" i="2"/>
  <c r="AR151" i="2"/>
  <c r="AN433" i="1" s="1"/>
  <c r="AI159" i="2"/>
  <c r="AI151" i="2"/>
  <c r="AE425" i="1" s="1"/>
  <c r="BA160" i="2"/>
  <c r="AW356" i="1" s="1"/>
  <c r="L160" i="2"/>
  <c r="J338" i="1" s="1"/>
  <c r="AT160" i="2"/>
  <c r="AP356" i="1" s="1"/>
  <c r="AQ160" i="2"/>
  <c r="AM356" i="1" s="1"/>
  <c r="S159" i="2"/>
  <c r="S151" i="2"/>
  <c r="Q417" i="1" s="1"/>
  <c r="G160" i="2"/>
  <c r="E338" i="1" s="1"/>
  <c r="AF160" i="2"/>
  <c r="AB350" i="1" s="1"/>
  <c r="AX160" i="2"/>
  <c r="AT356" i="1" s="1"/>
  <c r="M160" i="2"/>
  <c r="K338" i="1" s="1"/>
  <c r="W160" i="2"/>
  <c r="S344" i="1" s="1"/>
  <c r="U101" i="2"/>
  <c r="BI121" i="2"/>
  <c r="BA133" i="2"/>
  <c r="AW262" i="1" s="1"/>
  <c r="AC121" i="2"/>
  <c r="BM78" i="2"/>
  <c r="BM81" i="2" s="1"/>
  <c r="BM82" i="2" s="1"/>
  <c r="BG127" i="1" s="1"/>
  <c r="T108" i="2"/>
  <c r="T109" i="2" s="1"/>
  <c r="K133" i="2"/>
  <c r="I244" i="1" s="1"/>
  <c r="AM431" i="1"/>
  <c r="AG133" i="2"/>
  <c r="AC256" i="1" s="1"/>
  <c r="BF121" i="2"/>
  <c r="BF136" i="2" s="1"/>
  <c r="BB315" i="1" s="1"/>
  <c r="AL423" i="1"/>
  <c r="Z121" i="2"/>
  <c r="Z136" i="2" s="1"/>
  <c r="V297" i="1" s="1"/>
  <c r="BE121" i="2"/>
  <c r="R133" i="2"/>
  <c r="P250" i="1" s="1"/>
  <c r="AT124" i="2"/>
  <c r="AP432" i="1" s="1"/>
  <c r="AT132" i="2"/>
  <c r="AT120" i="2"/>
  <c r="AT112" i="2"/>
  <c r="AT100" i="2"/>
  <c r="AP431" i="1" s="1"/>
  <c r="AT108" i="2"/>
  <c r="BC121" i="2"/>
  <c r="BC136" i="2" s="1"/>
  <c r="AY315" i="1" s="1"/>
  <c r="AM133" i="2"/>
  <c r="AI256" i="1" s="1"/>
  <c r="AW121" i="2"/>
  <c r="Q109" i="2"/>
  <c r="I121" i="2"/>
  <c r="I135" i="2" s="1"/>
  <c r="G197" i="1" s="1"/>
  <c r="BK112" i="2"/>
  <c r="BK121" i="2" s="1"/>
  <c r="AB133" i="2"/>
  <c r="X250" i="1" s="1"/>
  <c r="BF70" i="2"/>
  <c r="BE70" i="2"/>
  <c r="BB69" i="2"/>
  <c r="BG58" i="2"/>
  <c r="AY70" i="2"/>
  <c r="AQ82" i="2"/>
  <c r="AM121" i="1" s="1"/>
  <c r="AA58" i="2"/>
  <c r="G58" i="2"/>
  <c r="G163" i="2" s="1"/>
  <c r="AP58" i="2"/>
  <c r="BA70" i="2"/>
  <c r="BA85" i="2" s="1"/>
  <c r="AW168" i="1" s="1"/>
  <c r="V48" i="2"/>
  <c r="V49" i="2" s="1"/>
  <c r="V58" i="2" s="1"/>
  <c r="X413" i="1"/>
  <c r="J82" i="2"/>
  <c r="H103" i="1" s="1"/>
  <c r="O82" i="2"/>
  <c r="M103" i="1" s="1"/>
  <c r="AS58" i="2"/>
  <c r="AJ421" i="1"/>
  <c r="AH82" i="2"/>
  <c r="AD115" i="1" s="1"/>
  <c r="AW73" i="2"/>
  <c r="AS430" i="1" s="1"/>
  <c r="AC421" i="1"/>
  <c r="Y70" i="2"/>
  <c r="AL49" i="2"/>
  <c r="V61" i="2"/>
  <c r="V70" i="2" s="1"/>
  <c r="BD82" i="2"/>
  <c r="AZ127" i="1" s="1"/>
  <c r="N57" i="2"/>
  <c r="I73" i="2"/>
  <c r="I82" i="2" s="1"/>
  <c r="G103" i="1" s="1"/>
  <c r="BC70" i="2"/>
  <c r="S413" i="1"/>
  <c r="BH82" i="2"/>
  <c r="BD127" i="1" s="1"/>
  <c r="H335" i="1"/>
  <c r="H336" i="1" s="1"/>
  <c r="AE34" i="2"/>
  <c r="BA33" i="1"/>
  <c r="Z34" i="2"/>
  <c r="AC33" i="2"/>
  <c r="AC25" i="2"/>
  <c r="Y412" i="1" s="1"/>
  <c r="AW34" i="2"/>
  <c r="AS33" i="2"/>
  <c r="AS25" i="2"/>
  <c r="AO428" i="1" s="1"/>
  <c r="AJ21" i="1"/>
  <c r="AN85" i="2"/>
  <c r="AJ162" i="1" s="1"/>
  <c r="AW81" i="2"/>
  <c r="AG70" i="2"/>
  <c r="AT49" i="2"/>
  <c r="AL61" i="2"/>
  <c r="V73" i="2"/>
  <c r="N49" i="2"/>
  <c r="W84" i="2"/>
  <c r="S62" i="1" s="1"/>
  <c r="W85" i="2"/>
  <c r="S156" i="1" s="1"/>
  <c r="BH33" i="2"/>
  <c r="BH25" i="2"/>
  <c r="G194" i="1"/>
  <c r="G195" i="1" s="1"/>
  <c r="N33" i="2"/>
  <c r="N25" i="2"/>
  <c r="R34" i="2"/>
  <c r="AL25" i="2"/>
  <c r="AH420" i="1" s="1"/>
  <c r="U33" i="2"/>
  <c r="U25" i="2"/>
  <c r="AA135" i="2"/>
  <c r="W203" i="1" s="1"/>
  <c r="H133" i="2"/>
  <c r="F244" i="1" s="1"/>
  <c r="BH132" i="2"/>
  <c r="BH120" i="2"/>
  <c r="BH124" i="2"/>
  <c r="BH112" i="2"/>
  <c r="BH108" i="2"/>
  <c r="BH100" i="2"/>
  <c r="J109" i="2"/>
  <c r="AD124" i="2"/>
  <c r="Z416" i="1" s="1"/>
  <c r="AD132" i="2"/>
  <c r="AD133" i="2" s="1"/>
  <c r="Z250" i="1" s="1"/>
  <c r="AD112" i="2"/>
  <c r="AD120" i="2"/>
  <c r="AD108" i="2"/>
  <c r="AD100" i="2"/>
  <c r="N124" i="2"/>
  <c r="N132" i="2"/>
  <c r="N120" i="2"/>
  <c r="N112" i="2"/>
  <c r="N100" i="2"/>
  <c r="N108" i="2"/>
  <c r="BC133" i="2"/>
  <c r="AY268" i="1" s="1"/>
  <c r="AW133" i="2"/>
  <c r="AS262" i="1" s="1"/>
  <c r="Q121" i="2"/>
  <c r="BB57" i="2"/>
  <c r="BB49" i="2"/>
  <c r="T70" i="2"/>
  <c r="T85" i="2" s="1"/>
  <c r="AB84" i="2"/>
  <c r="X62" i="1" s="1"/>
  <c r="AG85" i="2"/>
  <c r="AC162" i="1" s="1"/>
  <c r="AT57" i="2"/>
  <c r="V82" i="2"/>
  <c r="N73" i="2"/>
  <c r="N82" i="2" s="1"/>
  <c r="L103" i="1" s="1"/>
  <c r="AO34" i="2"/>
  <c r="L33" i="2"/>
  <c r="L25" i="2"/>
  <c r="M34" i="2"/>
  <c r="AF34" i="2"/>
  <c r="AJ132" i="2"/>
  <c r="AJ133" i="2" s="1"/>
  <c r="AF256" i="1" s="1"/>
  <c r="AJ120" i="2"/>
  <c r="AJ124" i="2"/>
  <c r="AF424" i="1" s="1"/>
  <c r="AJ112" i="2"/>
  <c r="AJ100" i="2"/>
  <c r="AJ108" i="2"/>
  <c r="AJ109" i="2" s="1"/>
  <c r="BG160" i="2"/>
  <c r="BC362" i="1" s="1"/>
  <c r="AN160" i="2"/>
  <c r="AJ350" i="1" s="1"/>
  <c r="AE160" i="2"/>
  <c r="AA350" i="1" s="1"/>
  <c r="V113" i="2"/>
  <c r="V120" i="2" s="1"/>
  <c r="U113" i="2"/>
  <c r="U120" i="2" s="1"/>
  <c r="AU133" i="2"/>
  <c r="AQ262" i="1" s="1"/>
  <c r="K121" i="2"/>
  <c r="AM121" i="2"/>
  <c r="AU159" i="2"/>
  <c r="AU151" i="2"/>
  <c r="AQ433" i="1" s="1"/>
  <c r="BM129" i="2"/>
  <c r="BM132" i="2" s="1"/>
  <c r="BM133" i="2" s="1"/>
  <c r="L136" i="2"/>
  <c r="J291" i="1" s="1"/>
  <c r="L135" i="2"/>
  <c r="J197" i="1" s="1"/>
  <c r="G133" i="2"/>
  <c r="E244" i="1" s="1"/>
  <c r="AL124" i="2"/>
  <c r="AH424" i="1" s="1"/>
  <c r="AL132" i="2"/>
  <c r="AL112" i="2"/>
  <c r="AL120" i="2"/>
  <c r="AL121" i="2" s="1"/>
  <c r="AL100" i="2"/>
  <c r="AH423" i="1" s="1"/>
  <c r="AL108" i="2"/>
  <c r="BJ70" i="2"/>
  <c r="T160" i="2"/>
  <c r="AB159" i="2"/>
  <c r="AB151" i="2"/>
  <c r="X417" i="1" s="1"/>
  <c r="AS160" i="2"/>
  <c r="AO356" i="1" s="1"/>
  <c r="AA160" i="2"/>
  <c r="W344" i="1" s="1"/>
  <c r="BL129" i="2"/>
  <c r="BL132" i="2" s="1"/>
  <c r="BL133" i="2" s="1"/>
  <c r="AG160" i="2"/>
  <c r="AC350" i="1" s="1"/>
  <c r="S132" i="2"/>
  <c r="S124" i="2"/>
  <c r="Q416" i="1" s="1"/>
  <c r="S120" i="2"/>
  <c r="S112" i="2"/>
  <c r="S108" i="2"/>
  <c r="S100" i="2"/>
  <c r="BJ81" i="2"/>
  <c r="BJ82" i="2" s="1"/>
  <c r="Y109" i="2"/>
  <c r="I133" i="2"/>
  <c r="G244" i="1" s="1"/>
  <c r="BG70" i="2"/>
  <c r="AY82" i="2"/>
  <c r="AU121" i="1" s="1"/>
  <c r="AI58" i="2"/>
  <c r="Y160" i="2"/>
  <c r="U344" i="1" s="1"/>
  <c r="AH160" i="2"/>
  <c r="AD350" i="1" s="1"/>
  <c r="BI133" i="2"/>
  <c r="BE268" i="1" s="1"/>
  <c r="AQ431" i="1"/>
  <c r="T121" i="2"/>
  <c r="AZ132" i="2"/>
  <c r="AZ120" i="2"/>
  <c r="AZ124" i="2"/>
  <c r="AV432" i="1" s="1"/>
  <c r="AZ112" i="2"/>
  <c r="AZ108" i="2"/>
  <c r="AZ100" i="2"/>
  <c r="AY109" i="2"/>
  <c r="AQ121" i="2"/>
  <c r="AQ135" i="2" s="1"/>
  <c r="AM215" i="1" s="1"/>
  <c r="AI133" i="2"/>
  <c r="AE256" i="1" s="1"/>
  <c r="AC423" i="1"/>
  <c r="AX109" i="2"/>
  <c r="AH133" i="2"/>
  <c r="AD256" i="1" s="1"/>
  <c r="P109" i="2"/>
  <c r="H121" i="2"/>
  <c r="BE133" i="2"/>
  <c r="BA268" i="1" s="1"/>
  <c r="P415" i="1"/>
  <c r="V124" i="2"/>
  <c r="V132" i="2"/>
  <c r="V108" i="2"/>
  <c r="AV109" i="2"/>
  <c r="AF133" i="2"/>
  <c r="AB256" i="1" s="1"/>
  <c r="AA423" i="1"/>
  <c r="AO135" i="2"/>
  <c r="AK209" i="1" s="1"/>
  <c r="BJ57" i="2"/>
  <c r="BJ58" i="2" s="1"/>
  <c r="BK124" i="2"/>
  <c r="X415" i="1"/>
  <c r="BE82" i="2"/>
  <c r="BA127" i="1" s="1"/>
  <c r="U48" i="2"/>
  <c r="U49" i="2" s="1"/>
  <c r="BK49" i="2"/>
  <c r="BB81" i="2"/>
  <c r="BB82" i="2" s="1"/>
  <c r="AX121" i="1" s="1"/>
  <c r="Q82" i="2"/>
  <c r="O109" i="1" s="1"/>
  <c r="AM429" i="1"/>
  <c r="AZ58" i="2"/>
  <c r="AP82" i="2"/>
  <c r="AL115" i="1" s="1"/>
  <c r="AC58" i="2"/>
  <c r="AV58" i="2"/>
  <c r="AN70" i="2"/>
  <c r="X82" i="2"/>
  <c r="T109" i="1" s="1"/>
  <c r="P58" i="2"/>
  <c r="AO70" i="2"/>
  <c r="Y82" i="2"/>
  <c r="U109" i="1" s="1"/>
  <c r="AT61" i="2"/>
  <c r="AL69" i="2"/>
  <c r="AB421" i="1"/>
  <c r="AG421" i="1"/>
  <c r="BC82" i="2"/>
  <c r="AY127" i="1" s="1"/>
  <c r="AA421" i="1"/>
  <c r="AD25" i="2"/>
  <c r="Z412" i="1" s="1"/>
  <c r="BE362" i="1"/>
  <c r="J160" i="2"/>
  <c r="H338" i="1" s="1"/>
  <c r="V160" i="2"/>
  <c r="U159" i="2"/>
  <c r="U151" i="2"/>
  <c r="R417" i="1" s="1"/>
  <c r="AG121" i="2"/>
  <c r="BC135" i="2"/>
  <c r="AY221" i="1" s="1"/>
  <c r="AJ159" i="2"/>
  <c r="AJ151" i="2"/>
  <c r="AF425" i="1" s="1"/>
  <c r="R159" i="2"/>
  <c r="R151" i="2"/>
  <c r="P417" i="1" s="1"/>
  <c r="U124" i="2"/>
  <c r="U132" i="2"/>
  <c r="U112" i="2"/>
  <c r="U100" i="2"/>
  <c r="U108" i="2"/>
  <c r="U109" i="2" s="1"/>
  <c r="H109" i="2"/>
  <c r="BM57" i="2"/>
  <c r="BM58" i="2" s="1"/>
  <c r="BB61" i="2"/>
  <c r="AD160" i="2"/>
  <c r="Z344" i="1" s="1"/>
  <c r="AM159" i="2"/>
  <c r="AM151" i="2"/>
  <c r="AI425" i="1" s="1"/>
  <c r="AS135" i="2"/>
  <c r="AO215" i="1" s="1"/>
  <c r="AD58" i="2"/>
  <c r="BK69" i="2"/>
  <c r="Z58" i="2"/>
  <c r="AA70" i="2"/>
  <c r="O160" i="2"/>
  <c r="M338" i="1" s="1"/>
  <c r="AK160" i="2"/>
  <c r="AG350" i="1" s="1"/>
  <c r="N160" i="2"/>
  <c r="L338" i="1" s="1"/>
  <c r="K160" i="2"/>
  <c r="I338" i="1" s="1"/>
  <c r="AO160" i="2"/>
  <c r="AK350" i="1" s="1"/>
  <c r="BD160" i="2"/>
  <c r="AZ362" i="1" s="1"/>
  <c r="Q160" i="2"/>
  <c r="O344" i="1" s="1"/>
  <c r="BC160" i="2"/>
  <c r="AY362" i="1" s="1"/>
  <c r="BF160" i="2"/>
  <c r="BB362" i="1" s="1"/>
  <c r="BA109" i="2"/>
  <c r="AU121" i="2"/>
  <c r="T133" i="2"/>
  <c r="K109" i="2"/>
  <c r="AR132" i="2"/>
  <c r="AR120" i="2"/>
  <c r="AR121" i="2" s="1"/>
  <c r="AR124" i="2"/>
  <c r="AN432" i="1" s="1"/>
  <c r="AR112" i="2"/>
  <c r="AR100" i="2"/>
  <c r="AN431" i="1" s="1"/>
  <c r="AR108" i="2"/>
  <c r="O109" i="2"/>
  <c r="AQ133" i="2"/>
  <c r="AM262" i="1" s="1"/>
  <c r="W415" i="1"/>
  <c r="AG109" i="2"/>
  <c r="AP121" i="2"/>
  <c r="V415" i="1"/>
  <c r="R109" i="2"/>
  <c r="T415" i="1"/>
  <c r="AI423" i="1"/>
  <c r="AE121" i="2"/>
  <c r="AE135" i="2" s="1"/>
  <c r="AA209" i="1" s="1"/>
  <c r="W133" i="2"/>
  <c r="S250" i="1" s="1"/>
  <c r="AK423" i="1"/>
  <c r="Q133" i="2"/>
  <c r="O250" i="1" s="1"/>
  <c r="AB109" i="2"/>
  <c r="AI421" i="1"/>
  <c r="AD70" i="2"/>
  <c r="S81" i="2"/>
  <c r="S73" i="2"/>
  <c r="Q414" i="1" s="1"/>
  <c r="S69" i="2"/>
  <c r="S61" i="2"/>
  <c r="S57" i="2"/>
  <c r="S49" i="2"/>
  <c r="BG82" i="2"/>
  <c r="BC127" i="1" s="1"/>
  <c r="AQ58" i="2"/>
  <c r="AI70" i="2"/>
  <c r="AA82" i="2"/>
  <c r="W109" i="1" s="1"/>
  <c r="AW429" i="1"/>
  <c r="AR70" i="2"/>
  <c r="J70" i="2"/>
  <c r="J84" i="2" s="1"/>
  <c r="H56" i="1" s="1"/>
  <c r="O58" i="2"/>
  <c r="BI70" i="2"/>
  <c r="BI85" i="2" s="1"/>
  <c r="AW49" i="2"/>
  <c r="AS429" i="1" s="1"/>
  <c r="AO58" i="2"/>
  <c r="AT69" i="2"/>
  <c r="AF58" i="2"/>
  <c r="N69" i="2"/>
  <c r="N70" i="2" s="1"/>
  <c r="AK58" i="2"/>
  <c r="AQ429" i="1"/>
  <c r="AX25" i="2"/>
  <c r="AT428" i="1" s="1"/>
  <c r="AX33" i="2"/>
  <c r="BL32" i="2"/>
  <c r="BL33" i="2" s="1"/>
  <c r="BL34" i="2" s="1"/>
  <c r="AR34" i="2"/>
  <c r="BC34" i="2"/>
  <c r="Y34" i="2"/>
  <c r="W34" i="2"/>
  <c r="X34" i="2"/>
  <c r="BA84" i="2"/>
  <c r="AW74" i="1" s="1"/>
  <c r="AR58" i="2"/>
  <c r="BE127" i="1"/>
  <c r="AW57" i="2"/>
  <c r="AW58" i="2" s="1"/>
  <c r="AO61" i="2"/>
  <c r="AK421" i="1" s="1"/>
  <c r="E9" i="1"/>
  <c r="AP25" i="2"/>
  <c r="AL420" i="1" s="1"/>
  <c r="AP33" i="2"/>
  <c r="S25" i="2"/>
  <c r="Q412" i="1" s="1"/>
  <c r="S33" i="2"/>
  <c r="BB25" i="2"/>
  <c r="AX428" i="1" s="1"/>
  <c r="V25" i="2"/>
  <c r="V34" i="2" s="1"/>
  <c r="BI33" i="2"/>
  <c r="BI25" i="2"/>
  <c r="AV25" i="2"/>
  <c r="AR428" i="1" s="1"/>
  <c r="O25" i="2"/>
  <c r="O34" i="2" s="1"/>
  <c r="AJ58" i="2"/>
  <c r="AY58" i="2"/>
  <c r="AQ70" i="2"/>
  <c r="AI82" i="2"/>
  <c r="AE115" i="1" s="1"/>
  <c r="AV82" i="2"/>
  <c r="AR121" i="1" s="1"/>
  <c r="U413" i="1"/>
  <c r="I58" i="2"/>
  <c r="AK70" i="2"/>
  <c r="AY25" i="2"/>
  <c r="AU428" i="1" s="1"/>
  <c r="AY33" i="2"/>
  <c r="I33" i="2"/>
  <c r="I25" i="2"/>
  <c r="F394" i="1"/>
  <c r="F54" i="1"/>
  <c r="AF21" i="1"/>
  <c r="AM34" i="2"/>
  <c r="BA33" i="2"/>
  <c r="BA25" i="2"/>
  <c r="AW428" i="1" s="1"/>
  <c r="BK34" i="2"/>
  <c r="AS136" i="2" l="1"/>
  <c r="AO309" i="1" s="1"/>
  <c r="BH85" i="2"/>
  <c r="BD174" i="1" s="1"/>
  <c r="BH84" i="2"/>
  <c r="BD80" i="1" s="1"/>
  <c r="BL85" i="2"/>
  <c r="AU84" i="2"/>
  <c r="AQ74" i="1" s="1"/>
  <c r="AV70" i="2"/>
  <c r="AV84" i="2" s="1"/>
  <c r="AR74" i="1" s="1"/>
  <c r="AN121" i="2"/>
  <c r="V121" i="2"/>
  <c r="AM84" i="2"/>
  <c r="AI68" i="1" s="1"/>
  <c r="BL163" i="2"/>
  <c r="V109" i="2"/>
  <c r="V135" i="2" s="1"/>
  <c r="AI160" i="2"/>
  <c r="AE350" i="1" s="1"/>
  <c r="M84" i="2"/>
  <c r="K56" i="1" s="1"/>
  <c r="S34" i="2"/>
  <c r="BK70" i="2"/>
  <c r="AV121" i="2"/>
  <c r="M135" i="2"/>
  <c r="K197" i="1" s="1"/>
  <c r="AJ82" i="2"/>
  <c r="AF115" i="1" s="1"/>
  <c r="AT133" i="2"/>
  <c r="AP262" i="1" s="1"/>
  <c r="AA133" i="2"/>
  <c r="W250" i="1" s="1"/>
  <c r="AO136" i="2"/>
  <c r="AK303" i="1" s="1"/>
  <c r="AP136" i="2"/>
  <c r="AL303" i="1" s="1"/>
  <c r="BD84" i="2"/>
  <c r="AZ80" i="1" s="1"/>
  <c r="BJ135" i="2"/>
  <c r="T84" i="2"/>
  <c r="AM136" i="2"/>
  <c r="AI303" i="1" s="1"/>
  <c r="BH34" i="2"/>
  <c r="BD33" i="1" s="1"/>
  <c r="H84" i="2"/>
  <c r="F56" i="1" s="1"/>
  <c r="R82" i="2"/>
  <c r="P109" i="1" s="1"/>
  <c r="Z135" i="2"/>
  <c r="V203" i="1" s="1"/>
  <c r="BI84" i="2"/>
  <c r="BB58" i="2"/>
  <c r="AZ160" i="2"/>
  <c r="AV356" i="1" s="1"/>
  <c r="H85" i="2"/>
  <c r="F150" i="1" s="1"/>
  <c r="AK34" i="2"/>
  <c r="AK163" i="2" s="1"/>
  <c r="AR133" i="2"/>
  <c r="AN262" i="1" s="1"/>
  <c r="AX34" i="2"/>
  <c r="AT70" i="2"/>
  <c r="J85" i="2"/>
  <c r="H150" i="1" s="1"/>
  <c r="S82" i="2"/>
  <c r="Q109" i="1" s="1"/>
  <c r="AZ121" i="2"/>
  <c r="AL133" i="2"/>
  <c r="AH256" i="1" s="1"/>
  <c r="BF127" i="1"/>
  <c r="BD135" i="2"/>
  <c r="AZ221" i="1" s="1"/>
  <c r="G136" i="2"/>
  <c r="E291" i="1" s="1"/>
  <c r="E292" i="1" s="1"/>
  <c r="E293" i="1" s="1"/>
  <c r="AV160" i="2"/>
  <c r="AR356" i="1" s="1"/>
  <c r="BK133" i="2"/>
  <c r="BF268" i="1" s="1"/>
  <c r="L70" i="2"/>
  <c r="AK121" i="2"/>
  <c r="AK136" i="2" s="1"/>
  <c r="AG303" i="1" s="1"/>
  <c r="X133" i="2"/>
  <c r="T250" i="1" s="1"/>
  <c r="AP429" i="1"/>
  <c r="BE163" i="2"/>
  <c r="AR109" i="2"/>
  <c r="AU136" i="2"/>
  <c r="AQ309" i="1" s="1"/>
  <c r="U133" i="2"/>
  <c r="BF135" i="2"/>
  <c r="BB221" i="1" s="1"/>
  <c r="AE136" i="2"/>
  <c r="AA303" i="1" s="1"/>
  <c r="AA304" i="1" s="1"/>
  <c r="AA305" i="1" s="1"/>
  <c r="AT58" i="2"/>
  <c r="AT85" i="2" s="1"/>
  <c r="AP168" i="1" s="1"/>
  <c r="Z415" i="1"/>
  <c r="AS34" i="2"/>
  <c r="AX431" i="1"/>
  <c r="R414" i="1"/>
  <c r="K58" i="2"/>
  <c r="BG109" i="2"/>
  <c r="M85" i="2"/>
  <c r="K150" i="1" s="1"/>
  <c r="AH85" i="2"/>
  <c r="AD162" i="1" s="1"/>
  <c r="S58" i="2"/>
  <c r="S85" i="2" s="1"/>
  <c r="Q156" i="1" s="1"/>
  <c r="H163" i="2"/>
  <c r="AV431" i="1"/>
  <c r="L34" i="2"/>
  <c r="L163" i="2" s="1"/>
  <c r="T163" i="2"/>
  <c r="N109" i="2"/>
  <c r="AD121" i="2"/>
  <c r="BH109" i="2"/>
  <c r="I160" i="2"/>
  <c r="G338" i="1" s="1"/>
  <c r="BH160" i="2"/>
  <c r="BD362" i="1" s="1"/>
  <c r="AG423" i="1"/>
  <c r="AN133" i="2"/>
  <c r="AJ256" i="1" s="1"/>
  <c r="O163" i="2"/>
  <c r="M9" i="1"/>
  <c r="I335" i="1"/>
  <c r="I336" i="1" s="1"/>
  <c r="AA210" i="1"/>
  <c r="AA211" i="1" s="1"/>
  <c r="I100" i="1"/>
  <c r="I101" i="1" s="1"/>
  <c r="V85" i="2"/>
  <c r="V84" i="2"/>
  <c r="I147" i="1"/>
  <c r="I148" i="1" s="1"/>
  <c r="BM136" i="2"/>
  <c r="BG315" i="1" s="1"/>
  <c r="J382" i="1"/>
  <c r="J383" i="1" s="1"/>
  <c r="BG268" i="1"/>
  <c r="BM163" i="2"/>
  <c r="R413" i="1"/>
  <c r="BJ85" i="2"/>
  <c r="BE174" i="1" s="1"/>
  <c r="BJ84" i="2"/>
  <c r="BC163" i="2"/>
  <c r="AY33" i="1"/>
  <c r="O251" i="1"/>
  <c r="O252" i="1" s="1"/>
  <c r="Z84" i="2"/>
  <c r="V62" i="1" s="1"/>
  <c r="Z85" i="2"/>
  <c r="V156" i="1" s="1"/>
  <c r="AQ136" i="2"/>
  <c r="AM309" i="1" s="1"/>
  <c r="AJ160" i="2"/>
  <c r="AF350" i="1" s="1"/>
  <c r="AZ85" i="2"/>
  <c r="AV168" i="1" s="1"/>
  <c r="AZ84" i="2"/>
  <c r="AV74" i="1" s="1"/>
  <c r="P135" i="2"/>
  <c r="N197" i="1" s="1"/>
  <c r="P136" i="2"/>
  <c r="N291" i="1" s="1"/>
  <c r="AZ109" i="2"/>
  <c r="Y135" i="2"/>
  <c r="U203" i="1" s="1"/>
  <c r="Y136" i="2"/>
  <c r="U297" i="1" s="1"/>
  <c r="Q415" i="1"/>
  <c r="M163" i="2"/>
  <c r="K9" i="1"/>
  <c r="R412" i="1"/>
  <c r="AN84" i="2"/>
  <c r="AJ68" i="1" s="1"/>
  <c r="AS84" i="2"/>
  <c r="AO74" i="1" s="1"/>
  <c r="AS85" i="2"/>
  <c r="AO168" i="1" s="1"/>
  <c r="BI136" i="2"/>
  <c r="BE315" i="1" s="1"/>
  <c r="BI135" i="2"/>
  <c r="Q34" i="2"/>
  <c r="BC84" i="2"/>
  <c r="AY80" i="1" s="1"/>
  <c r="BC85" i="2"/>
  <c r="AY174" i="1" s="1"/>
  <c r="AV34" i="2"/>
  <c r="BJ163" i="2"/>
  <c r="J288" i="1"/>
  <c r="J289" i="1" s="1"/>
  <c r="AJ85" i="2"/>
  <c r="AF162" i="1" s="1"/>
  <c r="AJ84" i="2"/>
  <c r="AF68" i="1" s="1"/>
  <c r="AM216" i="1"/>
  <c r="AM217" i="1" s="1"/>
  <c r="BI34" i="2"/>
  <c r="AM263" i="1"/>
  <c r="AM264" i="1" s="1"/>
  <c r="AM160" i="2"/>
  <c r="AI350" i="1" s="1"/>
  <c r="AN27" i="1"/>
  <c r="AF84" i="2"/>
  <c r="AB68" i="1" s="1"/>
  <c r="AF85" i="2"/>
  <c r="AB162" i="1" s="1"/>
  <c r="Q413" i="1"/>
  <c r="AY363" i="1"/>
  <c r="AY364" i="1" s="1"/>
  <c r="R416" i="1"/>
  <c r="AY316" i="1"/>
  <c r="AY317" i="1" s="1"/>
  <c r="P84" i="2"/>
  <c r="N56" i="1" s="1"/>
  <c r="P85" i="2"/>
  <c r="N150" i="1" s="1"/>
  <c r="AV136" i="2"/>
  <c r="AR309" i="1" s="1"/>
  <c r="AV135" i="2"/>
  <c r="AR215" i="1" s="1"/>
  <c r="AI84" i="2"/>
  <c r="AE68" i="1" s="1"/>
  <c r="AI85" i="2"/>
  <c r="AE162" i="1" s="1"/>
  <c r="S109" i="2"/>
  <c r="AJ121" i="2"/>
  <c r="AX429" i="1"/>
  <c r="AY269" i="1"/>
  <c r="AY270" i="1" s="1"/>
  <c r="AD109" i="2"/>
  <c r="U34" i="2"/>
  <c r="AC34" i="2"/>
  <c r="AH421" i="1"/>
  <c r="BB70" i="2"/>
  <c r="BB85" i="2" s="1"/>
  <c r="AX168" i="1" s="1"/>
  <c r="AT121" i="2"/>
  <c r="E339" i="1"/>
  <c r="E340" i="1" s="1"/>
  <c r="BE85" i="2"/>
  <c r="BA174" i="1" s="1"/>
  <c r="BB109" i="2"/>
  <c r="BE135" i="2"/>
  <c r="BA221" i="1" s="1"/>
  <c r="BE136" i="2"/>
  <c r="BA315" i="1" s="1"/>
  <c r="U58" i="2"/>
  <c r="K70" i="2"/>
  <c r="I9" i="1"/>
  <c r="X84" i="2"/>
  <c r="T62" i="1" s="1"/>
  <c r="X85" i="2"/>
  <c r="T156" i="1" s="1"/>
  <c r="AK84" i="2"/>
  <c r="AG68" i="1" s="1"/>
  <c r="AK85" i="2"/>
  <c r="AG162" i="1" s="1"/>
  <c r="AY128" i="1"/>
  <c r="AY129" i="1" s="1"/>
  <c r="J9" i="1"/>
  <c r="Z163" i="2"/>
  <c r="V15" i="1"/>
  <c r="Q85" i="2"/>
  <c r="O156" i="1" s="1"/>
  <c r="Q84" i="2"/>
  <c r="O62" i="1" s="1"/>
  <c r="BF84" i="2"/>
  <c r="BB80" i="1" s="1"/>
  <c r="BF85" i="2"/>
  <c r="BB174" i="1" s="1"/>
  <c r="BL136" i="2"/>
  <c r="BL135" i="2"/>
  <c r="AW135" i="2"/>
  <c r="AS215" i="1" s="1"/>
  <c r="AW136" i="2"/>
  <c r="AS309" i="1" s="1"/>
  <c r="AG21" i="1"/>
  <c r="H241" i="1"/>
  <c r="H242" i="1" s="1"/>
  <c r="J163" i="2"/>
  <c r="H9" i="1"/>
  <c r="F104" i="1"/>
  <c r="F105" i="1" s="1"/>
  <c r="AQ84" i="2"/>
  <c r="AM74" i="1" s="1"/>
  <c r="AQ85" i="2"/>
  <c r="AM168" i="1" s="1"/>
  <c r="O136" i="2"/>
  <c r="M291" i="1" s="1"/>
  <c r="O135" i="2"/>
  <c r="M197" i="1" s="1"/>
  <c r="S121" i="2"/>
  <c r="AA351" i="1"/>
  <c r="AA352" i="1" s="1"/>
  <c r="P15" i="1"/>
  <c r="G84" i="2"/>
  <c r="E56" i="1" s="1"/>
  <c r="G85" i="2"/>
  <c r="E150" i="1" s="1"/>
  <c r="S160" i="2"/>
  <c r="Q344" i="1" s="1"/>
  <c r="W136" i="2"/>
  <c r="S297" i="1" s="1"/>
  <c r="W135" i="2"/>
  <c r="S203" i="1" s="1"/>
  <c r="U70" i="2"/>
  <c r="AA257" i="1"/>
  <c r="AA258" i="1" s="1"/>
  <c r="K82" i="2"/>
  <c r="I103" i="1" s="1"/>
  <c r="BF163" i="2"/>
  <c r="BB33" i="1"/>
  <c r="AX84" i="2"/>
  <c r="AT74" i="1" s="1"/>
  <c r="AX85" i="2"/>
  <c r="AT168" i="1" s="1"/>
  <c r="AI163" i="2"/>
  <c r="AE21" i="1"/>
  <c r="BB34" i="2"/>
  <c r="AD34" i="2"/>
  <c r="AH163" i="2"/>
  <c r="AB136" i="2"/>
  <c r="X297" i="1" s="1"/>
  <c r="AB135" i="2"/>
  <c r="X203" i="1" s="1"/>
  <c r="AD85" i="2"/>
  <c r="Z156" i="1" s="1"/>
  <c r="AD84" i="2"/>
  <c r="Z62" i="1" s="1"/>
  <c r="BE80" i="1"/>
  <c r="AR135" i="2"/>
  <c r="AN215" i="1" s="1"/>
  <c r="BA34" i="2"/>
  <c r="T15" i="1"/>
  <c r="AO85" i="2"/>
  <c r="AK162" i="1" s="1"/>
  <c r="AO84" i="2"/>
  <c r="AK68" i="1" s="1"/>
  <c r="S70" i="2"/>
  <c r="BM85" i="2"/>
  <c r="BG174" i="1" s="1"/>
  <c r="BM84" i="2"/>
  <c r="BG80" i="1" s="1"/>
  <c r="AV85" i="2"/>
  <c r="AR168" i="1" s="1"/>
  <c r="AZ133" i="2"/>
  <c r="AV262" i="1" s="1"/>
  <c r="AN135" i="2"/>
  <c r="AJ209" i="1" s="1"/>
  <c r="E245" i="1"/>
  <c r="E246" i="1" s="1"/>
  <c r="AO163" i="2"/>
  <c r="AK21" i="1"/>
  <c r="BB84" i="2"/>
  <c r="AX74" i="1" s="1"/>
  <c r="AA84" i="2"/>
  <c r="W62" i="1" s="1"/>
  <c r="AA85" i="2"/>
  <c r="W156" i="1" s="1"/>
  <c r="AR160" i="2"/>
  <c r="AN356" i="1" s="1"/>
  <c r="AH136" i="2"/>
  <c r="AD303" i="1" s="1"/>
  <c r="AH135" i="2"/>
  <c r="AD209" i="1" s="1"/>
  <c r="U82" i="2"/>
  <c r="R109" i="1" s="1"/>
  <c r="BD136" i="2"/>
  <c r="AZ315" i="1" s="1"/>
  <c r="AP160" i="2"/>
  <c r="AL350" i="1" s="1"/>
  <c r="AA163" i="2"/>
  <c r="W15" i="1"/>
  <c r="AL58" i="2"/>
  <c r="AT34" i="2"/>
  <c r="X15" i="1"/>
  <c r="BF33" i="1"/>
  <c r="O84" i="2"/>
  <c r="M56" i="1" s="1"/>
  <c r="O85" i="2"/>
  <c r="M150" i="1" s="1"/>
  <c r="K136" i="2"/>
  <c r="I291" i="1" s="1"/>
  <c r="K135" i="2"/>
  <c r="I197" i="1" s="1"/>
  <c r="I85" i="2"/>
  <c r="G150" i="1" s="1"/>
  <c r="I84" i="2"/>
  <c r="G56" i="1" s="1"/>
  <c r="Q15" i="1"/>
  <c r="AX163" i="2"/>
  <c r="AT27" i="1"/>
  <c r="AI21" i="1"/>
  <c r="I34" i="2"/>
  <c r="AP34" i="2"/>
  <c r="AR85" i="2"/>
  <c r="AN168" i="1" s="1"/>
  <c r="AR84" i="2"/>
  <c r="AN74" i="1" s="1"/>
  <c r="AE84" i="2"/>
  <c r="AA68" i="1" s="1"/>
  <c r="AE85" i="2"/>
  <c r="AA162" i="1" s="1"/>
  <c r="R415" i="1"/>
  <c r="AL70" i="2"/>
  <c r="S133" i="2"/>
  <c r="Q250" i="1" s="1"/>
  <c r="AB160" i="2"/>
  <c r="X344" i="1" s="1"/>
  <c r="AP135" i="2"/>
  <c r="AL209" i="1" s="1"/>
  <c r="AU160" i="2"/>
  <c r="AQ356" i="1" s="1"/>
  <c r="AJ136" i="2"/>
  <c r="AF303" i="1" s="1"/>
  <c r="AV27" i="1"/>
  <c r="N121" i="2"/>
  <c r="BH121" i="2"/>
  <c r="AM85" i="2"/>
  <c r="AI162" i="1" s="1"/>
  <c r="AA136" i="2"/>
  <c r="W297" i="1" s="1"/>
  <c r="N34" i="2"/>
  <c r="AW82" i="2"/>
  <c r="AS121" i="1" s="1"/>
  <c r="AM122" i="1"/>
  <c r="AM123" i="1" s="1"/>
  <c r="Q136" i="2"/>
  <c r="O297" i="1" s="1"/>
  <c r="Q135" i="2"/>
  <c r="O203" i="1" s="1"/>
  <c r="AM357" i="1"/>
  <c r="AM358" i="1" s="1"/>
  <c r="BB133" i="2"/>
  <c r="AX262" i="1" s="1"/>
  <c r="P163" i="2"/>
  <c r="N9" i="1"/>
  <c r="AG34" i="2"/>
  <c r="Y85" i="2"/>
  <c r="U156" i="1" s="1"/>
  <c r="Y84" i="2"/>
  <c r="U62" i="1" s="1"/>
  <c r="AL34" i="2"/>
  <c r="R136" i="2"/>
  <c r="P297" i="1" s="1"/>
  <c r="R135" i="2"/>
  <c r="P203" i="1" s="1"/>
  <c r="F395" i="1"/>
  <c r="G53" i="1"/>
  <c r="G394" i="1" s="1"/>
  <c r="AW84" i="2"/>
  <c r="AS74" i="1" s="1"/>
  <c r="O345" i="1"/>
  <c r="O346" i="1" s="1"/>
  <c r="AY222" i="1"/>
  <c r="AY223" i="1" s="1"/>
  <c r="AX136" i="2"/>
  <c r="AT309" i="1" s="1"/>
  <c r="AX135" i="2"/>
  <c r="AT215" i="1" s="1"/>
  <c r="AY34" i="2"/>
  <c r="AY84" i="2"/>
  <c r="AU74" i="1" s="1"/>
  <c r="AY85" i="2"/>
  <c r="AU168" i="1" s="1"/>
  <c r="W163" i="2"/>
  <c r="S15" i="1"/>
  <c r="AG135" i="2"/>
  <c r="AC209" i="1" s="1"/>
  <c r="AG136" i="2"/>
  <c r="AC303" i="1" s="1"/>
  <c r="BA135" i="2"/>
  <c r="AW215" i="1" s="1"/>
  <c r="BA136" i="2"/>
  <c r="AW309" i="1" s="1"/>
  <c r="H135" i="2"/>
  <c r="F197" i="1" s="1"/>
  <c r="H136" i="2"/>
  <c r="F291" i="1" s="1"/>
  <c r="U121" i="2"/>
  <c r="U135" i="2" s="1"/>
  <c r="R160" i="2"/>
  <c r="P344" i="1" s="1"/>
  <c r="U160" i="2"/>
  <c r="R344" i="1" s="1"/>
  <c r="AC84" i="2"/>
  <c r="Y62" i="1" s="1"/>
  <c r="AC85" i="2"/>
  <c r="Y156" i="1" s="1"/>
  <c r="O110" i="1"/>
  <c r="O111" i="1" s="1"/>
  <c r="V133" i="2"/>
  <c r="R250" i="1" s="1"/>
  <c r="AY136" i="2"/>
  <c r="AU309" i="1" s="1"/>
  <c r="AY135" i="2"/>
  <c r="AU215" i="1" s="1"/>
  <c r="AL109" i="2"/>
  <c r="AF423" i="1"/>
  <c r="N133" i="2"/>
  <c r="L244" i="1" s="1"/>
  <c r="J135" i="2"/>
  <c r="H197" i="1" s="1"/>
  <c r="J136" i="2"/>
  <c r="H291" i="1" s="1"/>
  <c r="BH133" i="2"/>
  <c r="BD268" i="1" s="1"/>
  <c r="AS163" i="2"/>
  <c r="AO27" i="1"/>
  <c r="AE163" i="2"/>
  <c r="AA21" i="1"/>
  <c r="N58" i="2"/>
  <c r="AP84" i="2"/>
  <c r="AL68" i="1" s="1"/>
  <c r="AP85" i="2"/>
  <c r="AL162" i="1" s="1"/>
  <c r="AT109" i="2"/>
  <c r="AF136" i="2"/>
  <c r="AB303" i="1" s="1"/>
  <c r="AF135" i="2"/>
  <c r="AB209" i="1" s="1"/>
  <c r="AI136" i="2"/>
  <c r="AE303" i="1" s="1"/>
  <c r="AI135" i="2"/>
  <c r="AE209" i="1" s="1"/>
  <c r="AA116" i="1"/>
  <c r="AA117" i="1" s="1"/>
  <c r="R84" i="2"/>
  <c r="P62" i="1" s="1"/>
  <c r="R85" i="2"/>
  <c r="P156" i="1" s="1"/>
  <c r="BD163" i="2"/>
  <c r="AZ33" i="1"/>
  <c r="AU34" i="2"/>
  <c r="E10" i="1"/>
  <c r="E11" i="1" s="1"/>
  <c r="Y163" i="2"/>
  <c r="U15" i="1"/>
  <c r="I136" i="2"/>
  <c r="G291" i="1" s="1"/>
  <c r="AF163" i="2"/>
  <c r="AB21" i="1"/>
  <c r="H194" i="1"/>
  <c r="H195" i="1" s="1"/>
  <c r="AS27" i="1"/>
  <c r="BG84" i="2"/>
  <c r="BC80" i="1" s="1"/>
  <c r="BG85" i="2"/>
  <c r="BC174" i="1" s="1"/>
  <c r="T136" i="2"/>
  <c r="T135" i="2"/>
  <c r="BK135" i="2"/>
  <c r="BF221" i="1" s="1"/>
  <c r="BK136" i="2"/>
  <c r="AC135" i="2"/>
  <c r="Y203" i="1" s="1"/>
  <c r="AC136" i="2"/>
  <c r="Y297" i="1" s="1"/>
  <c r="K84" i="2"/>
  <c r="I56" i="1" s="1"/>
  <c r="K85" i="2"/>
  <c r="I150" i="1" s="1"/>
  <c r="E198" i="1"/>
  <c r="E199" i="1"/>
  <c r="AQ163" i="2"/>
  <c r="AM27" i="1"/>
  <c r="BK58" i="2"/>
  <c r="X163" i="2" l="1"/>
  <c r="AK135" i="2"/>
  <c r="AG209" i="1" s="1"/>
  <c r="AJ163" i="2"/>
  <c r="BF315" i="1"/>
  <c r="S84" i="2"/>
  <c r="Q62" i="1" s="1"/>
  <c r="N136" i="2"/>
  <c r="L291" i="1" s="1"/>
  <c r="AW163" i="2"/>
  <c r="K163" i="2"/>
  <c r="BE221" i="1"/>
  <c r="AH412" i="1"/>
  <c r="AH18" i="1" s="1"/>
  <c r="AH415" i="1"/>
  <c r="AH206" i="1" s="1"/>
  <c r="BF431" i="1"/>
  <c r="BF218" i="1" s="1"/>
  <c r="AT423" i="1"/>
  <c r="BF429" i="1"/>
  <c r="V136" i="2"/>
  <c r="AH414" i="1"/>
  <c r="AH112" i="1" s="1"/>
  <c r="BF433" i="1"/>
  <c r="BF359" i="1" s="1"/>
  <c r="U136" i="2"/>
  <c r="R297" i="1" s="1"/>
  <c r="AH416" i="1"/>
  <c r="AH253" i="1" s="1"/>
  <c r="BG135" i="2"/>
  <c r="BC221" i="1" s="1"/>
  <c r="BG136" i="2"/>
  <c r="BC315" i="1" s="1"/>
  <c r="L85" i="2"/>
  <c r="J150" i="1" s="1"/>
  <c r="L84" i="2"/>
  <c r="J56" i="1" s="1"/>
  <c r="AN163" i="2"/>
  <c r="AR136" i="2"/>
  <c r="AN309" i="1" s="1"/>
  <c r="R203" i="1"/>
  <c r="AT84" i="2"/>
  <c r="AP74" i="1" s="1"/>
  <c r="BF430" i="1"/>
  <c r="BF124" i="1" s="1"/>
  <c r="V163" i="2"/>
  <c r="BG163" i="2"/>
  <c r="AN136" i="2"/>
  <c r="AJ303" i="1" s="1"/>
  <c r="BH135" i="2"/>
  <c r="BD221" i="1" s="1"/>
  <c r="AT422" i="1"/>
  <c r="AT118" i="1" s="1"/>
  <c r="X136" i="2"/>
  <c r="T297" i="1" s="1"/>
  <c r="AT212" i="1"/>
  <c r="AN357" i="1"/>
  <c r="AN358" i="1" s="1"/>
  <c r="AZ316" i="1"/>
  <c r="AZ317" i="1" s="1"/>
  <c r="K288" i="1"/>
  <c r="K289" i="1" s="1"/>
  <c r="J100" i="1"/>
  <c r="J101" i="1" s="1"/>
  <c r="J335" i="1"/>
  <c r="J336" i="1" s="1"/>
  <c r="I194" i="1"/>
  <c r="I195" i="1" s="1"/>
  <c r="F10" i="1"/>
  <c r="F11" i="1" s="1"/>
  <c r="AN263" i="1"/>
  <c r="AN264" i="1" s="1"/>
  <c r="AZ363" i="1"/>
  <c r="AZ364" i="1" s="1"/>
  <c r="AB210" i="1"/>
  <c r="AB211" i="1" s="1"/>
  <c r="AB351" i="1"/>
  <c r="AB352" i="1" s="1"/>
  <c r="G104" i="1"/>
  <c r="G105" i="1" s="1"/>
  <c r="AZ128" i="1"/>
  <c r="AZ129" i="1" s="1"/>
  <c r="AN216" i="1"/>
  <c r="AN217" i="1" s="1"/>
  <c r="AB304" i="1"/>
  <c r="AB305" i="1" s="1"/>
  <c r="P110" i="1"/>
  <c r="P111" i="1" s="1"/>
  <c r="AL135" i="2"/>
  <c r="AH209" i="1" s="1"/>
  <c r="AL136" i="2"/>
  <c r="AH303" i="1" s="1"/>
  <c r="AZ222" i="1"/>
  <c r="AZ223" i="1" s="1"/>
  <c r="AT424" i="1"/>
  <c r="AT259" i="1" s="1"/>
  <c r="AM28" i="1"/>
  <c r="AM29" i="1" s="1"/>
  <c r="AT135" i="2"/>
  <c r="AP215" i="1" s="1"/>
  <c r="AT136" i="2"/>
  <c r="AP309" i="1" s="1"/>
  <c r="BH136" i="2"/>
  <c r="BD315" i="1" s="1"/>
  <c r="U84" i="2"/>
  <c r="R62" i="1" s="1"/>
  <c r="U85" i="2"/>
  <c r="R156" i="1" s="1"/>
  <c r="F339" i="1"/>
  <c r="F340" i="1" s="1"/>
  <c r="U163" i="2"/>
  <c r="R15" i="1"/>
  <c r="Q163" i="2"/>
  <c r="O15" i="1"/>
  <c r="AH417" i="1"/>
  <c r="AH347" i="1" s="1"/>
  <c r="AM310" i="1"/>
  <c r="AM311" i="1" s="1"/>
  <c r="BF432" i="1"/>
  <c r="BF265" i="1" s="1"/>
  <c r="J147" i="1"/>
  <c r="J148" i="1" s="1"/>
  <c r="AU163" i="2"/>
  <c r="AQ27" i="1"/>
  <c r="AP163" i="2"/>
  <c r="AL21" i="1"/>
  <c r="AB116" i="1"/>
  <c r="AB117" i="1" s="1"/>
  <c r="AG163" i="2"/>
  <c r="AC21" i="1"/>
  <c r="AM163" i="2"/>
  <c r="BB163" i="2"/>
  <c r="AX27" i="1"/>
  <c r="E151" i="1"/>
  <c r="E152" i="1" s="1"/>
  <c r="O63" i="1"/>
  <c r="O64" i="1" s="1"/>
  <c r="AV163" i="2"/>
  <c r="AR27" i="1"/>
  <c r="O204" i="1"/>
  <c r="O205" i="1" s="1"/>
  <c r="AA163" i="1"/>
  <c r="AA164" i="1" s="1"/>
  <c r="AB257" i="1"/>
  <c r="AB258" i="1" s="1"/>
  <c r="E57" i="1"/>
  <c r="E58" i="1" s="1"/>
  <c r="O157" i="1"/>
  <c r="O158" i="1" s="1"/>
  <c r="AD136" i="2"/>
  <c r="Z297" i="1" s="1"/>
  <c r="AD135" i="2"/>
  <c r="Z203" i="1" s="1"/>
  <c r="S136" i="2"/>
  <c r="Q297" i="1" s="1"/>
  <c r="S135" i="2"/>
  <c r="Q203" i="1" s="1"/>
  <c r="AZ136" i="2"/>
  <c r="AV309" i="1" s="1"/>
  <c r="AZ135" i="2"/>
  <c r="AV215" i="1" s="1"/>
  <c r="K382" i="1"/>
  <c r="K383" i="1"/>
  <c r="AT421" i="1"/>
  <c r="AH413" i="1"/>
  <c r="AT425" i="1"/>
  <c r="AT353" i="1" s="1"/>
  <c r="F198" i="1"/>
  <c r="F199" i="1" s="1"/>
  <c r="N85" i="2"/>
  <c r="L150" i="1" s="1"/>
  <c r="N84" i="2"/>
  <c r="L56" i="1" s="1"/>
  <c r="AL163" i="2"/>
  <c r="AH21" i="1"/>
  <c r="O298" i="1"/>
  <c r="O299" i="1" s="1"/>
  <c r="AA69" i="1"/>
  <c r="AA70" i="1" s="1"/>
  <c r="AB163" i="2"/>
  <c r="F245" i="1"/>
  <c r="F246" i="1" s="1"/>
  <c r="AA22" i="1"/>
  <c r="AA23" i="1" s="1"/>
  <c r="AY163" i="2"/>
  <c r="AU27" i="1"/>
  <c r="AW85" i="2"/>
  <c r="AS168" i="1" s="1"/>
  <c r="AT163" i="2"/>
  <c r="AP27" i="1"/>
  <c r="BA163" i="2"/>
  <c r="AW27" i="1"/>
  <c r="R163" i="2"/>
  <c r="AM169" i="1"/>
  <c r="AM170" i="1" s="1"/>
  <c r="AZ269" i="1"/>
  <c r="AZ270" i="1" s="1"/>
  <c r="G54" i="1"/>
  <c r="AN122" i="1"/>
  <c r="AN123" i="1" s="1"/>
  <c r="AZ163" i="2"/>
  <c r="S163" i="2"/>
  <c r="AL85" i="2"/>
  <c r="AH162" i="1" s="1"/>
  <c r="AL84" i="2"/>
  <c r="AH68" i="1" s="1"/>
  <c r="AD163" i="2"/>
  <c r="Z15" i="1"/>
  <c r="AM75" i="1"/>
  <c r="AM76" i="1" s="1"/>
  <c r="BB135" i="2"/>
  <c r="AX215" i="1" s="1"/>
  <c r="BB136" i="2"/>
  <c r="AX309" i="1" s="1"/>
  <c r="BI163" i="2"/>
  <c r="BE33" i="1"/>
  <c r="P251" i="1"/>
  <c r="P252" i="1" s="1"/>
  <c r="BF428" i="1"/>
  <c r="BF30" i="1" s="1"/>
  <c r="F292" i="1"/>
  <c r="F293" i="1" s="1"/>
  <c r="AT420" i="1"/>
  <c r="AT24" i="1" s="1"/>
  <c r="I241" i="1"/>
  <c r="I242" i="1" s="1"/>
  <c r="BH163" i="2"/>
  <c r="AY175" i="1"/>
  <c r="AY176" i="1" s="1"/>
  <c r="AY34" i="1"/>
  <c r="AY35" i="1" s="1"/>
  <c r="BF77" i="1"/>
  <c r="N135" i="2"/>
  <c r="L197" i="1" s="1"/>
  <c r="BK84" i="2"/>
  <c r="BF80" i="1" s="1"/>
  <c r="BK85" i="2"/>
  <c r="BF174" i="1" s="1"/>
  <c r="P345" i="1"/>
  <c r="P346" i="1" s="1"/>
  <c r="N163" i="2"/>
  <c r="L9" i="1"/>
  <c r="AJ135" i="2"/>
  <c r="AF209" i="1" s="1"/>
  <c r="I163" i="2"/>
  <c r="G9" i="1"/>
  <c r="BK163" i="2"/>
  <c r="AC163" i="2"/>
  <c r="Y15" i="1"/>
  <c r="AR163" i="2"/>
  <c r="AY81" i="1"/>
  <c r="AY82" i="1" s="1"/>
  <c r="BF171" i="1" l="1"/>
  <c r="BF312" i="1"/>
  <c r="AH300" i="1"/>
  <c r="J194" i="1"/>
  <c r="J195" i="1" s="1"/>
  <c r="AB163" i="1"/>
  <c r="AB164" i="1"/>
  <c r="AN310" i="1"/>
  <c r="AN311" i="1" s="1"/>
  <c r="BA269" i="1"/>
  <c r="BA270" i="1" s="1"/>
  <c r="Q110" i="1"/>
  <c r="Q111" i="1" s="1"/>
  <c r="BA363" i="1"/>
  <c r="BA364" i="1" s="1"/>
  <c r="K100" i="1"/>
  <c r="K101" i="1" s="1"/>
  <c r="AN169" i="1"/>
  <c r="AN170" i="1" s="1"/>
  <c r="BA222" i="1"/>
  <c r="BA223" i="1" s="1"/>
  <c r="AZ175" i="1"/>
  <c r="AZ176" i="1" s="1"/>
  <c r="G245" i="1"/>
  <c r="G246" i="1" s="1"/>
  <c r="P157" i="1"/>
  <c r="P158" i="1" s="1"/>
  <c r="AO263" i="1"/>
  <c r="AO264" i="1" s="1"/>
  <c r="F57" i="1"/>
  <c r="F58" i="1" s="1"/>
  <c r="G198" i="1"/>
  <c r="G199" i="1" s="1"/>
  <c r="AC257" i="1"/>
  <c r="AC258" i="1" s="1"/>
  <c r="AC116" i="1"/>
  <c r="AC117" i="1" s="1"/>
  <c r="BA316" i="1"/>
  <c r="BA317" i="1" s="1"/>
  <c r="AN75" i="1"/>
  <c r="AN76" i="1" s="1"/>
  <c r="AO357" i="1"/>
  <c r="AO358" i="1" s="1"/>
  <c r="Q251" i="1"/>
  <c r="Q252" i="1" s="1"/>
  <c r="AO216" i="1"/>
  <c r="AO217" i="1" s="1"/>
  <c r="AT71" i="1"/>
  <c r="AT165" i="1"/>
  <c r="O16" i="1"/>
  <c r="O17" i="1" s="1"/>
  <c r="G292" i="1"/>
  <c r="G293" i="1" s="1"/>
  <c r="AO122" i="1"/>
  <c r="AO123" i="1" s="1"/>
  <c r="H104" i="1"/>
  <c r="H105" i="1" s="1"/>
  <c r="L288" i="1"/>
  <c r="L289" i="1" s="1"/>
  <c r="AA387" i="1"/>
  <c r="AB22" i="1"/>
  <c r="AB23" i="1" s="1"/>
  <c r="AB69" i="1"/>
  <c r="AB70" i="1" s="1"/>
  <c r="K147" i="1"/>
  <c r="K148" i="1" s="1"/>
  <c r="AC351" i="1"/>
  <c r="AC352" i="1" s="1"/>
  <c r="K335" i="1"/>
  <c r="K336" i="1" s="1"/>
  <c r="G395" i="1"/>
  <c r="H53" i="1"/>
  <c r="H394" i="1" s="1"/>
  <c r="AZ81" i="1"/>
  <c r="AZ82" i="1" s="1"/>
  <c r="J241" i="1"/>
  <c r="J242" i="1" s="1"/>
  <c r="P298" i="1"/>
  <c r="P299" i="1" s="1"/>
  <c r="L382" i="1"/>
  <c r="L383" i="1" s="1"/>
  <c r="P63" i="1"/>
  <c r="P64" i="1" s="1"/>
  <c r="P204" i="1"/>
  <c r="P205" i="1" s="1"/>
  <c r="F151" i="1"/>
  <c r="F152" i="1" s="1"/>
  <c r="G339" i="1"/>
  <c r="G340" i="1" s="1"/>
  <c r="AM388" i="1"/>
  <c r="AN28" i="1"/>
  <c r="AN29" i="1" s="1"/>
  <c r="AC304" i="1"/>
  <c r="AC305" i="1" s="1"/>
  <c r="BA128" i="1"/>
  <c r="BA129" i="1" s="1"/>
  <c r="AC210" i="1"/>
  <c r="AC211" i="1" s="1"/>
  <c r="G10" i="1"/>
  <c r="G11" i="1" s="1"/>
  <c r="Q345" i="1"/>
  <c r="Q346" i="1" s="1"/>
  <c r="AZ34" i="1"/>
  <c r="AZ35" i="1" s="1"/>
  <c r="AY389" i="1"/>
  <c r="AH159" i="1"/>
  <c r="AH65" i="1"/>
  <c r="E385" i="1"/>
  <c r="AT306" i="1"/>
  <c r="BB128" i="1" l="1"/>
  <c r="BB129" i="1" s="1"/>
  <c r="Q204" i="1"/>
  <c r="Q205" i="1" s="1"/>
  <c r="AB387" i="1"/>
  <c r="AC22" i="1"/>
  <c r="AC23" i="1" s="1"/>
  <c r="H245" i="1"/>
  <c r="H246" i="1" s="1"/>
  <c r="AO310" i="1"/>
  <c r="AO311" i="1" s="1"/>
  <c r="BB363" i="1"/>
  <c r="BB364" i="1" s="1"/>
  <c r="Q157" i="1"/>
  <c r="Q158" i="1" s="1"/>
  <c r="M288" i="1"/>
  <c r="M289" i="1" s="1"/>
  <c r="Q298" i="1"/>
  <c r="Q299" i="1" s="1"/>
  <c r="AZ389" i="1"/>
  <c r="BA34" i="1"/>
  <c r="BA35" i="1" s="1"/>
  <c r="L100" i="1"/>
  <c r="L101" i="1" s="1"/>
  <c r="AO28" i="1"/>
  <c r="AO29" i="1" s="1"/>
  <c r="AN388" i="1"/>
  <c r="AD116" i="1"/>
  <c r="AD117" i="1" s="1"/>
  <c r="H10" i="1"/>
  <c r="H11" i="1" s="1"/>
  <c r="H339" i="1"/>
  <c r="H340" i="1" s="1"/>
  <c r="BB222" i="1"/>
  <c r="BB223" i="1" s="1"/>
  <c r="M382" i="1"/>
  <c r="M383" i="1" s="1"/>
  <c r="AP216" i="1"/>
  <c r="AP217" i="1" s="1"/>
  <c r="H198" i="1"/>
  <c r="H199" i="1" s="1"/>
  <c r="BB269" i="1"/>
  <c r="BB270" i="1" s="1"/>
  <c r="H54" i="1"/>
  <c r="AP122" i="1"/>
  <c r="AP123" i="1" s="1"/>
  <c r="O386" i="1"/>
  <c r="P16" i="1"/>
  <c r="P17" i="1" s="1"/>
  <c r="AP357" i="1"/>
  <c r="AP358" i="1" s="1"/>
  <c r="AD257" i="1"/>
  <c r="AD258" i="1" s="1"/>
  <c r="G57" i="1"/>
  <c r="G58" i="1" s="1"/>
  <c r="AD210" i="1"/>
  <c r="AD211" i="1" s="1"/>
  <c r="K241" i="1"/>
  <c r="K242" i="1" s="1"/>
  <c r="L147" i="1"/>
  <c r="L148" i="1" s="1"/>
  <c r="AO75" i="1"/>
  <c r="AO76" i="1" s="1"/>
  <c r="AC163" i="1"/>
  <c r="AC164" i="1" s="1"/>
  <c r="Q63" i="1"/>
  <c r="Q64" i="1" s="1"/>
  <c r="I104" i="1"/>
  <c r="I105" i="1" s="1"/>
  <c r="AD304" i="1"/>
  <c r="AD305" i="1" s="1"/>
  <c r="G151" i="1"/>
  <c r="G152" i="1" s="1"/>
  <c r="BA81" i="1"/>
  <c r="BA82" i="1" s="1"/>
  <c r="L335" i="1"/>
  <c r="L336" i="1" s="1"/>
  <c r="AC69" i="1"/>
  <c r="AC70" i="1" s="1"/>
  <c r="BB316" i="1"/>
  <c r="BB317" i="1" s="1"/>
  <c r="AP263" i="1"/>
  <c r="AP264" i="1" s="1"/>
  <c r="BA175" i="1"/>
  <c r="BA176" i="1" s="1"/>
  <c r="AO169" i="1"/>
  <c r="AO170" i="1" s="1"/>
  <c r="H292" i="1"/>
  <c r="H293" i="1" s="1"/>
  <c r="R110" i="1"/>
  <c r="R111" i="1" s="1"/>
  <c r="R345" i="1"/>
  <c r="R346" i="1" s="1"/>
  <c r="AD351" i="1"/>
  <c r="AD352" i="1" s="1"/>
  <c r="R251" i="1"/>
  <c r="R252" i="1" s="1"/>
  <c r="K194" i="1"/>
  <c r="K195" i="1" s="1"/>
  <c r="F385" i="1"/>
  <c r="BB175" i="1" l="1"/>
  <c r="BB176" i="1" s="1"/>
  <c r="BC269" i="1"/>
  <c r="BC270" i="1" s="1"/>
  <c r="BC316" i="1"/>
  <c r="BC317" i="1" s="1"/>
  <c r="AD163" i="1"/>
  <c r="AD164" i="1" s="1"/>
  <c r="I198" i="1"/>
  <c r="I199" i="1" s="1"/>
  <c r="BC222" i="1"/>
  <c r="BC223" i="1" s="1"/>
  <c r="H57" i="1"/>
  <c r="H58" i="1" s="1"/>
  <c r="I339" i="1"/>
  <c r="I340" i="1" s="1"/>
  <c r="I10" i="1"/>
  <c r="I11" i="1" s="1"/>
  <c r="AD69" i="1"/>
  <c r="AD70" i="1" s="1"/>
  <c r="AE116" i="1"/>
  <c r="AE117" i="1" s="1"/>
  <c r="L194" i="1"/>
  <c r="L195" i="1" s="1"/>
  <c r="M335" i="1"/>
  <c r="M336" i="1" s="1"/>
  <c r="R204" i="1"/>
  <c r="R205" i="1" s="1"/>
  <c r="I292" i="1"/>
  <c r="I293" i="1" s="1"/>
  <c r="S251" i="1"/>
  <c r="S252" i="1" s="1"/>
  <c r="J104" i="1"/>
  <c r="J105" i="1" s="1"/>
  <c r="AQ357" i="1"/>
  <c r="AQ358" i="1" s="1"/>
  <c r="BC128" i="1"/>
  <c r="BC129" i="1" s="1"/>
  <c r="S345" i="1"/>
  <c r="S346" i="1" s="1"/>
  <c r="N288" i="1"/>
  <c r="N289" i="1" s="1"/>
  <c r="S110" i="1"/>
  <c r="S111" i="1" s="1"/>
  <c r="AQ263" i="1"/>
  <c r="AQ264" i="1" s="1"/>
  <c r="R63" i="1"/>
  <c r="R64" i="1" s="1"/>
  <c r="R157" i="1"/>
  <c r="R158" i="1" s="1"/>
  <c r="M100" i="1"/>
  <c r="M101" i="1" s="1"/>
  <c r="AC387" i="1"/>
  <c r="AD22" i="1"/>
  <c r="AD23" i="1" s="1"/>
  <c r="AE351" i="1"/>
  <c r="AE352" i="1" s="1"/>
  <c r="N382" i="1"/>
  <c r="N383" i="1" s="1"/>
  <c r="BA389" i="1"/>
  <c r="BB34" i="1"/>
  <c r="BB35" i="1" s="1"/>
  <c r="H151" i="1"/>
  <c r="H152" i="1" s="1"/>
  <c r="H385" i="1" s="1"/>
  <c r="AE304" i="1"/>
  <c r="AE305" i="1" s="1"/>
  <c r="AE210" i="1"/>
  <c r="AE211" i="1" s="1"/>
  <c r="P386" i="1"/>
  <c r="Q16" i="1"/>
  <c r="Q17" i="1" s="1"/>
  <c r="BC363" i="1"/>
  <c r="BC364" i="1" s="1"/>
  <c r="BB81" i="1"/>
  <c r="BB82" i="1" s="1"/>
  <c r="AP310" i="1"/>
  <c r="AP311" i="1" s="1"/>
  <c r="AP169" i="1"/>
  <c r="AP170" i="1" s="1"/>
  <c r="M147" i="1"/>
  <c r="M148" i="1" s="1"/>
  <c r="AE257" i="1"/>
  <c r="AE258" i="1" s="1"/>
  <c r="AQ122" i="1"/>
  <c r="AQ123" i="1" s="1"/>
  <c r="I245" i="1"/>
  <c r="I246" i="1" s="1"/>
  <c r="AP75" i="1"/>
  <c r="AP76" i="1" s="1"/>
  <c r="AO388" i="1"/>
  <c r="AP28" i="1"/>
  <c r="AP29" i="1"/>
  <c r="R298" i="1"/>
  <c r="R299" i="1" s="1"/>
  <c r="H395" i="1"/>
  <c r="I53" i="1"/>
  <c r="I394" i="1" s="1"/>
  <c r="L241" i="1"/>
  <c r="L242" i="1" s="1"/>
  <c r="AQ216" i="1"/>
  <c r="AQ217" i="1" s="1"/>
  <c r="G385" i="1"/>
  <c r="I54" i="1" l="1"/>
  <c r="J53" i="1" s="1"/>
  <c r="J394" i="1" s="1"/>
  <c r="N100" i="1"/>
  <c r="N101" i="1" s="1"/>
  <c r="AF116" i="1"/>
  <c r="AF117" i="1" s="1"/>
  <c r="J198" i="1"/>
  <c r="J199" i="1" s="1"/>
  <c r="AE163" i="1"/>
  <c r="AE164" i="1"/>
  <c r="M194" i="1"/>
  <c r="M195" i="1" s="1"/>
  <c r="AR216" i="1"/>
  <c r="AR217" i="1" s="1"/>
  <c r="AQ310" i="1"/>
  <c r="AQ311" i="1" s="1"/>
  <c r="BB389" i="1"/>
  <c r="BC34" i="1"/>
  <c r="BC35" i="1" s="1"/>
  <c r="BD316" i="1"/>
  <c r="BD317" i="1" s="1"/>
  <c r="S298" i="1"/>
  <c r="S299" i="1" s="1"/>
  <c r="Q386" i="1"/>
  <c r="R16" i="1"/>
  <c r="R17" i="1" s="1"/>
  <c r="T110" i="1"/>
  <c r="T111" i="1" s="1"/>
  <c r="AR357" i="1"/>
  <c r="AR358" i="1" s="1"/>
  <c r="AE69" i="1"/>
  <c r="AE70" i="1" s="1"/>
  <c r="I57" i="1"/>
  <c r="I58" i="1" s="1"/>
  <c r="S157" i="1"/>
  <c r="S158" i="1" s="1"/>
  <c r="K104" i="1"/>
  <c r="K105" i="1" s="1"/>
  <c r="N147" i="1"/>
  <c r="N148" i="1" s="1"/>
  <c r="AF210" i="1"/>
  <c r="AF211" i="1" s="1"/>
  <c r="AF351" i="1"/>
  <c r="AF352" i="1" s="1"/>
  <c r="T251" i="1"/>
  <c r="T252" i="1" s="1"/>
  <c r="AD387" i="1"/>
  <c r="AE22" i="1"/>
  <c r="AE23" i="1" s="1"/>
  <c r="S63" i="1"/>
  <c r="S64" i="1" s="1"/>
  <c r="J10" i="1"/>
  <c r="J11" i="1" s="1"/>
  <c r="M241" i="1"/>
  <c r="M242" i="1" s="1"/>
  <c r="BD363" i="1"/>
  <c r="BD364" i="1" s="1"/>
  <c r="AR263" i="1"/>
  <c r="AR264" i="1"/>
  <c r="S204" i="1"/>
  <c r="S205" i="1" s="1"/>
  <c r="AF257" i="1"/>
  <c r="AF258" i="1" s="1"/>
  <c r="AQ75" i="1"/>
  <c r="AQ76" i="1" s="1"/>
  <c r="T345" i="1"/>
  <c r="T346" i="1" s="1"/>
  <c r="AQ169" i="1"/>
  <c r="AQ170" i="1" s="1"/>
  <c r="AF304" i="1"/>
  <c r="AF305" i="1" s="1"/>
  <c r="J245" i="1"/>
  <c r="J246" i="1" s="1"/>
  <c r="I151" i="1"/>
  <c r="I152" i="1" s="1"/>
  <c r="BD128" i="1"/>
  <c r="BD129" i="1" s="1"/>
  <c r="BD222" i="1"/>
  <c r="BD223" i="1" s="1"/>
  <c r="BD269" i="1"/>
  <c r="BD270" i="1" s="1"/>
  <c r="N335" i="1"/>
  <c r="N336" i="1" s="1"/>
  <c r="BC81" i="1"/>
  <c r="BC82" i="1" s="1"/>
  <c r="AP388" i="1"/>
  <c r="AQ28" i="1"/>
  <c r="AQ29" i="1" s="1"/>
  <c r="AR122" i="1"/>
  <c r="AR123" i="1" s="1"/>
  <c r="J292" i="1"/>
  <c r="J293" i="1" s="1"/>
  <c r="J339" i="1"/>
  <c r="J340" i="1" s="1"/>
  <c r="BC175" i="1"/>
  <c r="BC176" i="1" s="1"/>
  <c r="I395" i="1" l="1"/>
  <c r="U345" i="1"/>
  <c r="U346" i="1" s="1"/>
  <c r="U110" i="1"/>
  <c r="U111" i="1" s="1"/>
  <c r="J151" i="1"/>
  <c r="J152" i="1" s="1"/>
  <c r="J385" i="1" s="1"/>
  <c r="I385" i="1"/>
  <c r="R386" i="1"/>
  <c r="S16" i="1"/>
  <c r="S17" i="1" s="1"/>
  <c r="BD175" i="1"/>
  <c r="BD176" i="1" s="1"/>
  <c r="BD81" i="1"/>
  <c r="BD82" i="1" s="1"/>
  <c r="K245" i="1"/>
  <c r="K246" i="1" s="1"/>
  <c r="N241" i="1"/>
  <c r="N242" i="1" s="1"/>
  <c r="BE316" i="1"/>
  <c r="BE317" i="1" s="1"/>
  <c r="AS216" i="1"/>
  <c r="AS217" i="1" s="1"/>
  <c r="AG116" i="1"/>
  <c r="AG117" i="1" s="1"/>
  <c r="K292" i="1"/>
  <c r="K293" i="1" s="1"/>
  <c r="AG304" i="1"/>
  <c r="AG305" i="1" s="1"/>
  <c r="AG257" i="1"/>
  <c r="AG258" i="1" s="1"/>
  <c r="K339" i="1"/>
  <c r="K340" i="1" s="1"/>
  <c r="T298" i="1"/>
  <c r="T299" i="1" s="1"/>
  <c r="AR169" i="1"/>
  <c r="AR170" i="1" s="1"/>
  <c r="L104" i="1"/>
  <c r="L105" i="1" s="1"/>
  <c r="AS357" i="1"/>
  <c r="AS358" i="1" s="1"/>
  <c r="T63" i="1"/>
  <c r="T64" i="1" s="1"/>
  <c r="BE128" i="1"/>
  <c r="BE129" i="1" s="1"/>
  <c r="T157" i="1"/>
  <c r="T158" i="1" s="1"/>
  <c r="AS263" i="1"/>
  <c r="AS264" i="1" s="1"/>
  <c r="AG210" i="1"/>
  <c r="AG211" i="1" s="1"/>
  <c r="BE269" i="1"/>
  <c r="BE270" i="1" s="1"/>
  <c r="AQ388" i="1"/>
  <c r="AR28" i="1"/>
  <c r="AR29" i="1" s="1"/>
  <c r="AF69" i="1"/>
  <c r="AF70" i="1" s="1"/>
  <c r="BE363" i="1"/>
  <c r="BE364" i="1" s="1"/>
  <c r="BC389" i="1"/>
  <c r="BD34" i="1"/>
  <c r="BD35" i="1" s="1"/>
  <c r="N194" i="1"/>
  <c r="N195" i="1" s="1"/>
  <c r="BE222" i="1"/>
  <c r="BE223" i="1" s="1"/>
  <c r="AF163" i="1"/>
  <c r="AF164" i="1" s="1"/>
  <c r="AS122" i="1"/>
  <c r="AS123" i="1" s="1"/>
  <c r="T204" i="1"/>
  <c r="T205" i="1" s="1"/>
  <c r="K10" i="1"/>
  <c r="K11" i="1" s="1"/>
  <c r="AF22" i="1"/>
  <c r="AF23" i="1" s="1"/>
  <c r="AE387" i="1"/>
  <c r="AG351" i="1"/>
  <c r="AG352" i="1" s="1"/>
  <c r="J57" i="1"/>
  <c r="J58" i="1" s="1"/>
  <c r="K198" i="1"/>
  <c r="K199" i="1" s="1"/>
  <c r="AR310" i="1"/>
  <c r="AR311" i="1" s="1"/>
  <c r="AR75" i="1"/>
  <c r="AR76" i="1" s="1"/>
  <c r="U251" i="1"/>
  <c r="U252" i="1" s="1"/>
  <c r="J54" i="1"/>
  <c r="BF222" i="1" l="1"/>
  <c r="BF223" i="1" s="1"/>
  <c r="BF363" i="1"/>
  <c r="BF364" i="1" s="1"/>
  <c r="V251" i="1"/>
  <c r="V252" i="1" s="1"/>
  <c r="AH304" i="1"/>
  <c r="AH305" i="1" s="1"/>
  <c r="U204" i="1"/>
  <c r="U205" i="1" s="1"/>
  <c r="AS169" i="1"/>
  <c r="AS170" i="1" s="1"/>
  <c r="L292" i="1"/>
  <c r="L293" i="1" s="1"/>
  <c r="L245" i="1"/>
  <c r="L246" i="1" s="1"/>
  <c r="AT122" i="1"/>
  <c r="AT123" i="1" s="1"/>
  <c r="BE81" i="1"/>
  <c r="BE82" i="1" s="1"/>
  <c r="AS310" i="1"/>
  <c r="AS311" i="1" s="1"/>
  <c r="BF269" i="1"/>
  <c r="BF270" i="1" s="1"/>
  <c r="L339" i="1"/>
  <c r="L340" i="1" s="1"/>
  <c r="V110" i="1"/>
  <c r="V111" i="1" s="1"/>
  <c r="L198" i="1"/>
  <c r="L199" i="1" s="1"/>
  <c r="AT263" i="1"/>
  <c r="AT264" i="1" s="1"/>
  <c r="AT357" i="1"/>
  <c r="AT358" i="1" s="1"/>
  <c r="AG69" i="1"/>
  <c r="AG70" i="1" s="1"/>
  <c r="AH257" i="1"/>
  <c r="AH258" i="1" s="1"/>
  <c r="AT216" i="1"/>
  <c r="AT217" i="1" s="1"/>
  <c r="L10" i="1"/>
  <c r="L11" i="1" s="1"/>
  <c r="AS75" i="1"/>
  <c r="AS76" i="1" s="1"/>
  <c r="K57" i="1"/>
  <c r="K58" i="1" s="1"/>
  <c r="U157" i="1"/>
  <c r="U158" i="1" s="1"/>
  <c r="BD389" i="1"/>
  <c r="BE34" i="1"/>
  <c r="BE35" i="1" s="1"/>
  <c r="M104" i="1"/>
  <c r="M105" i="1" s="1"/>
  <c r="BF316" i="1"/>
  <c r="BF317" i="1" s="1"/>
  <c r="BE175" i="1"/>
  <c r="BE176" i="1" s="1"/>
  <c r="K151" i="1"/>
  <c r="K152" i="1" s="1"/>
  <c r="U298" i="1"/>
  <c r="U299" i="1" s="1"/>
  <c r="AF387" i="1"/>
  <c r="AG22" i="1"/>
  <c r="AG23" i="1" s="1"/>
  <c r="AH351" i="1"/>
  <c r="AH352" i="1" s="1"/>
  <c r="AH116" i="1"/>
  <c r="AH117" i="1" s="1"/>
  <c r="S386" i="1"/>
  <c r="T16" i="1"/>
  <c r="T17" i="1" s="1"/>
  <c r="J395" i="1"/>
  <c r="K53" i="1"/>
  <c r="K394" i="1" s="1"/>
  <c r="BF128" i="1"/>
  <c r="BF129" i="1" s="1"/>
  <c r="AR388" i="1"/>
  <c r="AS28" i="1"/>
  <c r="AS29" i="1" s="1"/>
  <c r="U63" i="1"/>
  <c r="U64" i="1" s="1"/>
  <c r="AG163" i="1"/>
  <c r="AG164" i="1" s="1"/>
  <c r="AH210" i="1"/>
  <c r="AH211" i="1" s="1"/>
  <c r="V345" i="1"/>
  <c r="V346" i="1" s="1"/>
  <c r="AG387" i="1" l="1"/>
  <c r="AH22" i="1"/>
  <c r="AH23" i="1" s="1"/>
  <c r="AU216" i="1"/>
  <c r="AU217" i="1" s="1"/>
  <c r="M245" i="1"/>
  <c r="M246" i="1" s="1"/>
  <c r="V298" i="1"/>
  <c r="V299" i="1" s="1"/>
  <c r="BG269" i="1"/>
  <c r="BG270" i="1" s="1"/>
  <c r="N104" i="1"/>
  <c r="N105" i="1" s="1"/>
  <c r="O105" i="1" s="1"/>
  <c r="M198" i="1"/>
  <c r="M199" i="1" s="1"/>
  <c r="AT310" i="1"/>
  <c r="AT311" i="1" s="1"/>
  <c r="AT169" i="1"/>
  <c r="AT170" i="1" s="1"/>
  <c r="AH163" i="1"/>
  <c r="AH164" i="1" s="1"/>
  <c r="L151" i="1"/>
  <c r="L152" i="1" s="1"/>
  <c r="K385" i="1"/>
  <c r="AT75" i="1"/>
  <c r="AT76" i="1" s="1"/>
  <c r="V63" i="1"/>
  <c r="V64" i="1" s="1"/>
  <c r="BF175" i="1"/>
  <c r="BF176" i="1" s="1"/>
  <c r="W110" i="1"/>
  <c r="W111" i="1" s="1"/>
  <c r="BG363" i="1"/>
  <c r="BG364" i="1" s="1"/>
  <c r="M339" i="1"/>
  <c r="M340" i="1" s="1"/>
  <c r="U16" i="1"/>
  <c r="U17" i="1" s="1"/>
  <c r="T386" i="1"/>
  <c r="AU122" i="1"/>
  <c r="AU123" i="1" s="1"/>
  <c r="BE389" i="1"/>
  <c r="BF34" i="1"/>
  <c r="BF35" i="1" s="1"/>
  <c r="AU263" i="1"/>
  <c r="AU264" i="1" s="1"/>
  <c r="AI304" i="1"/>
  <c r="AI305" i="1" s="1"/>
  <c r="AI351" i="1"/>
  <c r="AI352" i="1" s="1"/>
  <c r="AI116" i="1"/>
  <c r="AI117" i="1" s="1"/>
  <c r="BG316" i="1"/>
  <c r="BG317" i="1" s="1"/>
  <c r="AI257" i="1"/>
  <c r="AI258" i="1" s="1"/>
  <c r="V204" i="1"/>
  <c r="V205" i="1" s="1"/>
  <c r="W251" i="1"/>
  <c r="W252" i="1" s="1"/>
  <c r="V157" i="1"/>
  <c r="V158" i="1" s="1"/>
  <c r="AH69" i="1"/>
  <c r="AH70" i="1" s="1"/>
  <c r="AS388" i="1"/>
  <c r="AT28" i="1"/>
  <c r="AT29" i="1" s="1"/>
  <c r="K54" i="1"/>
  <c r="M10" i="1"/>
  <c r="M11" i="1" s="1"/>
  <c r="AI210" i="1"/>
  <c r="AI211" i="1" s="1"/>
  <c r="BG128" i="1"/>
  <c r="BG129" i="1" s="1"/>
  <c r="L57" i="1"/>
  <c r="L58" i="1" s="1"/>
  <c r="AU357" i="1"/>
  <c r="AU358" i="1" s="1"/>
  <c r="BF81" i="1"/>
  <c r="BF82" i="1" s="1"/>
  <c r="M292" i="1"/>
  <c r="M293" i="1" s="1"/>
  <c r="BG222" i="1"/>
  <c r="BG223" i="1" s="1"/>
  <c r="W345" i="1"/>
  <c r="W346" i="1" s="1"/>
  <c r="AV357" i="1" l="1"/>
  <c r="AV358" i="1" s="1"/>
  <c r="M57" i="1"/>
  <c r="M58" i="1" s="1"/>
  <c r="N10" i="1"/>
  <c r="N11" i="1" s="1"/>
  <c r="W157" i="1"/>
  <c r="W158" i="1" s="1"/>
  <c r="AJ116" i="1"/>
  <c r="AJ117" i="1" s="1"/>
  <c r="X345" i="1"/>
  <c r="X346" i="1" s="1"/>
  <c r="N339" i="1"/>
  <c r="N340" i="1" s="1"/>
  <c r="O340" i="1" s="1"/>
  <c r="M151" i="1"/>
  <c r="M152" i="1" s="1"/>
  <c r="L385" i="1"/>
  <c r="AI163" i="1"/>
  <c r="AI164" i="1" s="1"/>
  <c r="N292" i="1"/>
  <c r="N293" i="1" s="1"/>
  <c r="O293" i="1" s="1"/>
  <c r="W63" i="1"/>
  <c r="W64" i="1" s="1"/>
  <c r="AU75" i="1"/>
  <c r="AU76" i="1" s="1"/>
  <c r="X251" i="1"/>
  <c r="X252" i="1" s="1"/>
  <c r="AJ304" i="1"/>
  <c r="AJ305" i="1" s="1"/>
  <c r="AJ257" i="1"/>
  <c r="AJ258" i="1" s="1"/>
  <c r="AV263" i="1"/>
  <c r="AV264" i="1" s="1"/>
  <c r="U386" i="1"/>
  <c r="V16" i="1"/>
  <c r="V17" i="1" s="1"/>
  <c r="AU310" i="1"/>
  <c r="AU311" i="1" s="1"/>
  <c r="W204" i="1"/>
  <c r="W205" i="1" s="1"/>
  <c r="BG81" i="1"/>
  <c r="BG82" i="1" s="1"/>
  <c r="AJ210" i="1"/>
  <c r="AJ211" i="1" s="1"/>
  <c r="AJ351" i="1"/>
  <c r="AJ352" i="1" s="1"/>
  <c r="BG175" i="1"/>
  <c r="BG176" i="1" s="1"/>
  <c r="W298" i="1"/>
  <c r="W299" i="1" s="1"/>
  <c r="AU169" i="1"/>
  <c r="AU170" i="1" s="1"/>
  <c r="N245" i="1"/>
  <c r="N246" i="1" s="1"/>
  <c r="O246" i="1" s="1"/>
  <c r="X110" i="1"/>
  <c r="X111" i="1" s="1"/>
  <c r="BF389" i="1"/>
  <c r="BG34" i="1"/>
  <c r="BG35" i="1" s="1"/>
  <c r="AV216" i="1"/>
  <c r="AV217" i="1" s="1"/>
  <c r="AI69" i="1"/>
  <c r="AI70" i="1" s="1"/>
  <c r="N198" i="1"/>
  <c r="N199" i="1" s="1"/>
  <c r="O199" i="1" s="1"/>
  <c r="AU28" i="1"/>
  <c r="AU29" i="1" s="1"/>
  <c r="AT388" i="1"/>
  <c r="AV122" i="1"/>
  <c r="AV123" i="1" s="1"/>
  <c r="AH387" i="1"/>
  <c r="AI22" i="1"/>
  <c r="AI23" i="1" s="1"/>
  <c r="K395" i="1"/>
  <c r="L53" i="1"/>
  <c r="L394" i="1" s="1"/>
  <c r="L54" i="1" l="1"/>
  <c r="Y110" i="1"/>
  <c r="Y111" i="1" s="1"/>
  <c r="X63" i="1"/>
  <c r="X64" i="1" s="1"/>
  <c r="X157" i="1"/>
  <c r="X158" i="1" s="1"/>
  <c r="AJ69" i="1"/>
  <c r="AJ70" i="1" s="1"/>
  <c r="O11" i="1"/>
  <c r="AK304" i="1"/>
  <c r="AK305" i="1" s="1"/>
  <c r="X298" i="1"/>
  <c r="X299" i="1" s="1"/>
  <c r="N151" i="1"/>
  <c r="N152" i="1" s="1"/>
  <c r="O152" i="1" s="1"/>
  <c r="M385" i="1"/>
  <c r="AV310" i="1"/>
  <c r="AV311" i="1" s="1"/>
  <c r="Y251" i="1"/>
  <c r="Y252" i="1" s="1"/>
  <c r="AW122" i="1"/>
  <c r="AW123" i="1"/>
  <c r="BG389" i="1"/>
  <c r="AV169" i="1"/>
  <c r="AV170" i="1" s="1"/>
  <c r="V386" i="1"/>
  <c r="W16" i="1"/>
  <c r="W17" i="1" s="1"/>
  <c r="AK351" i="1"/>
  <c r="AK352" i="1" s="1"/>
  <c r="AW263" i="1"/>
  <c r="AW264" i="1" s="1"/>
  <c r="AV75" i="1"/>
  <c r="AV76" i="1" s="1"/>
  <c r="AJ163" i="1"/>
  <c r="AJ164" i="1" s="1"/>
  <c r="AK257" i="1"/>
  <c r="AK258" i="1" s="1"/>
  <c r="X204" i="1"/>
  <c r="X205" i="1" s="1"/>
  <c r="Y345" i="1"/>
  <c r="Y346" i="1" s="1"/>
  <c r="AK210" i="1"/>
  <c r="AK211" i="1" s="1"/>
  <c r="AU388" i="1"/>
  <c r="AV28" i="1"/>
  <c r="AV29" i="1" s="1"/>
  <c r="N57" i="1"/>
  <c r="N58" i="1" s="1"/>
  <c r="O58" i="1" s="1"/>
  <c r="M408" i="1"/>
  <c r="E408" i="1"/>
  <c r="G408" i="1"/>
  <c r="N408" i="1"/>
  <c r="H408" i="1"/>
  <c r="F408" i="1"/>
  <c r="K408" i="1"/>
  <c r="J408" i="1"/>
  <c r="I408" i="1"/>
  <c r="L408" i="1"/>
  <c r="AK116" i="1"/>
  <c r="AK117" i="1" s="1"/>
  <c r="H407" i="1"/>
  <c r="I407" i="1"/>
  <c r="E407" i="1"/>
  <c r="N407" i="1"/>
  <c r="L407" i="1"/>
  <c r="G407" i="1"/>
  <c r="M407" i="1"/>
  <c r="J407" i="1"/>
  <c r="F407" i="1"/>
  <c r="K407" i="1"/>
  <c r="L395" i="1"/>
  <c r="M53" i="1"/>
  <c r="M394" i="1" s="1"/>
  <c r="AI387" i="1"/>
  <c r="AJ22" i="1"/>
  <c r="AJ23" i="1" s="1"/>
  <c r="AW216" i="1"/>
  <c r="AW217" i="1" s="1"/>
  <c r="AW357" i="1"/>
  <c r="AW358" i="1" s="1"/>
  <c r="AX216" i="1" l="1"/>
  <c r="AX217" i="1" s="1"/>
  <c r="AW169" i="1"/>
  <c r="AW170" i="1" s="1"/>
  <c r="AJ387" i="1"/>
  <c r="AK22" i="1"/>
  <c r="AK23" i="1" s="1"/>
  <c r="AL116" i="1"/>
  <c r="AL117" i="1" s="1"/>
  <c r="AK163" i="1"/>
  <c r="AK164" i="1" s="1"/>
  <c r="AL351" i="1"/>
  <c r="AL352" i="1" s="1"/>
  <c r="AV388" i="1"/>
  <c r="AW28" i="1"/>
  <c r="AW29" i="1" s="1"/>
  <c r="AL304" i="1"/>
  <c r="AL305" i="1" s="1"/>
  <c r="Z345" i="1"/>
  <c r="Z346" i="1" s="1"/>
  <c r="AX263" i="1"/>
  <c r="AX264" i="1" s="1"/>
  <c r="Y204" i="1"/>
  <c r="Y205" i="1" s="1"/>
  <c r="Z251" i="1"/>
  <c r="Z252" i="1" s="1"/>
  <c r="AK69" i="1"/>
  <c r="AK70" i="1" s="1"/>
  <c r="N405" i="1"/>
  <c r="F405" i="1"/>
  <c r="L405" i="1"/>
  <c r="G405" i="1"/>
  <c r="E405" i="1"/>
  <c r="K405" i="1"/>
  <c r="J405" i="1"/>
  <c r="H405" i="1"/>
  <c r="M405" i="1"/>
  <c r="I405" i="1"/>
  <c r="Y157" i="1"/>
  <c r="Y158" i="1" s="1"/>
  <c r="AL210" i="1"/>
  <c r="AL211" i="1" s="1"/>
  <c r="AL257" i="1"/>
  <c r="AL258" i="1" s="1"/>
  <c r="AW75" i="1"/>
  <c r="AW76" i="1" s="1"/>
  <c r="AW310" i="1"/>
  <c r="AW311" i="1" s="1"/>
  <c r="K406" i="1"/>
  <c r="H406" i="1"/>
  <c r="J406" i="1"/>
  <c r="F406" i="1"/>
  <c r="G406" i="1"/>
  <c r="E406" i="1"/>
  <c r="N406" i="1"/>
  <c r="L406" i="1"/>
  <c r="M406" i="1"/>
  <c r="I406" i="1"/>
  <c r="Y298" i="1"/>
  <c r="Y299" i="1" s="1"/>
  <c r="O385" i="1"/>
  <c r="N385" i="1"/>
  <c r="Y63" i="1"/>
  <c r="Y64" i="1" s="1"/>
  <c r="AX357" i="1"/>
  <c r="AX358" i="1" s="1"/>
  <c r="W386" i="1"/>
  <c r="X16" i="1"/>
  <c r="X17" i="1" s="1"/>
  <c r="AX122" i="1"/>
  <c r="AX123" i="1" s="1"/>
  <c r="M54" i="1"/>
  <c r="Z110" i="1"/>
  <c r="Z111" i="1" s="1"/>
  <c r="O407" i="1" l="1"/>
  <c r="O200" i="1" s="1"/>
  <c r="O201" i="1" s="1"/>
  <c r="O408" i="1"/>
  <c r="O247" i="1" s="1"/>
  <c r="O248" i="1" s="1"/>
  <c r="O288" i="1" s="1"/>
  <c r="O289" i="1" s="1"/>
  <c r="Z63" i="1"/>
  <c r="Z64" i="1" s="1"/>
  <c r="Z204" i="1"/>
  <c r="Z205" i="1" s="1"/>
  <c r="AM351" i="1"/>
  <c r="AM352" i="1" s="1"/>
  <c r="AX75" i="1"/>
  <c r="AX76" i="1" s="1"/>
  <c r="AM116" i="1"/>
  <c r="AM117" i="1" s="1"/>
  <c r="X386" i="1"/>
  <c r="Y16" i="1"/>
  <c r="Y17" i="1" s="1"/>
  <c r="AK387" i="1"/>
  <c r="AL22" i="1"/>
  <c r="AL23" i="1" s="1"/>
  <c r="Z298" i="1"/>
  <c r="Z299" i="1" s="1"/>
  <c r="AM304" i="1"/>
  <c r="AM305" i="1" s="1"/>
  <c r="AY263" i="1"/>
  <c r="AY264" i="1" s="1"/>
  <c r="AA110" i="1"/>
  <c r="AA111" i="1" s="1"/>
  <c r="AA251" i="1"/>
  <c r="AA252" i="1" s="1"/>
  <c r="AY357" i="1"/>
  <c r="AY358" i="1" s="1"/>
  <c r="AX28" i="1"/>
  <c r="AX29" i="1" s="1"/>
  <c r="AW388" i="1"/>
  <c r="N53" i="1"/>
  <c r="N394" i="1" s="1"/>
  <c r="M395" i="1"/>
  <c r="AX169" i="1"/>
  <c r="AX170" i="1" s="1"/>
  <c r="AY122" i="1"/>
  <c r="AY123" i="1" s="1"/>
  <c r="AX310" i="1"/>
  <c r="AX311" i="1" s="1"/>
  <c r="AM257" i="1"/>
  <c r="AM258" i="1" s="1"/>
  <c r="AA345" i="1"/>
  <c r="AA346" i="1" s="1"/>
  <c r="O406" i="1"/>
  <c r="O106" i="1" s="1"/>
  <c r="O107" i="1" s="1"/>
  <c r="AL69" i="1"/>
  <c r="AL70" i="1" s="1"/>
  <c r="AM210" i="1"/>
  <c r="AM211" i="1" s="1"/>
  <c r="Z157" i="1"/>
  <c r="Z158" i="1" s="1"/>
  <c r="O404" i="1"/>
  <c r="O12" i="1" s="1"/>
  <c r="O13" i="1" s="1"/>
  <c r="O405" i="1"/>
  <c r="O409" i="1"/>
  <c r="O341" i="1" s="1"/>
  <c r="O342" i="1" s="1"/>
  <c r="AL163" i="1"/>
  <c r="AL164" i="1" s="1"/>
  <c r="AY216" i="1"/>
  <c r="AY217" i="1" s="1"/>
  <c r="O294" i="1" l="1"/>
  <c r="O295" i="1" s="1"/>
  <c r="O335" i="1" s="1"/>
  <c r="O336" i="1" s="1"/>
  <c r="N54" i="1"/>
  <c r="N395" i="1" s="1"/>
  <c r="AN116" i="1"/>
  <c r="AN117" i="1" s="1"/>
  <c r="AB251" i="1"/>
  <c r="AB252" i="1" s="1"/>
  <c r="AB110" i="1"/>
  <c r="AB111" i="1" s="1"/>
  <c r="AN351" i="1"/>
  <c r="AN352" i="1" s="1"/>
  <c r="AY310" i="1"/>
  <c r="AY311" i="1" s="1"/>
  <c r="AZ216" i="1"/>
  <c r="AZ217" i="1" s="1"/>
  <c r="AA298" i="1"/>
  <c r="AA299" i="1" s="1"/>
  <c r="AA204" i="1"/>
  <c r="AA205" i="1" s="1"/>
  <c r="AL387" i="1"/>
  <c r="AM22" i="1"/>
  <c r="AM23" i="1" s="1"/>
  <c r="AZ357" i="1"/>
  <c r="AZ358" i="1" s="1"/>
  <c r="P288" i="1"/>
  <c r="P289" i="1" s="1"/>
  <c r="AY75" i="1"/>
  <c r="AY76" i="1" s="1"/>
  <c r="AM69" i="1"/>
  <c r="AM70" i="1" s="1"/>
  <c r="AA63" i="1"/>
  <c r="AA64" i="1" s="1"/>
  <c r="AB345" i="1"/>
  <c r="AB346" i="1" s="1"/>
  <c r="AZ122" i="1"/>
  <c r="AZ123" i="1" s="1"/>
  <c r="AA157" i="1"/>
  <c r="AA158" i="1" s="1"/>
  <c r="AN304" i="1"/>
  <c r="AN305" i="1" s="1"/>
  <c r="AY169" i="1"/>
  <c r="AY170" i="1" s="1"/>
  <c r="AZ263" i="1"/>
  <c r="AZ264" i="1" s="1"/>
  <c r="Y386" i="1"/>
  <c r="Z16" i="1"/>
  <c r="Z17" i="1" s="1"/>
  <c r="AM163" i="1"/>
  <c r="AM164" i="1" s="1"/>
  <c r="AN210" i="1"/>
  <c r="AN211" i="1" s="1"/>
  <c r="AX388" i="1"/>
  <c r="AY28" i="1"/>
  <c r="AY29" i="1" s="1"/>
  <c r="O382" i="1"/>
  <c r="O383" i="1" s="1"/>
  <c r="O241" i="1"/>
  <c r="O242" i="1" s="1"/>
  <c r="AN257" i="1"/>
  <c r="AN258" i="1" s="1"/>
  <c r="O147" i="1"/>
  <c r="O148" i="1" s="1"/>
  <c r="O153" i="1"/>
  <c r="O154" i="1" s="1"/>
  <c r="O59" i="1"/>
  <c r="O60" i="1" s="1"/>
  <c r="O53" i="1" l="1"/>
  <c r="O54" i="1" s="1"/>
  <c r="P53" i="1" s="1"/>
  <c r="Q288" i="1"/>
  <c r="Q289" i="1" s="1"/>
  <c r="AC110" i="1"/>
  <c r="AC111" i="1" s="1"/>
  <c r="BA122" i="1"/>
  <c r="BA123" i="1" s="1"/>
  <c r="AB157" i="1"/>
  <c r="AB158" i="1" s="1"/>
  <c r="AZ75" i="1"/>
  <c r="AZ76" i="1" s="1"/>
  <c r="BA357" i="1"/>
  <c r="BA358" i="1" s="1"/>
  <c r="AB63" i="1"/>
  <c r="AB64" i="1" s="1"/>
  <c r="AO257" i="1"/>
  <c r="AO258" i="1" s="1"/>
  <c r="AN22" i="1"/>
  <c r="AN23" i="1" s="1"/>
  <c r="AM387" i="1"/>
  <c r="AO116" i="1"/>
  <c r="AO117" i="1" s="1"/>
  <c r="AO304" i="1"/>
  <c r="AO305" i="1" s="1"/>
  <c r="BA263" i="1"/>
  <c r="BA264" i="1" s="1"/>
  <c r="AZ169" i="1"/>
  <c r="AZ170" i="1" s="1"/>
  <c r="AC345" i="1"/>
  <c r="AC346" i="1" s="1"/>
  <c r="AZ310" i="1"/>
  <c r="AZ311" i="1" s="1"/>
  <c r="AY388" i="1"/>
  <c r="AZ28" i="1"/>
  <c r="AZ29" i="1" s="1"/>
  <c r="AB204" i="1"/>
  <c r="AB205" i="1" s="1"/>
  <c r="AO351" i="1"/>
  <c r="AO352" i="1" s="1"/>
  <c r="P335" i="1"/>
  <c r="P336" i="1" s="1"/>
  <c r="Z386" i="1"/>
  <c r="AA16" i="1"/>
  <c r="AA17" i="1" s="1"/>
  <c r="P241" i="1"/>
  <c r="P242" i="1" s="1"/>
  <c r="BA216" i="1"/>
  <c r="BA217" i="1" s="1"/>
  <c r="AC251" i="1"/>
  <c r="AC252" i="1" s="1"/>
  <c r="AO210" i="1"/>
  <c r="AO211" i="1" s="1"/>
  <c r="AN163" i="1"/>
  <c r="AN164" i="1" s="1"/>
  <c r="AN69" i="1"/>
  <c r="AN70" i="1" s="1"/>
  <c r="AB298" i="1"/>
  <c r="AB299" i="1"/>
  <c r="P382" i="1"/>
  <c r="P383" i="1" s="1"/>
  <c r="O194" i="1"/>
  <c r="O195" i="1" s="1"/>
  <c r="P147" i="1"/>
  <c r="P148" i="1" s="1"/>
  <c r="O100" i="1"/>
  <c r="O101" i="1" s="1"/>
  <c r="O395" i="1" l="1"/>
  <c r="O394" i="1"/>
  <c r="Q335" i="1"/>
  <c r="Q336" i="1" s="1"/>
  <c r="AD345" i="1"/>
  <c r="AD346" i="1" s="1"/>
  <c r="BA75" i="1"/>
  <c r="BA76" i="1" s="1"/>
  <c r="AC157" i="1"/>
  <c r="AC158" i="1" s="1"/>
  <c r="AP351" i="1"/>
  <c r="AP352" i="1" s="1"/>
  <c r="AP116" i="1"/>
  <c r="AP117" i="1" s="1"/>
  <c r="AC63" i="1"/>
  <c r="AC64" i="1" s="1"/>
  <c r="AO69" i="1"/>
  <c r="AO70" i="1" s="1"/>
  <c r="Q382" i="1"/>
  <c r="Q383" i="1" s="1"/>
  <c r="P100" i="1"/>
  <c r="P101" i="1" s="1"/>
  <c r="AA386" i="1"/>
  <c r="AB16" i="1"/>
  <c r="AB17" i="1" s="1"/>
  <c r="AZ388" i="1"/>
  <c r="BA28" i="1"/>
  <c r="BA29" i="1" s="1"/>
  <c r="AD110" i="1"/>
  <c r="AD111" i="1" s="1"/>
  <c r="AD251" i="1"/>
  <c r="AD252" i="1" s="1"/>
  <c r="R288" i="1"/>
  <c r="R289" i="1" s="1"/>
  <c r="Q147" i="1"/>
  <c r="Q148" i="1" s="1"/>
  <c r="Q241" i="1"/>
  <c r="Q242" i="1" s="1"/>
  <c r="BB357" i="1"/>
  <c r="BB358" i="1" s="1"/>
  <c r="BA310" i="1"/>
  <c r="BA311" i="1" s="1"/>
  <c r="BB263" i="1"/>
  <c r="BB264" i="1" s="1"/>
  <c r="AN387" i="1"/>
  <c r="AO22" i="1"/>
  <c r="AO23" i="1" s="1"/>
  <c r="AP257" i="1"/>
  <c r="AP258" i="1" s="1"/>
  <c r="BB122" i="1"/>
  <c r="BB123" i="1" s="1"/>
  <c r="AO163" i="1"/>
  <c r="AO164" i="1" s="1"/>
  <c r="BB216" i="1"/>
  <c r="BB217" i="1" s="1"/>
  <c r="AC298" i="1"/>
  <c r="AC299" i="1" s="1"/>
  <c r="AP210" i="1"/>
  <c r="AP211" i="1" s="1"/>
  <c r="BA169" i="1"/>
  <c r="BA170" i="1" s="1"/>
  <c r="AP304" i="1"/>
  <c r="AP305" i="1" s="1"/>
  <c r="AC204" i="1"/>
  <c r="AC205" i="1" s="1"/>
  <c r="P194" i="1"/>
  <c r="P394" i="1" s="1"/>
  <c r="P54" i="1"/>
  <c r="P195" i="1" l="1"/>
  <c r="Q194" i="1" s="1"/>
  <c r="Q195" i="1" s="1"/>
  <c r="AD298" i="1"/>
  <c r="AD299" i="1" s="1"/>
  <c r="BB75" i="1"/>
  <c r="BB76" i="1" s="1"/>
  <c r="AO387" i="1"/>
  <c r="AP22" i="1"/>
  <c r="AP23" i="1"/>
  <c r="R147" i="1"/>
  <c r="R148" i="1" s="1"/>
  <c r="AB386" i="1"/>
  <c r="AC16" i="1"/>
  <c r="AC17" i="1" s="1"/>
  <c r="AD63" i="1"/>
  <c r="AD64" i="1" s="1"/>
  <c r="R382" i="1"/>
  <c r="R383" i="1" s="1"/>
  <c r="BB169" i="1"/>
  <c r="BB170" i="1" s="1"/>
  <c r="Q100" i="1"/>
  <c r="Q101" i="1" s="1"/>
  <c r="S288" i="1"/>
  <c r="S289" i="1" s="1"/>
  <c r="BC216" i="1"/>
  <c r="BC217" i="1" s="1"/>
  <c r="AQ351" i="1"/>
  <c r="AQ352" i="1" s="1"/>
  <c r="BC122" i="1"/>
  <c r="BC123" i="1" s="1"/>
  <c r="BC263" i="1"/>
  <c r="BC264" i="1" s="1"/>
  <c r="BC357" i="1"/>
  <c r="BC358" i="1" s="1"/>
  <c r="AE110" i="1"/>
  <c r="AE111" i="1" s="1"/>
  <c r="AD157" i="1"/>
  <c r="AD158" i="1" s="1"/>
  <c r="R335" i="1"/>
  <c r="R336" i="1" s="1"/>
  <c r="AP69" i="1"/>
  <c r="AP70" i="1" s="1"/>
  <c r="AQ116" i="1"/>
  <c r="AQ117" i="1" s="1"/>
  <c r="Q53" i="1"/>
  <c r="Q54" i="1" s="1"/>
  <c r="R241" i="1"/>
  <c r="R242" i="1" s="1"/>
  <c r="AE251" i="1"/>
  <c r="AE252" i="1" s="1"/>
  <c r="AQ210" i="1"/>
  <c r="AQ211" i="1" s="1"/>
  <c r="BB310" i="1"/>
  <c r="BB311" i="1" s="1"/>
  <c r="AE345" i="1"/>
  <c r="AE346" i="1" s="1"/>
  <c r="BA388" i="1"/>
  <c r="BB28" i="1"/>
  <c r="BB29" i="1" s="1"/>
  <c r="AP163" i="1"/>
  <c r="AP164" i="1" s="1"/>
  <c r="AD204" i="1"/>
  <c r="AD205" i="1" s="1"/>
  <c r="AQ304" i="1"/>
  <c r="AQ305" i="1"/>
  <c r="AQ257" i="1"/>
  <c r="AQ258" i="1" s="1"/>
  <c r="P395" i="1" l="1"/>
  <c r="BD357" i="1"/>
  <c r="BD358" i="1" s="1"/>
  <c r="AD16" i="1"/>
  <c r="AD17" i="1" s="1"/>
  <c r="AC386" i="1"/>
  <c r="BD216" i="1"/>
  <c r="BD217" i="1" s="1"/>
  <c r="BC28" i="1"/>
  <c r="BC29" i="1" s="1"/>
  <c r="BB388" i="1"/>
  <c r="T288" i="1"/>
  <c r="T289" i="1" s="1"/>
  <c r="BC169" i="1"/>
  <c r="BC170" i="1" s="1"/>
  <c r="AE204" i="1"/>
  <c r="AE205" i="1" s="1"/>
  <c r="BD263" i="1"/>
  <c r="BD264" i="1" s="1"/>
  <c r="S382" i="1"/>
  <c r="S383" i="1" s="1"/>
  <c r="BC310" i="1"/>
  <c r="BC311" i="1" s="1"/>
  <c r="AR351" i="1"/>
  <c r="AR352" i="1" s="1"/>
  <c r="AF345" i="1"/>
  <c r="AF346" i="1" s="1"/>
  <c r="BD122" i="1"/>
  <c r="BD123" i="1" s="1"/>
  <c r="AE63" i="1"/>
  <c r="AE64" i="1" s="1"/>
  <c r="AQ163" i="1"/>
  <c r="AQ164" i="1" s="1"/>
  <c r="BC75" i="1"/>
  <c r="BC76" i="1" s="1"/>
  <c r="AR116" i="1"/>
  <c r="AR117" i="1" s="1"/>
  <c r="S335" i="1"/>
  <c r="S336" i="1" s="1"/>
  <c r="R194" i="1"/>
  <c r="R195" i="1" s="1"/>
  <c r="AQ69" i="1"/>
  <c r="AQ70" i="1" s="1"/>
  <c r="AE157" i="1"/>
  <c r="AE158" i="1" s="1"/>
  <c r="S147" i="1"/>
  <c r="S148" i="1" s="1"/>
  <c r="AR210" i="1"/>
  <c r="AR211" i="1" s="1"/>
  <c r="S241" i="1"/>
  <c r="S242" i="1" s="1"/>
  <c r="R100" i="1"/>
  <c r="R101" i="1" s="1"/>
  <c r="AF251" i="1"/>
  <c r="AF252" i="1" s="1"/>
  <c r="AR304" i="1"/>
  <c r="AR305" i="1" s="1"/>
  <c r="AF110" i="1"/>
  <c r="AF111" i="1" s="1"/>
  <c r="AP387" i="1"/>
  <c r="AQ22" i="1"/>
  <c r="AQ23" i="1" s="1"/>
  <c r="AR257" i="1"/>
  <c r="AR258" i="1" s="1"/>
  <c r="Q395" i="1"/>
  <c r="R53" i="1"/>
  <c r="AE298" i="1"/>
  <c r="AE299" i="1" s="1"/>
  <c r="Q394" i="1"/>
  <c r="T382" i="1" l="1"/>
  <c r="T383" i="1" s="1"/>
  <c r="AQ387" i="1"/>
  <c r="AR22" i="1"/>
  <c r="AR23" i="1" s="1"/>
  <c r="BD75" i="1"/>
  <c r="BD76" i="1" s="1"/>
  <c r="AR69" i="1"/>
  <c r="AR70" i="1" s="1"/>
  <c r="AS210" i="1"/>
  <c r="AS211" i="1" s="1"/>
  <c r="AT211" i="1" s="1"/>
  <c r="AT213" i="1" s="1"/>
  <c r="BC388" i="1"/>
  <c r="BD28" i="1"/>
  <c r="BD29" i="1" s="1"/>
  <c r="T241" i="1"/>
  <c r="T242" i="1" s="1"/>
  <c r="AG345" i="1"/>
  <c r="AG346" i="1" s="1"/>
  <c r="AH346" i="1" s="1"/>
  <c r="AH348" i="1" s="1"/>
  <c r="BE216" i="1"/>
  <c r="BE217" i="1" s="1"/>
  <c r="BF217" i="1" s="1"/>
  <c r="BF219" i="1" s="1"/>
  <c r="S194" i="1"/>
  <c r="S195" i="1" s="1"/>
  <c r="BD310" i="1"/>
  <c r="BD311" i="1" s="1"/>
  <c r="BE263" i="1"/>
  <c r="BE264" i="1" s="1"/>
  <c r="BF264" i="1" s="1"/>
  <c r="BF266" i="1" s="1"/>
  <c r="T147" i="1"/>
  <c r="T148" i="1" s="1"/>
  <c r="T335" i="1"/>
  <c r="T336" i="1" s="1"/>
  <c r="AD386" i="1"/>
  <c r="AE16" i="1"/>
  <c r="AE17" i="1" s="1"/>
  <c r="AF157" i="1"/>
  <c r="AF158" i="1" s="1"/>
  <c r="AR163" i="1"/>
  <c r="AR164" i="1" s="1"/>
  <c r="AG110" i="1"/>
  <c r="AG111" i="1" s="1"/>
  <c r="AH111" i="1" s="1"/>
  <c r="AH113" i="1" s="1"/>
  <c r="AS304" i="1"/>
  <c r="AS305" i="1" s="1"/>
  <c r="AT305" i="1" s="1"/>
  <c r="AT307" i="1" s="1"/>
  <c r="AG251" i="1"/>
  <c r="AG252" i="1" s="1"/>
  <c r="AH252" i="1" s="1"/>
  <c r="AH254" i="1" s="1"/>
  <c r="BD169" i="1"/>
  <c r="BD170" i="1" s="1"/>
  <c r="BE357" i="1"/>
  <c r="BE358" i="1" s="1"/>
  <c r="BF358" i="1" s="1"/>
  <c r="BF360" i="1" s="1"/>
  <c r="AS116" i="1"/>
  <c r="AS117" i="1" s="1"/>
  <c r="AT117" i="1" s="1"/>
  <c r="AT119" i="1" s="1"/>
  <c r="AF63" i="1"/>
  <c r="AF64" i="1" s="1"/>
  <c r="AF204" i="1"/>
  <c r="AF205" i="1" s="1"/>
  <c r="S100" i="1"/>
  <c r="S101" i="1" s="1"/>
  <c r="AS351" i="1"/>
  <c r="AS352" i="1" s="1"/>
  <c r="AT352" i="1" s="1"/>
  <c r="AT354" i="1" s="1"/>
  <c r="U288" i="1"/>
  <c r="U289" i="1" s="1"/>
  <c r="AS257" i="1"/>
  <c r="AS258" i="1" s="1"/>
  <c r="AT258" i="1" s="1"/>
  <c r="AT260" i="1" s="1"/>
  <c r="R394" i="1"/>
  <c r="R54" i="1"/>
  <c r="AF298" i="1"/>
  <c r="AF299" i="1" s="1"/>
  <c r="BE122" i="1"/>
  <c r="BE123" i="1" s="1"/>
  <c r="BF123" i="1" s="1"/>
  <c r="BF125" i="1" s="1"/>
  <c r="T100" i="1" l="1"/>
  <c r="T101" i="1" s="1"/>
  <c r="BE310" i="1"/>
  <c r="BE311" i="1"/>
  <c r="BF311" i="1" s="1"/>
  <c r="BF313" i="1" s="1"/>
  <c r="AS69" i="1"/>
  <c r="AS70" i="1" s="1"/>
  <c r="AT70" i="1" s="1"/>
  <c r="AT72" i="1" s="1"/>
  <c r="T194" i="1"/>
  <c r="T195" i="1" s="1"/>
  <c r="BD388" i="1"/>
  <c r="BE28" i="1"/>
  <c r="BE29" i="1" s="1"/>
  <c r="BE75" i="1"/>
  <c r="BE76" i="1" s="1"/>
  <c r="BF76" i="1" s="1"/>
  <c r="BF78" i="1" s="1"/>
  <c r="AR387" i="1"/>
  <c r="AS22" i="1"/>
  <c r="AS23" i="1" s="1"/>
  <c r="V288" i="1"/>
  <c r="V289" i="1" s="1"/>
  <c r="U382" i="1"/>
  <c r="U383" i="1" s="1"/>
  <c r="AG298" i="1"/>
  <c r="AG299" i="1" s="1"/>
  <c r="AH299" i="1" s="1"/>
  <c r="AH301" i="1" s="1"/>
  <c r="U147" i="1"/>
  <c r="U148" i="1" s="1"/>
  <c r="AG204" i="1"/>
  <c r="AG205" i="1" s="1"/>
  <c r="AH205" i="1" s="1"/>
  <c r="AH207" i="1" s="1"/>
  <c r="AS163" i="1"/>
  <c r="AS164" i="1" s="1"/>
  <c r="AT164" i="1" s="1"/>
  <c r="AT166" i="1" s="1"/>
  <c r="AE386" i="1"/>
  <c r="AF16" i="1"/>
  <c r="AF17" i="1" s="1"/>
  <c r="BE169" i="1"/>
  <c r="BE170" i="1" s="1"/>
  <c r="BF170" i="1" s="1"/>
  <c r="BF172" i="1" s="1"/>
  <c r="U241" i="1"/>
  <c r="U242" i="1" s="1"/>
  <c r="AG63" i="1"/>
  <c r="AG64" i="1" s="1"/>
  <c r="AH64" i="1" s="1"/>
  <c r="AH66" i="1" s="1"/>
  <c r="AG157" i="1"/>
  <c r="AG158" i="1" s="1"/>
  <c r="AH158" i="1" s="1"/>
  <c r="AH160" i="1" s="1"/>
  <c r="U335" i="1"/>
  <c r="U336" i="1" s="1"/>
  <c r="R395" i="1"/>
  <c r="S53" i="1"/>
  <c r="S394" i="1" s="1"/>
  <c r="BE388" i="1" l="1"/>
  <c r="BF29" i="1"/>
  <c r="V147" i="1"/>
  <c r="V148" i="1" s="1"/>
  <c r="AS387" i="1"/>
  <c r="AT23" i="1"/>
  <c r="V241" i="1"/>
  <c r="V242" i="1" s="1"/>
  <c r="AF386" i="1"/>
  <c r="AG16" i="1"/>
  <c r="AG17" i="1" s="1"/>
  <c r="V335" i="1"/>
  <c r="V336" i="1" s="1"/>
  <c r="V382" i="1"/>
  <c r="V383" i="1" s="1"/>
  <c r="U100" i="1"/>
  <c r="U101" i="1" s="1"/>
  <c r="W288" i="1"/>
  <c r="W289" i="1" s="1"/>
  <c r="U194" i="1"/>
  <c r="U195" i="1" s="1"/>
  <c r="S54" i="1"/>
  <c r="X288" i="1" l="1"/>
  <c r="X289" i="1" s="1"/>
  <c r="W335" i="1"/>
  <c r="W336" i="1" s="1"/>
  <c r="W147" i="1"/>
  <c r="W148" i="1" s="1"/>
  <c r="S395" i="1"/>
  <c r="T53" i="1"/>
  <c r="T394" i="1" s="1"/>
  <c r="W382" i="1"/>
  <c r="W383" i="1" s="1"/>
  <c r="AG386" i="1"/>
  <c r="AH17" i="1"/>
  <c r="V194" i="1"/>
  <c r="V195" i="1" s="1"/>
  <c r="AT387" i="1"/>
  <c r="AT25" i="1"/>
  <c r="BF31" i="1"/>
  <c r="BF388" i="1"/>
  <c r="V100" i="1"/>
  <c r="V101" i="1" s="1"/>
  <c r="W241" i="1"/>
  <c r="W242" i="1" s="1"/>
  <c r="T54" i="1" l="1"/>
  <c r="T395" i="1" s="1"/>
  <c r="X241" i="1"/>
  <c r="X242" i="1" s="1"/>
  <c r="Y288" i="1"/>
  <c r="Y289" i="1" s="1"/>
  <c r="X147" i="1"/>
  <c r="X148" i="1" s="1"/>
  <c r="AH386" i="1"/>
  <c r="AH19" i="1"/>
  <c r="X335" i="1"/>
  <c r="X336" i="1" s="1"/>
  <c r="W100" i="1"/>
  <c r="W101" i="1" s="1"/>
  <c r="X382" i="1"/>
  <c r="X383" i="1" s="1"/>
  <c r="W194" i="1"/>
  <c r="W195" i="1" s="1"/>
  <c r="U53" i="1" l="1"/>
  <c r="U394" i="1" s="1"/>
  <c r="X100" i="1"/>
  <c r="X101" i="1" s="1"/>
  <c r="Y147" i="1"/>
  <c r="Y148" i="1" s="1"/>
  <c r="Y335" i="1"/>
  <c r="Y336" i="1" s="1"/>
  <c r="Y241" i="1"/>
  <c r="Y242" i="1" s="1"/>
  <c r="Y382" i="1"/>
  <c r="Y383" i="1" s="1"/>
  <c r="Z288" i="1"/>
  <c r="Z289" i="1" s="1"/>
  <c r="X194" i="1"/>
  <c r="X195" i="1" s="1"/>
  <c r="U54" i="1" l="1"/>
  <c r="U395" i="1" s="1"/>
  <c r="Z335" i="1"/>
  <c r="Z336" i="1" s="1"/>
  <c r="Z382" i="1"/>
  <c r="Z383" i="1" s="1"/>
  <c r="Z241" i="1"/>
  <c r="Z242" i="1" s="1"/>
  <c r="Z147" i="1"/>
  <c r="Z148" i="1" s="1"/>
  <c r="Y194" i="1"/>
  <c r="Y195" i="1" s="1"/>
  <c r="AA288" i="1"/>
  <c r="AA289" i="1" s="1"/>
  <c r="Y100" i="1"/>
  <c r="Y101" i="1" s="1"/>
  <c r="V53" i="1"/>
  <c r="V394" i="1" s="1"/>
  <c r="Z194" i="1" l="1"/>
  <c r="Z195" i="1" s="1"/>
  <c r="AA147" i="1"/>
  <c r="AA148" i="1" s="1"/>
  <c r="AA382" i="1"/>
  <c r="AA383" i="1" s="1"/>
  <c r="Z100" i="1"/>
  <c r="Z101" i="1" s="1"/>
  <c r="AA335" i="1"/>
  <c r="AA336" i="1" s="1"/>
  <c r="AB288" i="1"/>
  <c r="AB289" i="1" s="1"/>
  <c r="AA241" i="1"/>
  <c r="AA242" i="1" s="1"/>
  <c r="V54" i="1"/>
  <c r="AB382" i="1" l="1"/>
  <c r="AB383" i="1" s="1"/>
  <c r="AC288" i="1"/>
  <c r="AC289" i="1" s="1"/>
  <c r="AB147" i="1"/>
  <c r="AB148" i="1" s="1"/>
  <c r="AB241" i="1"/>
  <c r="AB242" i="1" s="1"/>
  <c r="AB335" i="1"/>
  <c r="AB336" i="1" s="1"/>
  <c r="AA194" i="1"/>
  <c r="AA195" i="1" s="1"/>
  <c r="V395" i="1"/>
  <c r="W53" i="1"/>
  <c r="W394" i="1" s="1"/>
  <c r="AA100" i="1"/>
  <c r="AA101" i="1" s="1"/>
  <c r="AC335" i="1" l="1"/>
  <c r="AC336" i="1" s="1"/>
  <c r="AB194" i="1"/>
  <c r="AB195" i="1" s="1"/>
  <c r="AB100" i="1"/>
  <c r="AB101" i="1" s="1"/>
  <c r="AC241" i="1"/>
  <c r="AC242" i="1" s="1"/>
  <c r="AC382" i="1"/>
  <c r="AC383" i="1" s="1"/>
  <c r="AC147" i="1"/>
  <c r="AC148" i="1" s="1"/>
  <c r="W54" i="1"/>
  <c r="AD288" i="1"/>
  <c r="AD289" i="1" s="1"/>
  <c r="AD147" i="1" l="1"/>
  <c r="AD148" i="1" s="1"/>
  <c r="AD382" i="1"/>
  <c r="AD383" i="1" s="1"/>
  <c r="AC100" i="1"/>
  <c r="AC101" i="1" s="1"/>
  <c r="AD335" i="1"/>
  <c r="AD336" i="1" s="1"/>
  <c r="AE288" i="1"/>
  <c r="AE289" i="1" s="1"/>
  <c r="AD241" i="1"/>
  <c r="AD242" i="1" s="1"/>
  <c r="W395" i="1"/>
  <c r="X53" i="1"/>
  <c r="X394" i="1" s="1"/>
  <c r="AC194" i="1"/>
  <c r="AC195" i="1" s="1"/>
  <c r="AF288" i="1" l="1"/>
  <c r="AF289" i="1" s="1"/>
  <c r="AE241" i="1"/>
  <c r="AE242" i="1" s="1"/>
  <c r="AE382" i="1"/>
  <c r="AE383" i="1" s="1"/>
  <c r="AE147" i="1"/>
  <c r="AE148" i="1" s="1"/>
  <c r="AD194" i="1"/>
  <c r="AD195" i="1" s="1"/>
  <c r="AE335" i="1"/>
  <c r="AE336" i="1" s="1"/>
  <c r="AD100" i="1"/>
  <c r="AD101" i="1" s="1"/>
  <c r="X54" i="1"/>
  <c r="AE194" i="1" l="1"/>
  <c r="AE195" i="1" s="1"/>
  <c r="AF147" i="1"/>
  <c r="AF148" i="1" s="1"/>
  <c r="AF382" i="1"/>
  <c r="AF383" i="1" s="1"/>
  <c r="AE100" i="1"/>
  <c r="AE101" i="1" s="1"/>
  <c r="AG288" i="1"/>
  <c r="AG289" i="1" s="1"/>
  <c r="X395" i="1"/>
  <c r="Y53" i="1"/>
  <c r="Y394" i="1" s="1"/>
  <c r="AF335" i="1"/>
  <c r="AF336" i="1" s="1"/>
  <c r="AF241" i="1"/>
  <c r="AF242" i="1" s="1"/>
  <c r="Y54" i="1" l="1"/>
  <c r="Z53" i="1" s="1"/>
  <c r="Z394" i="1" s="1"/>
  <c r="AH288" i="1"/>
  <c r="AH289" i="1" s="1"/>
  <c r="AG335" i="1"/>
  <c r="AG336" i="1" s="1"/>
  <c r="AF194" i="1"/>
  <c r="AF195" i="1" s="1"/>
  <c r="AG241" i="1"/>
  <c r="AG242" i="1" s="1"/>
  <c r="AF100" i="1"/>
  <c r="AF101" i="1" s="1"/>
  <c r="AG382" i="1"/>
  <c r="AG383" i="1" s="1"/>
  <c r="AG147" i="1"/>
  <c r="AG148" i="1" s="1"/>
  <c r="Y395" i="1" l="1"/>
  <c r="Z54" i="1"/>
  <c r="Z395" i="1" s="1"/>
  <c r="AH382" i="1"/>
  <c r="AH383" i="1" s="1"/>
  <c r="AG194" i="1"/>
  <c r="AG195" i="1" s="1"/>
  <c r="AG100" i="1"/>
  <c r="AG101" i="1" s="1"/>
  <c r="AI288" i="1"/>
  <c r="AI289" i="1" s="1"/>
  <c r="AH147" i="1"/>
  <c r="AH148" i="1" s="1"/>
  <c r="AH241" i="1"/>
  <c r="AH242" i="1" s="1"/>
  <c r="AH335" i="1"/>
  <c r="AH336" i="1" s="1"/>
  <c r="AA53" i="1" l="1"/>
  <c r="AA394" i="1" s="1"/>
  <c r="AI147" i="1"/>
  <c r="AI148" i="1" s="1"/>
  <c r="AI382" i="1"/>
  <c r="AI383" i="1" s="1"/>
  <c r="AI335" i="1"/>
  <c r="AI336" i="1" s="1"/>
  <c r="AI241" i="1"/>
  <c r="AI242" i="1" s="1"/>
  <c r="AJ288" i="1"/>
  <c r="AJ289" i="1" s="1"/>
  <c r="AH100" i="1"/>
  <c r="AH101" i="1" s="1"/>
  <c r="AH194" i="1"/>
  <c r="AH195" i="1" s="1"/>
  <c r="AA54" i="1" l="1"/>
  <c r="AA395" i="1" s="1"/>
  <c r="AJ241" i="1"/>
  <c r="AJ242" i="1" s="1"/>
  <c r="AI100" i="1"/>
  <c r="AI101" i="1" s="1"/>
  <c r="AI194" i="1"/>
  <c r="AI195" i="1" s="1"/>
  <c r="AJ335" i="1"/>
  <c r="AJ336" i="1" s="1"/>
  <c r="AJ147" i="1"/>
  <c r="AJ148" i="1" s="1"/>
  <c r="AJ382" i="1"/>
  <c r="AJ383" i="1" s="1"/>
  <c r="AK288" i="1"/>
  <c r="AK289" i="1" s="1"/>
  <c r="AB53" i="1" l="1"/>
  <c r="AB394" i="1" s="1"/>
  <c r="AL288" i="1"/>
  <c r="AL289" i="1" s="1"/>
  <c r="AK335" i="1"/>
  <c r="AK336" i="1" s="1"/>
  <c r="AK382" i="1"/>
  <c r="AK383" i="1" s="1"/>
  <c r="AJ194" i="1"/>
  <c r="AJ195" i="1" s="1"/>
  <c r="AJ100" i="1"/>
  <c r="AJ101" i="1" s="1"/>
  <c r="AK147" i="1"/>
  <c r="AK148" i="1" s="1"/>
  <c r="AK241" i="1"/>
  <c r="AK242" i="1" s="1"/>
  <c r="AB54" i="1"/>
  <c r="AK100" i="1" l="1"/>
  <c r="AK101" i="1" s="1"/>
  <c r="AL241" i="1"/>
  <c r="AL242" i="1" s="1"/>
  <c r="AK194" i="1"/>
  <c r="AK195" i="1" s="1"/>
  <c r="AL335" i="1"/>
  <c r="AL336" i="1" s="1"/>
  <c r="AL147" i="1"/>
  <c r="AL148" i="1" s="1"/>
  <c r="AM288" i="1"/>
  <c r="AM289" i="1" s="1"/>
  <c r="AB395" i="1"/>
  <c r="AC53" i="1"/>
  <c r="AC394" i="1" s="1"/>
  <c r="AL382" i="1"/>
  <c r="AL383" i="1" s="1"/>
  <c r="AM147" i="1" l="1"/>
  <c r="AM148" i="1" s="1"/>
  <c r="AL194" i="1"/>
  <c r="AL195" i="1" s="1"/>
  <c r="AL100" i="1"/>
  <c r="AL101" i="1" s="1"/>
  <c r="AM382" i="1"/>
  <c r="AM383" i="1" s="1"/>
  <c r="AM335" i="1"/>
  <c r="AM336" i="1" s="1"/>
  <c r="AC54" i="1"/>
  <c r="AN288" i="1"/>
  <c r="AN289" i="1" s="1"/>
  <c r="AM241" i="1"/>
  <c r="AM242" i="1" s="1"/>
  <c r="AO288" i="1" l="1"/>
  <c r="AO289" i="1" s="1"/>
  <c r="AN335" i="1"/>
  <c r="AN336" i="1" s="1"/>
  <c r="AM100" i="1"/>
  <c r="AM101" i="1" s="1"/>
  <c r="AM194" i="1"/>
  <c r="AM195" i="1" s="1"/>
  <c r="AN147" i="1"/>
  <c r="AN148" i="1" s="1"/>
  <c r="AN241" i="1"/>
  <c r="AN242" i="1" s="1"/>
  <c r="AN382" i="1"/>
  <c r="AN383" i="1" s="1"/>
  <c r="AD53" i="1"/>
  <c r="AD394" i="1" s="1"/>
  <c r="AC395" i="1"/>
  <c r="AO147" i="1" l="1"/>
  <c r="AO148" i="1" s="1"/>
  <c r="AN194" i="1"/>
  <c r="AN195" i="1" s="1"/>
  <c r="AO335" i="1"/>
  <c r="AO336" i="1" s="1"/>
  <c r="AN100" i="1"/>
  <c r="AN101" i="1" s="1"/>
  <c r="AP288" i="1"/>
  <c r="AP289" i="1" s="1"/>
  <c r="AO382" i="1"/>
  <c r="AO383" i="1" s="1"/>
  <c r="AO241" i="1"/>
  <c r="AO242" i="1" s="1"/>
  <c r="AD54" i="1"/>
  <c r="AQ288" i="1" l="1"/>
  <c r="AQ289" i="1" s="1"/>
  <c r="AP241" i="1"/>
  <c r="AP242" i="1" s="1"/>
  <c r="AO100" i="1"/>
  <c r="AO101" i="1" s="1"/>
  <c r="AP147" i="1"/>
  <c r="AP148" i="1" s="1"/>
  <c r="AD395" i="1"/>
  <c r="AE53" i="1"/>
  <c r="AE394" i="1" s="1"/>
  <c r="AP335" i="1"/>
  <c r="AP336" i="1" s="1"/>
  <c r="AO194" i="1"/>
  <c r="AO195" i="1" s="1"/>
  <c r="AP382" i="1"/>
  <c r="AP383" i="1" s="1"/>
  <c r="AQ147" i="1" l="1"/>
  <c r="AQ148" i="1" s="1"/>
  <c r="AQ335" i="1"/>
  <c r="AQ336" i="1" s="1"/>
  <c r="AQ382" i="1"/>
  <c r="AQ383" i="1" s="1"/>
  <c r="AP100" i="1"/>
  <c r="AP101" i="1" s="1"/>
  <c r="AP194" i="1"/>
  <c r="AP195" i="1" s="1"/>
  <c r="AR288" i="1"/>
  <c r="AR289" i="1" s="1"/>
  <c r="AQ241" i="1"/>
  <c r="AQ242" i="1" s="1"/>
  <c r="AE54" i="1"/>
  <c r="AR382" i="1" l="1"/>
  <c r="AR383" i="1" s="1"/>
  <c r="AR335" i="1"/>
  <c r="AR336" i="1" s="1"/>
  <c r="AS288" i="1"/>
  <c r="AS289" i="1" s="1"/>
  <c r="AR241" i="1"/>
  <c r="AR242" i="1" s="1"/>
  <c r="AR147" i="1"/>
  <c r="AR148" i="1" s="1"/>
  <c r="AQ100" i="1"/>
  <c r="AQ101" i="1" s="1"/>
  <c r="AE395" i="1"/>
  <c r="AF53" i="1"/>
  <c r="AF394" i="1" s="1"/>
  <c r="AQ194" i="1"/>
  <c r="AQ195" i="1" s="1"/>
  <c r="AR100" i="1" l="1"/>
  <c r="AR101" i="1" s="1"/>
  <c r="AT288" i="1"/>
  <c r="AT289" i="1"/>
  <c r="AS241" i="1"/>
  <c r="AS242" i="1" s="1"/>
  <c r="AS382" i="1"/>
  <c r="AS383" i="1" s="1"/>
  <c r="AR194" i="1"/>
  <c r="AR195" i="1" s="1"/>
  <c r="AS335" i="1"/>
  <c r="AS336" i="1" s="1"/>
  <c r="AS147" i="1"/>
  <c r="AS148" i="1" s="1"/>
  <c r="AF54" i="1"/>
  <c r="AT241" i="1" l="1"/>
  <c r="AT242" i="1" s="1"/>
  <c r="AT382" i="1"/>
  <c r="AT383" i="1" s="1"/>
  <c r="AS100" i="1"/>
  <c r="AS101" i="1" s="1"/>
  <c r="AT335" i="1"/>
  <c r="AT336" i="1" s="1"/>
  <c r="AU288" i="1"/>
  <c r="AU289" i="1" s="1"/>
  <c r="AF395" i="1"/>
  <c r="AG53" i="1"/>
  <c r="AG394" i="1" s="1"/>
  <c r="AT147" i="1"/>
  <c r="AT148" i="1" s="1"/>
  <c r="AS194" i="1"/>
  <c r="AS195" i="1" s="1"/>
  <c r="AT194" i="1" l="1"/>
  <c r="AT195" i="1" s="1"/>
  <c r="AU147" i="1"/>
  <c r="AU148" i="1" s="1"/>
  <c r="AU382" i="1"/>
  <c r="AU383" i="1" s="1"/>
  <c r="AV288" i="1"/>
  <c r="AV289" i="1" s="1"/>
  <c r="AU241" i="1"/>
  <c r="AU242" i="1" s="1"/>
  <c r="AU335" i="1"/>
  <c r="AU336" i="1" s="1"/>
  <c r="AT100" i="1"/>
  <c r="AT101" i="1" s="1"/>
  <c r="AG54" i="1"/>
  <c r="AV241" i="1" l="1"/>
  <c r="AV242" i="1" s="1"/>
  <c r="AV335" i="1"/>
  <c r="AV336" i="1" s="1"/>
  <c r="AU194" i="1"/>
  <c r="AU195" i="1" s="1"/>
  <c r="AG395" i="1"/>
  <c r="AH53" i="1"/>
  <c r="AH394" i="1" s="1"/>
  <c r="AW288" i="1"/>
  <c r="AW289" i="1" s="1"/>
  <c r="AU100" i="1"/>
  <c r="AU101" i="1" s="1"/>
  <c r="AV382" i="1"/>
  <c r="AV383" i="1" s="1"/>
  <c r="AV147" i="1"/>
  <c r="AV148" i="1" s="1"/>
  <c r="AH54" i="1" l="1"/>
  <c r="AH395" i="1" s="1"/>
  <c r="AX288" i="1"/>
  <c r="AX289" i="1" s="1"/>
  <c r="AW335" i="1"/>
  <c r="AW336" i="1" s="1"/>
  <c r="AV100" i="1"/>
  <c r="AV101" i="1" s="1"/>
  <c r="AW241" i="1"/>
  <c r="AW242" i="1" s="1"/>
  <c r="AW147" i="1"/>
  <c r="AW148" i="1" s="1"/>
  <c r="AW382" i="1"/>
  <c r="AW383" i="1" s="1"/>
  <c r="AV194" i="1"/>
  <c r="AV195" i="1" s="1"/>
  <c r="AI53" i="1" l="1"/>
  <c r="AI394" i="1" s="1"/>
  <c r="AI54" i="1"/>
  <c r="AI395" i="1" s="1"/>
  <c r="AX147" i="1"/>
  <c r="AX148" i="1" s="1"/>
  <c r="AX335" i="1"/>
  <c r="AX336" i="1" s="1"/>
  <c r="AY288" i="1"/>
  <c r="AY289" i="1" s="1"/>
  <c r="AW194" i="1"/>
  <c r="AW195" i="1" s="1"/>
  <c r="AX382" i="1"/>
  <c r="AX383" i="1" s="1"/>
  <c r="AX241" i="1"/>
  <c r="AX242" i="1" s="1"/>
  <c r="AW100" i="1"/>
  <c r="AW101" i="1" s="1"/>
  <c r="AJ53" i="1"/>
  <c r="AJ394" i="1" s="1"/>
  <c r="AY382" i="1" l="1"/>
  <c r="AY383" i="1" s="1"/>
  <c r="AZ288" i="1"/>
  <c r="AZ289" i="1" s="1"/>
  <c r="AX100" i="1"/>
  <c r="AX101" i="1" s="1"/>
  <c r="AY335" i="1"/>
  <c r="AY336" i="1" s="1"/>
  <c r="AY241" i="1"/>
  <c r="AY242" i="1" s="1"/>
  <c r="AX194" i="1"/>
  <c r="AX195" i="1" s="1"/>
  <c r="AY147" i="1"/>
  <c r="AY148" i="1" s="1"/>
  <c r="AJ54" i="1"/>
  <c r="AZ335" i="1" l="1"/>
  <c r="AZ336" i="1" s="1"/>
  <c r="AZ147" i="1"/>
  <c r="AZ148" i="1" s="1"/>
  <c r="AY194" i="1"/>
  <c r="AY195" i="1" s="1"/>
  <c r="AZ382" i="1"/>
  <c r="AZ383" i="1" s="1"/>
  <c r="AJ395" i="1"/>
  <c r="AK53" i="1"/>
  <c r="AK394" i="1" s="1"/>
  <c r="BA288" i="1"/>
  <c r="BA289" i="1" s="1"/>
  <c r="AY100" i="1"/>
  <c r="AY101" i="1" s="1"/>
  <c r="AZ241" i="1"/>
  <c r="AZ242" i="1" s="1"/>
  <c r="BA241" i="1" l="1"/>
  <c r="BA242" i="1" s="1"/>
  <c r="AZ194" i="1"/>
  <c r="AZ195" i="1" s="1"/>
  <c r="BB288" i="1"/>
  <c r="BB289" i="1" s="1"/>
  <c r="BA335" i="1"/>
  <c r="BA336" i="1" s="1"/>
  <c r="AZ100" i="1"/>
  <c r="AZ101" i="1" s="1"/>
  <c r="BA382" i="1"/>
  <c r="BA383" i="1" s="1"/>
  <c r="BA147" i="1"/>
  <c r="BA148" i="1" s="1"/>
  <c r="AK54" i="1"/>
  <c r="BA100" i="1" l="1"/>
  <c r="BA101" i="1" s="1"/>
  <c r="BC288" i="1"/>
  <c r="BC289" i="1" s="1"/>
  <c r="BA194" i="1"/>
  <c r="BA195" i="1" s="1"/>
  <c r="BB241" i="1"/>
  <c r="BB242" i="1" s="1"/>
  <c r="AL53" i="1"/>
  <c r="AL394" i="1" s="1"/>
  <c r="AK395" i="1"/>
  <c r="BB335" i="1"/>
  <c r="BB336" i="1" s="1"/>
  <c r="BB147" i="1"/>
  <c r="BB148" i="1" s="1"/>
  <c r="BB382" i="1"/>
  <c r="BB383" i="1" s="1"/>
  <c r="AL54" i="1" l="1"/>
  <c r="BC382" i="1"/>
  <c r="BC383" i="1" s="1"/>
  <c r="BB194" i="1"/>
  <c r="BB195" i="1" s="1"/>
  <c r="BD288" i="1"/>
  <c r="BD289" i="1" s="1"/>
  <c r="BC147" i="1"/>
  <c r="BC148" i="1" s="1"/>
  <c r="BC241" i="1"/>
  <c r="BC242" i="1" s="1"/>
  <c r="BC335" i="1"/>
  <c r="BC336" i="1" s="1"/>
  <c r="AL395" i="1"/>
  <c r="AM53" i="1"/>
  <c r="AM394" i="1" s="1"/>
  <c r="BB100" i="1"/>
  <c r="BB101" i="1" s="1"/>
  <c r="AM54" i="1" l="1"/>
  <c r="BD241" i="1"/>
  <c r="BD242" i="1" s="1"/>
  <c r="BD147" i="1"/>
  <c r="BD148" i="1" s="1"/>
  <c r="BC100" i="1"/>
  <c r="BC101" i="1" s="1"/>
  <c r="BE288" i="1"/>
  <c r="BE289" i="1" s="1"/>
  <c r="BC194" i="1"/>
  <c r="BC195" i="1" s="1"/>
  <c r="BD382" i="1"/>
  <c r="BD383" i="1" s="1"/>
  <c r="AN53" i="1"/>
  <c r="AN394" i="1" s="1"/>
  <c r="AM395" i="1"/>
  <c r="BD335" i="1"/>
  <c r="BD336" i="1" s="1"/>
  <c r="BE382" i="1" l="1"/>
  <c r="BE383" i="1" s="1"/>
  <c r="BF288" i="1"/>
  <c r="BF289" i="1" s="1"/>
  <c r="BE335" i="1"/>
  <c r="BE336" i="1" s="1"/>
  <c r="BE147" i="1"/>
  <c r="BE148" i="1" s="1"/>
  <c r="BE241" i="1"/>
  <c r="BE242" i="1" s="1"/>
  <c r="BD100" i="1"/>
  <c r="BD101" i="1" s="1"/>
  <c r="AN54" i="1"/>
  <c r="BD194" i="1"/>
  <c r="BD195" i="1" s="1"/>
  <c r="BF147" i="1" l="1"/>
  <c r="BF148" i="1" s="1"/>
  <c r="BE100" i="1"/>
  <c r="BE101" i="1" s="1"/>
  <c r="BF241" i="1"/>
  <c r="BF242" i="1" s="1"/>
  <c r="BF335" i="1"/>
  <c r="BF336" i="1" s="1"/>
  <c r="BF382" i="1"/>
  <c r="BF383" i="1" s="1"/>
  <c r="BE194" i="1"/>
  <c r="BE195" i="1" s="1"/>
  <c r="AN395" i="1"/>
  <c r="AO53" i="1"/>
  <c r="AO394" i="1" s="1"/>
  <c r="BG288" i="1"/>
  <c r="BG289" i="1" s="1"/>
  <c r="BG382" i="1" l="1"/>
  <c r="BG383" i="1" s="1"/>
  <c r="BF194" i="1"/>
  <c r="BF195" i="1" s="1"/>
  <c r="BG147" i="1"/>
  <c r="BG148" i="1" s="1"/>
  <c r="BG241" i="1"/>
  <c r="BG242" i="1" s="1"/>
  <c r="BG335" i="1"/>
  <c r="BG336" i="1" s="1"/>
  <c r="BF100" i="1"/>
  <c r="BF101" i="1" s="1"/>
  <c r="AO54" i="1"/>
  <c r="BG100" i="1" l="1"/>
  <c r="BG101" i="1" s="1"/>
  <c r="BG194" i="1"/>
  <c r="BG195" i="1" s="1"/>
  <c r="AO395" i="1"/>
  <c r="AP53" i="1"/>
  <c r="AP394" i="1" s="1"/>
  <c r="AP54" i="1" l="1"/>
  <c r="AP395" i="1" s="1"/>
  <c r="AQ53" i="1"/>
  <c r="AQ394" i="1" s="1"/>
  <c r="AQ54" i="1" l="1"/>
  <c r="AQ395" i="1" l="1"/>
  <c r="AR53" i="1"/>
  <c r="AR394" i="1" s="1"/>
  <c r="AR54" i="1" l="1"/>
  <c r="AR395" i="1" s="1"/>
  <c r="AS53" i="1" l="1"/>
  <c r="AS394" i="1" s="1"/>
  <c r="AS54" i="1"/>
  <c r="AT53" i="1" s="1"/>
  <c r="AT394" i="1" s="1"/>
  <c r="AS395" i="1" l="1"/>
  <c r="AT54" i="1"/>
  <c r="AT395" i="1" l="1"/>
  <c r="AU53" i="1"/>
  <c r="AU394" i="1" s="1"/>
  <c r="AU54" i="1" l="1"/>
  <c r="AU395" i="1" s="1"/>
  <c r="AV53" i="1" l="1"/>
  <c r="AV394" i="1" s="1"/>
  <c r="AV54" i="1" l="1"/>
  <c r="AW53" i="1" l="1"/>
  <c r="AW394" i="1" s="1"/>
  <c r="AV395" i="1"/>
  <c r="AW54" i="1" l="1"/>
  <c r="AW395" i="1" l="1"/>
  <c r="AX53" i="1"/>
  <c r="AX394" i="1" s="1"/>
  <c r="AX54" i="1"/>
  <c r="AX395" i="1" l="1"/>
  <c r="AY53" i="1"/>
  <c r="AY394" i="1" l="1"/>
  <c r="AY54" i="1"/>
  <c r="AZ53" i="1" l="1"/>
  <c r="AZ394" i="1" s="1"/>
  <c r="AY395" i="1"/>
  <c r="AZ54" i="1" l="1"/>
  <c r="BA53" i="1" s="1"/>
  <c r="BA394" i="1" s="1"/>
  <c r="AZ395" i="1"/>
  <c r="BA54" i="1" l="1"/>
  <c r="BA395" i="1" l="1"/>
  <c r="BB53" i="1"/>
  <c r="BB394" i="1" s="1"/>
  <c r="BB54" i="1" l="1"/>
  <c r="BB395" i="1" l="1"/>
  <c r="BC53" i="1"/>
  <c r="BC394" i="1" s="1"/>
  <c r="BC54" i="1" l="1"/>
  <c r="BD53" i="1" l="1"/>
  <c r="BD394" i="1" s="1"/>
  <c r="BC395" i="1"/>
  <c r="BD54" i="1" l="1"/>
  <c r="BD395" i="1" l="1"/>
  <c r="BE53" i="1"/>
  <c r="BE394" i="1" s="1"/>
  <c r="BE54" i="1"/>
  <c r="BE395" i="1" l="1"/>
  <c r="BF53" i="1"/>
  <c r="BF394" i="1" s="1"/>
  <c r="BF54" i="1" l="1"/>
  <c r="BF395" i="1" l="1"/>
  <c r="BG53" i="1"/>
  <c r="BG394" i="1" s="1"/>
  <c r="BG54" i="1" l="1"/>
  <c r="BG395" i="1" s="1"/>
</calcChain>
</file>

<file path=xl/sharedStrings.xml><?xml version="1.0" encoding="utf-8"?>
<sst xmlns="http://schemas.openxmlformats.org/spreadsheetml/2006/main" count="1989" uniqueCount="91">
  <si>
    <t>Pacific Power &amp; Light Company - State of Washington</t>
  </si>
  <si>
    <t>Schedule 93: Decoupling Revenue Adjustment</t>
  </si>
  <si>
    <t>Cumulative Deferral Balances</t>
  </si>
  <si>
    <t>Deferral Period 1</t>
  </si>
  <si>
    <t>Deferral Period 2</t>
  </si>
  <si>
    <t>Deferral Period 3</t>
  </si>
  <si>
    <t>Deferral Period 4</t>
  </si>
  <si>
    <t>Deferral Period 5</t>
  </si>
  <si>
    <t>Decoupled</t>
  </si>
  <si>
    <t>Revenue</t>
  </si>
  <si>
    <t>Deferral</t>
  </si>
  <si>
    <t xml:space="preserve"> </t>
  </si>
  <si>
    <t>Class</t>
  </si>
  <si>
    <t>Period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</si>
  <si>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</si>
  <si>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</si>
  <si>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</si>
  <si>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</si>
  <si>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</si>
  <si>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</si>
  <si>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</si>
  <si>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</si>
  <si>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</si>
  <si>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</si>
  <si>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</si>
  <si>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</si>
  <si>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</si>
  <si>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Residential</t>
  </si>
  <si>
    <t>Res</t>
  </si>
  <si>
    <t>Booked Monthly Deferral</t>
  </si>
  <si>
    <t>Interest</t>
  </si>
  <si>
    <t>Cumulative Deferral + Interest</t>
  </si>
  <si>
    <t>Excess Earnings Allocation</t>
  </si>
  <si>
    <t>$ transferred to balancing account 7-1-17</t>
  </si>
  <si>
    <t>$ transferred to balancing account 2-1-19</t>
  </si>
  <si>
    <t>$ transferred to balancing account 2-1-20</t>
  </si>
  <si>
    <t>SCRF Payment Allocation</t>
  </si>
  <si>
    <t>$ transferred to balancing account 2-1-21</t>
  </si>
  <si>
    <t>? Allocation</t>
  </si>
  <si>
    <t>$ transferred to balancing account 2-1-22</t>
  </si>
  <si>
    <t>$ transferred to balancing account 2-1-23</t>
  </si>
  <si>
    <t>$ transferred to balancing account 2-1-24</t>
  </si>
  <si>
    <t>Balancing Account Distribution</t>
  </si>
  <si>
    <t>Balancing Account Interest</t>
  </si>
  <si>
    <t>Cumulative Deferral Balance</t>
  </si>
  <si>
    <t>Small GS</t>
  </si>
  <si>
    <t>Res+Com</t>
  </si>
  <si>
    <t>Ind</t>
  </si>
  <si>
    <t>Res+Com+Ind</t>
  </si>
  <si>
    <t>Large GS</t>
  </si>
  <si>
    <t>APS</t>
  </si>
  <si>
    <t>Irg</t>
  </si>
  <si>
    <t>Total</t>
  </si>
  <si>
    <t>Note: Interest on deferred balances accrue at the quarterly rate published by the FERC (see below)</t>
  </si>
  <si>
    <t>FERC Interest Rate</t>
  </si>
  <si>
    <t>Note: Deferral Period 1 Excess Earnings allocated to Decoupled Classes based on UE-152253 Test Period Allowed Decoupled $. Later Deferral Periods Excess Earnings and SCRF Payments allocated to Decoupled Classes based on Deferral Period Allowed Decoupled $ (see below)</t>
  </si>
  <si>
    <t>50% of Excess Earnings</t>
  </si>
  <si>
    <t>Excess Earnings Allocation Calculation</t>
  </si>
  <si>
    <t>SCRF Payment</t>
  </si>
  <si>
    <t>SCRF Payment Allocation Calculation</t>
  </si>
  <si>
    <t>Booked Monthly Deferrals</t>
  </si>
  <si>
    <t>Post</t>
  </si>
  <si>
    <t>Pre</t>
  </si>
  <si>
    <t>GenMo</t>
  </si>
  <si>
    <t>Decoupling Docket UE-</t>
  </si>
  <si>
    <t>Timeframe</t>
  </si>
  <si>
    <t>Units</t>
  </si>
  <si>
    <t>All</t>
  </si>
  <si>
    <t>Test</t>
  </si>
  <si>
    <t>Annual</t>
  </si>
  <si>
    <t>Actual</t>
  </si>
  <si>
    <t>$</t>
  </si>
  <si>
    <t>Fixed</t>
  </si>
  <si>
    <t>NPC</t>
  </si>
  <si>
    <t>Allowed Decoupled</t>
  </si>
  <si>
    <t>Average</t>
  </si>
  <si>
    <t>Bills</t>
  </si>
  <si>
    <t>Monthly</t>
  </si>
  <si>
    <t>Normalized</t>
  </si>
  <si>
    <t>kWh</t>
  </si>
  <si>
    <t>Booked</t>
  </si>
  <si>
    <t>Schedule 93</t>
  </si>
  <si>
    <t>$/kWh</t>
  </si>
  <si>
    <t>Schedule 191</t>
  </si>
  <si>
    <t>Schedule 197</t>
  </si>
  <si>
    <t>Sch. 93</t>
  </si>
  <si>
    <t>Sch. 191</t>
  </si>
  <si>
    <t>Sch. 197</t>
  </si>
  <si>
    <t>Actual Decoupled</t>
  </si>
  <si>
    <t>Com</t>
  </si>
  <si>
    <t>Third Quarter of Deferral Period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</si>
</sst>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0000_);_(* \(#,##0.00000\);_(* &quot;-&quot;??_);_(@_)"/>
    <numFmt numFmtId="167" formatCode="0.0%"/>
  </numFmts>
  <fonts count="1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0" fontId="3" fillId="0" borderId="0" xfId="3" applyFont="1"/>
    <xf numFmtId="0" fontId="4" fillId="0" borderId="0" xfId="3" applyFont="1"/>
    <xf numFmtId="43" fontId="4" fillId="0" borderId="0" xfId="1" applyFont="1"/>
    <xf numFmtId="6" fontId="4" fillId="0" borderId="0" xfId="3" applyNumberFormat="1" applyFont="1"/>
    <xf numFmtId="164" fontId="4" fillId="0" borderId="0" xfId="4" applyNumberFormat="1" applyFont="1" applyFill="1" applyBorder="1"/>
    <xf numFmtId="0" fontId="7" fillId="0" borderId="0" xfId="5" applyNumberFormat="1" applyFont="1" applyAlignment="1">
      <alignment horizontal="left"/>
    </xf>
    <xf numFmtId="43" fontId="8" fillId="0" borderId="0" xfId="1" applyFont="1" applyAlignment="1">
      <alignment horizontal="centerContinuous"/>
    </xf>
    <xf numFmtId="0" fontId="8" fillId="0" borderId="0" xfId="5" applyNumberFormat="1" applyFont="1" applyAlignment="1">
      <alignment horizontal="centerContinuous"/>
    </xf>
    <xf numFmtId="41" fontId="8" fillId="0" borderId="0" xfId="5" applyFont="1" applyAlignment="1">
      <alignment horizontal="centerContinuous"/>
    </xf>
    <xf numFmtId="0" fontId="3" fillId="0" borderId="0" xfId="3" applyFont="1" applyAlignment="1">
      <alignment horizontal="left"/>
    </xf>
    <xf numFmtId="43" fontId="7" fillId="0" borderId="0" xfId="1" applyFont="1" applyAlignment="1">
      <alignment horizontal="centerContinuous"/>
    </xf>
    <xf numFmtId="0" fontId="7" fillId="0" borderId="0" xfId="5" applyNumberFormat="1" applyFont="1" applyAlignment="1">
      <alignment horizontal="centerContinuous"/>
    </xf>
    <xf numFmtId="0" fontId="4" fillId="0" borderId="0" xfId="3" applyFont="1" applyAlignment="1">
      <alignment horizontal="center"/>
    </xf>
    <xf numFmtId="0" fontId="8" fillId="0" borderId="0" xfId="5" applyNumberFormat="1" applyFont="1" applyFill="1"/>
    <xf numFmtId="43" fontId="8" fillId="0" borderId="0" xfId="1" applyFont="1" applyFill="1"/>
    <xf numFmtId="0" fontId="8" fillId="0" borderId="0" xfId="5" applyNumberFormat="1" applyFont="1" applyFill="1" applyBorder="1"/>
    <xf numFmtId="43" fontId="7" fillId="0" borderId="0" xfId="1" applyFont="1" applyFill="1" applyBorder="1" applyAlignment="1">
      <alignment horizontal="right"/>
    </xf>
    <xf numFmtId="0" fontId="8" fillId="0" borderId="1" xfId="5" applyNumberFormat="1" applyFont="1" applyBorder="1" applyAlignment="1">
      <alignment horizontal="centerContinuous"/>
    </xf>
    <xf numFmtId="0" fontId="8" fillId="0" borderId="2" xfId="5" applyNumberFormat="1" applyFont="1" applyBorder="1" applyAlignment="1">
      <alignment horizontal="centerContinuous"/>
    </xf>
    <xf numFmtId="0" fontId="8" fillId="0" borderId="3" xfId="5" applyNumberFormat="1" applyFont="1" applyBorder="1" applyAlignment="1">
      <alignment horizontal="centerContinuous"/>
    </xf>
    <xf numFmtId="165" fontId="8" fillId="0" borderId="2" xfId="5" applyNumberFormat="1" applyFont="1" applyFill="1" applyBorder="1" applyAlignment="1">
      <alignment horizontal="centerContinuous"/>
    </xf>
    <xf numFmtId="0" fontId="8" fillId="0" borderId="2" xfId="5" applyNumberFormat="1" applyFont="1" applyFill="1" applyBorder="1" applyAlignment="1">
      <alignment horizontal="centerContinuous"/>
    </xf>
    <xf numFmtId="0" fontId="4" fillId="0" borderId="2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165" fontId="8" fillId="0" borderId="2" xfId="5" applyNumberFormat="1" applyFont="1" applyBorder="1" applyAlignment="1">
      <alignment horizontal="centerContinuous"/>
    </xf>
    <xf numFmtId="165" fontId="8" fillId="0" borderId="3" xfId="5" applyNumberFormat="1" applyFont="1" applyBorder="1" applyAlignment="1">
      <alignment horizontal="centerContinuous"/>
    </xf>
    <xf numFmtId="0" fontId="8" fillId="0" borderId="0" xfId="5" applyNumberFormat="1" applyFont="1" applyBorder="1" applyAlignment="1">
      <alignment horizontal="center"/>
    </xf>
    <xf numFmtId="43" fontId="7" fillId="0" borderId="0" xfId="1" applyFont="1" applyBorder="1" applyAlignment="1">
      <alignment horizontal="right"/>
    </xf>
    <xf numFmtId="0" fontId="8" fillId="0" borderId="4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/>
    </xf>
    <xf numFmtId="0" fontId="8" fillId="0" borderId="5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Continuous"/>
    </xf>
    <xf numFmtId="0" fontId="8" fillId="0" borderId="6" xfId="5" applyNumberFormat="1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6" xfId="3" applyFont="1" applyBorder="1" applyAlignment="1">
      <alignment horizontal="centerContinuous"/>
    </xf>
    <xf numFmtId="0" fontId="4" fillId="0" borderId="2" xfId="3" applyFont="1" applyBorder="1" applyAlignment="1">
      <alignment horizontal="center"/>
    </xf>
    <xf numFmtId="0" fontId="8" fillId="0" borderId="2" xfId="5" applyNumberFormat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165" fontId="8" fillId="0" borderId="1" xfId="5" applyNumberFormat="1" applyFont="1" applyBorder="1" applyAlignment="1">
      <alignment horizontal="center"/>
    </xf>
    <xf numFmtId="165" fontId="8" fillId="0" borderId="2" xfId="5" applyNumberFormat="1" applyFont="1" applyBorder="1" applyAlignment="1">
      <alignment horizontal="center"/>
    </xf>
    <xf numFmtId="165" fontId="8" fillId="0" borderId="3" xfId="5" applyNumberFormat="1" applyFont="1" applyBorder="1" applyAlignment="1">
      <alignment horizontal="center"/>
    </xf>
    <xf numFmtId="165" fontId="8" fillId="0" borderId="2" xfId="5" quotePrefix="1" applyNumberFormat="1" applyFont="1" applyBorder="1" applyAlignment="1">
      <alignment horizontal="center"/>
    </xf>
    <xf numFmtId="0" fontId="8" fillId="0" borderId="0" xfId="5" applyNumberFormat="1" applyFont="1" applyBorder="1"/>
    <xf numFmtId="0" fontId="7" fillId="0" borderId="4" xfId="5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/>
    </xf>
    <xf numFmtId="0" fontId="7" fillId="0" borderId="6" xfId="5" applyNumberFormat="1" applyFont="1" applyBorder="1" applyAlignment="1">
      <alignment horizontal="right"/>
    </xf>
    <xf numFmtId="164" fontId="4" fillId="0" borderId="6" xfId="4" applyNumberFormat="1" applyFont="1" applyFill="1" applyBorder="1"/>
    <xf numFmtId="164" fontId="4" fillId="0" borderId="4" xfId="4" applyNumberFormat="1" applyFont="1" applyFill="1" applyBorder="1"/>
    <xf numFmtId="0" fontId="4" fillId="0" borderId="6" xfId="3" applyFont="1" applyBorder="1"/>
    <xf numFmtId="43" fontId="4" fillId="0" borderId="0" xfId="1" applyFont="1" applyAlignment="1">
      <alignment horizontal="right"/>
    </xf>
    <xf numFmtId="164" fontId="8" fillId="0" borderId="4" xfId="4" applyNumberFormat="1" applyFont="1" applyFill="1" applyBorder="1"/>
    <xf numFmtId="164" fontId="8" fillId="0" borderId="0" xfId="4" applyNumberFormat="1" applyFont="1" applyFill="1" applyBorder="1"/>
    <xf numFmtId="164" fontId="8" fillId="0" borderId="6" xfId="4" applyNumberFormat="1" applyFont="1" applyFill="1" applyBorder="1"/>
    <xf numFmtId="43" fontId="8" fillId="0" borderId="0" xfId="1" applyFont="1" applyBorder="1" applyAlignment="1">
      <alignment horizontal="right"/>
    </xf>
    <xf numFmtId="164" fontId="4" fillId="0" borderId="2" xfId="4" applyNumberFormat="1" applyFont="1" applyFill="1" applyBorder="1"/>
    <xf numFmtId="0" fontId="8" fillId="0" borderId="0" xfId="5" applyNumberFormat="1" applyFont="1" applyBorder="1" applyAlignment="1">
      <alignment horizontal="right"/>
    </xf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0" fontId="8" fillId="0" borderId="0" xfId="5" applyNumberFormat="1" applyFont="1" applyBorder="1" applyAlignment="1">
      <alignment horizontal="left"/>
    </xf>
    <xf numFmtId="0" fontId="8" fillId="0" borderId="2" xfId="5" applyNumberFormat="1" applyFont="1" applyBorder="1" applyAlignment="1">
      <alignment horizontal="left"/>
    </xf>
    <xf numFmtId="43" fontId="8" fillId="0" borderId="2" xfId="1" applyFont="1" applyBorder="1" applyAlignment="1">
      <alignment horizontal="right"/>
    </xf>
    <xf numFmtId="164" fontId="4" fillId="0" borderId="1" xfId="4" applyNumberFormat="1" applyFont="1" applyFill="1" applyBorder="1"/>
    <xf numFmtId="164" fontId="4" fillId="0" borderId="3" xfId="4" applyNumberFormat="1" applyFont="1" applyFill="1" applyBorder="1"/>
    <xf numFmtId="164" fontId="8" fillId="0" borderId="0" xfId="1" applyNumberFormat="1" applyFont="1" applyFill="1" applyBorder="1"/>
    <xf numFmtId="0" fontId="8" fillId="0" borderId="2" xfId="5" applyNumberFormat="1" applyFont="1" applyBorder="1"/>
    <xf numFmtId="0" fontId="8" fillId="0" borderId="4" xfId="5" applyNumberFormat="1" applyFont="1" applyBorder="1" applyAlignment="1">
      <alignment horizontal="right"/>
    </xf>
    <xf numFmtId="0" fontId="8" fillId="0" borderId="6" xfId="5" applyNumberFormat="1" applyFont="1" applyBorder="1" applyAlignment="1">
      <alignment horizontal="right"/>
    </xf>
    <xf numFmtId="10" fontId="9" fillId="0" borderId="1" xfId="6" quotePrefix="1" applyNumberFormat="1" applyFont="1" applyFill="1" applyBorder="1" applyAlignment="1">
      <alignment horizontal="center"/>
    </xf>
    <xf numFmtId="10" fontId="9" fillId="0" borderId="2" xfId="6" quotePrefix="1" applyNumberFormat="1" applyFont="1" applyFill="1" applyBorder="1" applyAlignment="1">
      <alignment horizontal="center"/>
    </xf>
    <xf numFmtId="10" fontId="9" fillId="0" borderId="3" xfId="6" quotePrefix="1" applyNumberFormat="1" applyFont="1" applyFill="1" applyBorder="1" applyAlignment="1">
      <alignment horizontal="center"/>
    </xf>
    <xf numFmtId="10" fontId="8" fillId="0" borderId="0" xfId="6" quotePrefix="1" applyNumberFormat="1" applyFont="1" applyFill="1" applyBorder="1" applyAlignment="1">
      <alignment horizontal="center"/>
    </xf>
    <xf numFmtId="10" fontId="8" fillId="0" borderId="6" xfId="6" quotePrefix="1" applyNumberFormat="1" applyFont="1" applyFill="1" applyBorder="1" applyAlignment="1">
      <alignment horizontal="center"/>
    </xf>
    <xf numFmtId="164" fontId="9" fillId="2" borderId="0" xfId="4" applyNumberFormat="1" applyFont="1" applyFill="1" applyBorder="1"/>
    <xf numFmtId="164" fontId="4" fillId="0" borderId="7" xfId="4" applyNumberFormat="1" applyFont="1" applyFill="1" applyBorder="1"/>
    <xf numFmtId="0" fontId="4" fillId="0" borderId="4" xfId="3" applyFont="1" applyBorder="1"/>
    <xf numFmtId="164" fontId="4" fillId="0" borderId="8" xfId="4" applyNumberFormat="1" applyFont="1" applyFill="1" applyBorder="1"/>
    <xf numFmtId="164" fontId="4" fillId="0" borderId="9" xfId="4" applyNumberFormat="1" applyFont="1" applyFill="1" applyBorder="1"/>
    <xf numFmtId="164" fontId="4" fillId="0" borderId="10" xfId="4" applyNumberFormat="1" applyFont="1" applyFill="1" applyBorder="1"/>
    <xf numFmtId="0" fontId="4" fillId="0" borderId="0" xfId="3" applyFont="1" applyAlignment="1">
      <alignment horizontal="left"/>
    </xf>
    <xf numFmtId="0" fontId="8" fillId="0" borderId="0" xfId="5" applyNumberFormat="1" applyFont="1" applyAlignment="1">
      <alignment horizontal="left"/>
    </xf>
    <xf numFmtId="0" fontId="8" fillId="0" borderId="0" xfId="5" applyNumberFormat="1" applyFont="1" applyBorder="1" applyAlignment="1">
      <alignment horizontal="centerContinuous"/>
    </xf>
    <xf numFmtId="0" fontId="8" fillId="0" borderId="0" xfId="5" applyNumberFormat="1" applyFont="1" applyFill="1" applyAlignment="1">
      <alignment horizontal="centerContinuous"/>
    </xf>
    <xf numFmtId="0" fontId="8" fillId="0" borderId="6" xfId="5" applyNumberFormat="1" applyFont="1" applyBorder="1" applyAlignment="1">
      <alignment horizontal="left"/>
    </xf>
    <xf numFmtId="0" fontId="8" fillId="0" borderId="6" xfId="5" applyNumberFormat="1" applyFont="1" applyBorder="1" applyAlignment="1">
      <alignment horizontal="centerContinuous"/>
    </xf>
    <xf numFmtId="0" fontId="8" fillId="0" borderId="0" xfId="5" applyNumberFormat="1" applyFont="1" applyFill="1" applyAlignment="1">
      <alignment horizontal="center"/>
    </xf>
    <xf numFmtId="41" fontId="8" fillId="0" borderId="6" xfId="5" applyFont="1" applyBorder="1" applyAlignment="1">
      <alignment horizontal="centerContinuous"/>
    </xf>
    <xf numFmtId="164" fontId="4" fillId="0" borderId="6" xfId="4" applyNumberFormat="1" applyFont="1" applyFill="1" applyBorder="1" applyAlignment="1">
      <alignment horizontal="right"/>
    </xf>
    <xf numFmtId="0" fontId="8" fillId="0" borderId="0" xfId="5" applyNumberFormat="1" applyFont="1" applyAlignment="1">
      <alignment horizontal="center"/>
    </xf>
    <xf numFmtId="0" fontId="8" fillId="0" borderId="6" xfId="5" applyNumberFormat="1" applyFont="1" applyBorder="1" applyAlignment="1">
      <alignment horizontal="center"/>
    </xf>
    <xf numFmtId="0" fontId="9" fillId="0" borderId="0" xfId="5" applyNumberFormat="1" applyFont="1" applyBorder="1" applyAlignment="1">
      <alignment horizontal="centerContinuous"/>
    </xf>
    <xf numFmtId="0" fontId="9" fillId="0" borderId="0" xfId="5" applyNumberFormat="1" applyFont="1" applyAlignment="1">
      <alignment horizontal="center"/>
    </xf>
    <xf numFmtId="0" fontId="8" fillId="0" borderId="6" xfId="5" applyNumberFormat="1" applyFont="1" applyFill="1" applyBorder="1" applyAlignment="1">
      <alignment horizontal="left"/>
    </xf>
    <xf numFmtId="0" fontId="7" fillId="0" borderId="6" xfId="5" applyNumberFormat="1" applyFont="1" applyFill="1" applyBorder="1" applyAlignment="1">
      <alignment horizontal="left"/>
    </xf>
    <xf numFmtId="0" fontId="8" fillId="0" borderId="3" xfId="5" applyNumberFormat="1" applyFont="1" applyBorder="1" applyAlignment="1">
      <alignment horizontal="center"/>
    </xf>
    <xf numFmtId="0" fontId="8" fillId="0" borderId="1" xfId="5" applyNumberFormat="1" applyFont="1" applyBorder="1" applyAlignment="1">
      <alignment horizontal="center"/>
    </xf>
    <xf numFmtId="165" fontId="8" fillId="0" borderId="2" xfId="5" applyNumberFormat="1" applyFont="1" applyFill="1" applyBorder="1" applyAlignment="1">
      <alignment horizontal="center"/>
    </xf>
    <xf numFmtId="165" fontId="8" fillId="0" borderId="0" xfId="5" applyNumberFormat="1" applyFont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5" fontId="8" fillId="0" borderId="6" xfId="5" applyNumberFormat="1" applyFont="1" applyBorder="1" applyAlignment="1">
      <alignment horizontal="center"/>
    </xf>
    <xf numFmtId="165" fontId="8" fillId="0" borderId="0" xfId="5" quotePrefix="1" applyNumberFormat="1" applyFont="1" applyBorder="1" applyAlignment="1">
      <alignment horizontal="center"/>
    </xf>
    <xf numFmtId="0" fontId="8" fillId="0" borderId="0" xfId="5" applyNumberFormat="1" applyFont="1" applyFill="1" applyBorder="1" applyAlignment="1">
      <alignment horizontal="right"/>
    </xf>
    <xf numFmtId="6" fontId="8" fillId="0" borderId="0" xfId="5" applyNumberFormat="1" applyFont="1" applyBorder="1" applyAlignment="1">
      <alignment horizontal="right"/>
    </xf>
    <xf numFmtId="6" fontId="8" fillId="0" borderId="6" xfId="5" applyNumberFormat="1" applyFont="1" applyBorder="1" applyAlignment="1">
      <alignment horizontal="right"/>
    </xf>
    <xf numFmtId="164" fontId="4" fillId="0" borderId="0" xfId="4" applyNumberFormat="1" applyFont="1" applyFill="1" applyBorder="1" applyAlignment="1">
      <alignment horizontal="left"/>
    </xf>
    <xf numFmtId="164" fontId="8" fillId="0" borderId="6" xfId="1" applyNumberFormat="1" applyFont="1" applyBorder="1" applyAlignment="1">
      <alignment horizontal="left"/>
    </xf>
    <xf numFmtId="164" fontId="9" fillId="0" borderId="0" xfId="5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>
      <alignment horizontal="right"/>
    </xf>
    <xf numFmtId="164" fontId="8" fillId="0" borderId="6" xfId="5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Border="1"/>
    <xf numFmtId="164" fontId="9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6" xfId="1" applyNumberFormat="1" applyFont="1" applyBorder="1" applyAlignment="1">
      <alignment horizontal="right"/>
    </xf>
    <xf numFmtId="164" fontId="9" fillId="0" borderId="0" xfId="1" applyNumberFormat="1" applyFont="1" applyBorder="1"/>
    <xf numFmtId="166" fontId="4" fillId="0" borderId="0" xfId="4" applyNumberFormat="1" applyFont="1" applyFill="1" applyBorder="1" applyAlignment="1">
      <alignment horizontal="left"/>
    </xf>
    <xf numFmtId="166" fontId="8" fillId="0" borderId="6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9" fillId="0" borderId="0" xfId="1" applyNumberFormat="1" applyFont="1" applyBorder="1"/>
    <xf numFmtId="166" fontId="8" fillId="0" borderId="0" xfId="1" applyNumberFormat="1" applyFont="1" applyBorder="1"/>
    <xf numFmtId="164" fontId="4" fillId="0" borderId="0" xfId="1" applyNumberFormat="1" applyFont="1" applyBorder="1"/>
    <xf numFmtId="166" fontId="4" fillId="0" borderId="0" xfId="3" applyNumberFormat="1" applyFont="1"/>
    <xf numFmtId="164" fontId="9" fillId="0" borderId="0" xfId="4" applyNumberFormat="1" applyFont="1" applyFill="1" applyBorder="1"/>
    <xf numFmtId="166" fontId="4" fillId="0" borderId="0" xfId="4" applyNumberFormat="1" applyFont="1" applyFill="1" applyBorder="1"/>
    <xf numFmtId="164" fontId="4" fillId="0" borderId="6" xfId="1" applyNumberFormat="1" applyFont="1" applyBorder="1"/>
    <xf numFmtId="164" fontId="4" fillId="0" borderId="11" xfId="4" applyNumberFormat="1" applyFont="1" applyFill="1" applyBorder="1" applyAlignment="1">
      <alignment horizontal="left"/>
    </xf>
    <xf numFmtId="164" fontId="8" fillId="0" borderId="12" xfId="1" applyNumberFormat="1" applyFont="1" applyBorder="1" applyAlignment="1">
      <alignment horizontal="left"/>
    </xf>
    <xf numFmtId="164" fontId="4" fillId="0" borderId="11" xfId="1" applyNumberFormat="1" applyFont="1" applyBorder="1"/>
    <xf numFmtId="164" fontId="4" fillId="0" borderId="12" xfId="1" applyNumberFormat="1" applyFont="1" applyBorder="1"/>
    <xf numFmtId="6" fontId="4" fillId="0" borderId="6" xfId="3" applyNumberFormat="1" applyFont="1" applyBorder="1"/>
    <xf numFmtId="0" fontId="7" fillId="0" borderId="0" xfId="5" applyNumberFormat="1" applyFont="1" applyFill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4" fillId="0" borderId="0" xfId="2" applyFont="1" applyFill="1" applyBorder="1"/>
    <xf numFmtId="164" fontId="4" fillId="0" borderId="0" xfId="3" applyNumberFormat="1" applyFont="1"/>
    <xf numFmtId="164" fontId="4" fillId="0" borderId="6" xfId="3" applyNumberFormat="1" applyFont="1" applyBorder="1"/>
    <xf numFmtId="10" fontId="7" fillId="0" borderId="0" xfId="6" applyNumberFormat="1" applyFont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164" fontId="8" fillId="0" borderId="6" xfId="7" applyNumberFormat="1" applyFont="1" applyFill="1" applyBorder="1" applyAlignment="1">
      <alignment horizontal="right"/>
    </xf>
    <xf numFmtId="167" fontId="8" fillId="0" borderId="0" xfId="8" applyNumberFormat="1" applyFont="1" applyBorder="1"/>
    <xf numFmtId="167" fontId="8" fillId="0" borderId="6" xfId="8" applyNumberFormat="1" applyFont="1" applyBorder="1"/>
    <xf numFmtId="164" fontId="4" fillId="0" borderId="0" xfId="7" applyNumberFormat="1" applyFont="1" applyBorder="1"/>
    <xf numFmtId="164" fontId="4" fillId="0" borderId="6" xfId="7" applyNumberFormat="1" applyFont="1" applyBorder="1"/>
    <xf numFmtId="164" fontId="4" fillId="0" borderId="11" xfId="3" applyNumberFormat="1" applyFont="1" applyBorder="1"/>
    <xf numFmtId="164" fontId="4" fillId="0" borderId="12" xfId="3" applyNumberFormat="1" applyFont="1" applyBorder="1"/>
  </cellXfs>
  <cellStyles count="10">
    <cellStyle name="Comma" xfId="1" builtinId="3"/>
    <cellStyle name="Comma 2" xfId="7" xr:uid="{F25B091F-D513-4728-9F42-C5A475D4278D}"/>
    <cellStyle name="Comma 2 2" xfId="4" xr:uid="{9E661AD6-5731-4E89-A5FF-6065A8172A2B}"/>
    <cellStyle name="Normal" xfId="0" builtinId="0"/>
    <cellStyle name="Normal 15 8" xfId="5" xr:uid="{260C105E-E75D-48D0-98A8-4DD69A6C75DA}"/>
    <cellStyle name="Normal 159" xfId="9" xr:uid="{67A0B9E4-FD58-4840-AFD3-3B22D6A419F8}"/>
    <cellStyle name="Normal 3 2" xfId="3" xr:uid="{F6427B67-AF4F-4899-8292-95B65EB30B42}"/>
    <cellStyle name="Percent" xfId="2" builtinId="5"/>
    <cellStyle name="Percent 2" xfId="6" xr:uid="{8D1408AE-CA7B-4EDF-B89C-525F7D5F9B6C}"/>
    <cellStyle name="Percent 2 2" xfId="8" xr:uid="{7D5C2949-A451-410E-B101-0A903F684ACD}"/>
  </cellStyles>
  <dxfs count="2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16%20-%20%20old%20method\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FF5F-3A1F-440B-8BCA-2723419FF038}">
  <sheetPr>
    <pageSetUpPr fitToPage="1"/>
  </sheetPr>
  <dimension ref="A1:BG436"/>
  <sheetViews>
    <sheetView tabSelected="1" zoomScale="70" zoomScaleNormal="70" workbookViewId="0">
      <pane xSplit="4" ySplit="7" topLeftCell="E8" activePane="bottomRight" state="frozen"/>
      <selection activeCell="AY32" sqref="AY32"/>
      <selection pane="topRight" activeCell="AY32" sqref="AY32"/>
      <selection pane="bottomLeft" activeCell="AY32" sqref="AY32"/>
      <selection pane="bottomRight" activeCell="BE32" sqref="BE32"/>
    </sheetView>
  </sheetViews>
  <sheetFormatPr defaultColWidth="9" defaultRowHeight="15.5" outlineLevelRow="1"/>
  <cols>
    <col min="1" max="1" width="13.33203125" style="13" customWidth="1"/>
    <col min="2" max="3" width="13.33203125" style="2" customWidth="1"/>
    <col min="4" max="4" width="36.5" style="3" customWidth="1"/>
    <col min="5" max="56" width="13.33203125" style="2" hidden="1" customWidth="1"/>
    <col min="57" max="113" width="13.33203125" style="2" customWidth="1"/>
    <col min="114" max="16384" width="9" style="2"/>
  </cols>
  <sheetData>
    <row r="1" spans="1:59" ht="15.75" customHeight="1">
      <c r="A1" s="1" t="s">
        <v>0</v>
      </c>
    </row>
    <row r="2" spans="1:59" ht="15.75" customHeight="1">
      <c r="A2" s="6" t="s">
        <v>1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ht="15.75" customHeight="1">
      <c r="A3" s="10" t="s">
        <v>2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8"/>
      <c r="AZ3" s="12"/>
      <c r="BA3" s="12"/>
      <c r="BB3" s="12"/>
      <c r="BC3" s="12"/>
      <c r="BD3" s="12"/>
      <c r="BE3" s="12"/>
      <c r="BF3" s="12"/>
      <c r="BG3" s="12"/>
    </row>
    <row r="4" spans="1:59" ht="15.75" customHeight="1">
      <c r="C4" s="14"/>
      <c r="D4" s="15"/>
    </row>
    <row r="5" spans="1:59" ht="15.75" customHeight="1">
      <c r="C5" s="16"/>
      <c r="D5" s="17"/>
      <c r="E5" s="18" t="s">
        <v>3</v>
      </c>
      <c r="F5" s="19"/>
      <c r="G5" s="19"/>
      <c r="H5" s="19"/>
      <c r="I5" s="19"/>
      <c r="J5" s="19"/>
      <c r="K5" s="19"/>
      <c r="L5" s="19"/>
      <c r="M5" s="19"/>
      <c r="N5" s="20"/>
      <c r="O5" s="21" t="s">
        <v>4</v>
      </c>
      <c r="P5" s="22"/>
      <c r="Q5" s="22"/>
      <c r="R5" s="22"/>
      <c r="S5" s="22"/>
      <c r="T5" s="22"/>
      <c r="U5" s="22"/>
      <c r="V5" s="22"/>
      <c r="W5" s="23"/>
      <c r="X5" s="22"/>
      <c r="Y5" s="22"/>
      <c r="Z5" s="24"/>
      <c r="AA5" s="25" t="s">
        <v>5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6"/>
      <c r="AM5" s="25" t="s">
        <v>6</v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5" t="s">
        <v>7</v>
      </c>
      <c r="AZ5" s="25"/>
      <c r="BA5" s="25"/>
      <c r="BB5" s="25"/>
      <c r="BC5" s="25"/>
      <c r="BD5" s="25"/>
      <c r="BE5" s="25" t="s">
        <v>90</v>
      </c>
      <c r="BF5" s="25"/>
      <c r="BG5" s="25"/>
    </row>
    <row r="6" spans="1:59" ht="15.75" customHeight="1">
      <c r="A6" s="13" t="s">
        <v>8</v>
      </c>
      <c r="B6" s="13" t="s">
        <v>9</v>
      </c>
      <c r="C6" s="27" t="s">
        <v>10</v>
      </c>
      <c r="D6" s="28" t="s">
        <v>11</v>
      </c>
      <c r="E6" s="29">
        <v>2016</v>
      </c>
      <c r="F6" s="30">
        <v>2016</v>
      </c>
      <c r="G6" s="30">
        <v>2016</v>
      </c>
      <c r="H6" s="30">
        <v>2016</v>
      </c>
      <c r="I6" s="31">
        <v>2017</v>
      </c>
      <c r="J6" s="32">
        <v>2017</v>
      </c>
      <c r="K6" s="32">
        <v>2017</v>
      </c>
      <c r="L6" s="32">
        <v>2017</v>
      </c>
      <c r="M6" s="32">
        <v>2017</v>
      </c>
      <c r="N6" s="33">
        <v>2017</v>
      </c>
      <c r="O6" s="32">
        <v>2017</v>
      </c>
      <c r="P6" s="32">
        <v>2017</v>
      </c>
      <c r="Q6" s="32">
        <v>2017</v>
      </c>
      <c r="R6" s="32">
        <v>2017</v>
      </c>
      <c r="S6" s="32">
        <v>2017</v>
      </c>
      <c r="T6" s="32">
        <v>2017</v>
      </c>
      <c r="U6" s="31">
        <v>2018</v>
      </c>
      <c r="V6" s="32">
        <v>2018</v>
      </c>
      <c r="W6" s="32">
        <v>2018</v>
      </c>
      <c r="X6" s="32">
        <v>2018</v>
      </c>
      <c r="Y6" s="32">
        <v>2018</v>
      </c>
      <c r="Z6" s="33">
        <v>2018</v>
      </c>
      <c r="AA6" s="32">
        <v>2018</v>
      </c>
      <c r="AB6" s="32">
        <v>2018</v>
      </c>
      <c r="AC6" s="32">
        <v>2018</v>
      </c>
      <c r="AD6" s="32">
        <v>2018</v>
      </c>
      <c r="AE6" s="32">
        <v>2018</v>
      </c>
      <c r="AF6" s="34">
        <v>2018</v>
      </c>
      <c r="AG6" s="35">
        <v>2019</v>
      </c>
      <c r="AH6" s="34">
        <v>2019</v>
      </c>
      <c r="AI6" s="34">
        <v>2019</v>
      </c>
      <c r="AJ6" s="34">
        <v>2019</v>
      </c>
      <c r="AK6" s="34">
        <v>2019</v>
      </c>
      <c r="AL6" s="36">
        <v>2019</v>
      </c>
      <c r="AM6" s="34">
        <v>2019</v>
      </c>
      <c r="AN6" s="34">
        <v>2019</v>
      </c>
      <c r="AO6" s="34">
        <v>2019</v>
      </c>
      <c r="AP6" s="34">
        <v>2019</v>
      </c>
      <c r="AQ6" s="34">
        <v>2019</v>
      </c>
      <c r="AR6" s="34">
        <v>2019</v>
      </c>
      <c r="AS6" s="35">
        <v>2020</v>
      </c>
      <c r="AT6" s="34">
        <v>2020</v>
      </c>
      <c r="AU6" s="34">
        <v>2020</v>
      </c>
      <c r="AV6" s="34">
        <v>2020</v>
      </c>
      <c r="AW6" s="34">
        <v>2020</v>
      </c>
      <c r="AX6" s="36">
        <v>2020</v>
      </c>
      <c r="AY6" s="34">
        <v>2020</v>
      </c>
      <c r="AZ6" s="34">
        <v>2020</v>
      </c>
      <c r="BA6" s="34">
        <v>2020</v>
      </c>
      <c r="BB6" s="34">
        <v>2020</v>
      </c>
      <c r="BC6" s="34">
        <v>2020</v>
      </c>
      <c r="BD6" s="34">
        <v>2020</v>
      </c>
      <c r="BE6" s="35">
        <v>2021</v>
      </c>
      <c r="BF6" s="34">
        <v>2021</v>
      </c>
      <c r="BG6" s="34">
        <v>2021</v>
      </c>
    </row>
    <row r="7" spans="1:59" ht="15.75" customHeight="1">
      <c r="A7" s="37" t="s">
        <v>12</v>
      </c>
      <c r="B7" s="37" t="s">
        <v>12</v>
      </c>
      <c r="C7" s="38" t="s">
        <v>13</v>
      </c>
      <c r="D7" s="39" t="s">
        <v>14</v>
      </c>
      <c r="E7" s="40" t="s">
        <v>15</v>
      </c>
      <c r="F7" s="41" t="s">
        <v>16</v>
      </c>
      <c r="G7" s="41" t="s">
        <v>17</v>
      </c>
      <c r="H7" s="41" t="s">
        <v>18</v>
      </c>
      <c r="I7" s="40" t="s">
        <v>19</v>
      </c>
      <c r="J7" s="41" t="s">
        <v>20</v>
      </c>
      <c r="K7" s="41" t="s">
        <v>21</v>
      </c>
      <c r="L7" s="41" t="s">
        <v>22</v>
      </c>
      <c r="M7" s="41" t="s">
        <v>23</v>
      </c>
      <c r="N7" s="42" t="s">
        <v>24</v>
      </c>
      <c r="O7" s="41" t="s">
        <v>25</v>
      </c>
      <c r="P7" s="41" t="s">
        <v>26</v>
      </c>
      <c r="Q7" s="43" t="s">
        <v>15</v>
      </c>
      <c r="R7" s="41" t="s">
        <v>16</v>
      </c>
      <c r="S7" s="41" t="s">
        <v>17</v>
      </c>
      <c r="T7" s="41" t="s">
        <v>18</v>
      </c>
      <c r="U7" s="40" t="s">
        <v>19</v>
      </c>
      <c r="V7" s="41" t="s">
        <v>20</v>
      </c>
      <c r="W7" s="41" t="s">
        <v>21</v>
      </c>
      <c r="X7" s="41" t="s">
        <v>22</v>
      </c>
      <c r="Y7" s="41" t="s">
        <v>23</v>
      </c>
      <c r="Z7" s="42" t="s">
        <v>24</v>
      </c>
      <c r="AA7" s="41" t="s">
        <v>25</v>
      </c>
      <c r="AB7" s="41" t="s">
        <v>26</v>
      </c>
      <c r="AC7" s="43" t="s">
        <v>15</v>
      </c>
      <c r="AD7" s="41" t="s">
        <v>16</v>
      </c>
      <c r="AE7" s="41" t="s">
        <v>17</v>
      </c>
      <c r="AF7" s="41" t="s">
        <v>18</v>
      </c>
      <c r="AG7" s="40" t="s">
        <v>19</v>
      </c>
      <c r="AH7" s="41" t="s">
        <v>20</v>
      </c>
      <c r="AI7" s="41" t="s">
        <v>21</v>
      </c>
      <c r="AJ7" s="41" t="s">
        <v>22</v>
      </c>
      <c r="AK7" s="41" t="s">
        <v>23</v>
      </c>
      <c r="AL7" s="42" t="s">
        <v>24</v>
      </c>
      <c r="AM7" s="41" t="s">
        <v>25</v>
      </c>
      <c r="AN7" s="41" t="s">
        <v>26</v>
      </c>
      <c r="AO7" s="43" t="s">
        <v>15</v>
      </c>
      <c r="AP7" s="41" t="s">
        <v>16</v>
      </c>
      <c r="AQ7" s="41" t="s">
        <v>17</v>
      </c>
      <c r="AR7" s="41" t="s">
        <v>18</v>
      </c>
      <c r="AS7" s="40" t="s">
        <v>19</v>
      </c>
      <c r="AT7" s="41" t="s">
        <v>20</v>
      </c>
      <c r="AU7" s="41" t="s">
        <v>21</v>
      </c>
      <c r="AV7" s="41" t="s">
        <v>22</v>
      </c>
      <c r="AW7" s="41" t="s">
        <v>23</v>
      </c>
      <c r="AX7" s="42" t="s">
        <v>24</v>
      </c>
      <c r="AY7" s="41" t="s">
        <v>25</v>
      </c>
      <c r="AZ7" s="41" t="s">
        <v>26</v>
      </c>
      <c r="BA7" s="43" t="s">
        <v>15</v>
      </c>
      <c r="BB7" s="41" t="s">
        <v>16</v>
      </c>
      <c r="BC7" s="41" t="s">
        <v>17</v>
      </c>
      <c r="BD7" s="41" t="s">
        <v>18</v>
      </c>
      <c r="BE7" s="40" t="s">
        <v>19</v>
      </c>
      <c r="BF7" s="41" t="s">
        <v>20</v>
      </c>
      <c r="BG7" s="41" t="s">
        <v>21</v>
      </c>
    </row>
    <row r="8" spans="1:59" ht="15.75" hidden="1" customHeight="1" outlineLevel="1">
      <c r="C8" s="44"/>
      <c r="D8" s="28"/>
      <c r="E8" s="45"/>
      <c r="F8" s="46"/>
      <c r="G8" s="46"/>
      <c r="H8" s="46"/>
      <c r="I8" s="46"/>
      <c r="J8" s="46"/>
      <c r="K8" s="46"/>
      <c r="L8" s="46"/>
      <c r="M8" s="46"/>
      <c r="N8" s="4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8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8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48"/>
      <c r="AY8" s="5"/>
      <c r="AZ8" s="5"/>
      <c r="BA8" s="5"/>
      <c r="BB8" s="5"/>
      <c r="BC8" s="5"/>
      <c r="BD8" s="5"/>
      <c r="BE8" s="5"/>
      <c r="BF8" s="5"/>
      <c r="BG8" s="5"/>
    </row>
    <row r="9" spans="1:59" ht="15.75" hidden="1" customHeight="1" outlineLevel="1">
      <c r="A9" s="27" t="s">
        <v>27</v>
      </c>
      <c r="B9" s="27" t="s">
        <v>28</v>
      </c>
      <c r="C9" s="27">
        <v>1</v>
      </c>
      <c r="D9" s="51" t="s">
        <v>29</v>
      </c>
      <c r="E9" s="52">
        <f>Deferral!G34</f>
        <v>-123991.48155062529</v>
      </c>
      <c r="F9" s="53">
        <f>Deferral!H34</f>
        <v>-877299.31697727693</v>
      </c>
      <c r="G9" s="53">
        <f>Deferral!I34</f>
        <v>-454874.81881652679</v>
      </c>
      <c r="H9" s="53">
        <f>Deferral!J34</f>
        <v>-2087643.6968761459</v>
      </c>
      <c r="I9" s="53">
        <f>Deferral!K34</f>
        <v>2046206.9496323224</v>
      </c>
      <c r="J9" s="53">
        <f>Deferral!L34</f>
        <v>1156256.4247554876</v>
      </c>
      <c r="K9" s="53">
        <f>Deferral!M34</f>
        <v>321549.22975382116</v>
      </c>
      <c r="L9" s="53">
        <f>Deferral!N34</f>
        <v>85034.889487486333</v>
      </c>
      <c r="M9" s="53">
        <f>Deferral!O34</f>
        <v>203694.99452374689</v>
      </c>
      <c r="N9" s="54">
        <f>Deferral!P34</f>
        <v>1128869.5409203433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48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48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48"/>
      <c r="AY9" s="5"/>
      <c r="AZ9" s="5"/>
      <c r="BA9" s="5"/>
      <c r="BB9" s="5"/>
      <c r="BC9" s="5"/>
      <c r="BD9" s="5"/>
      <c r="BE9" s="5"/>
      <c r="BF9" s="5"/>
      <c r="BG9" s="5"/>
    </row>
    <row r="10" spans="1:59" ht="15.75" hidden="1" customHeight="1" outlineLevel="1">
      <c r="A10" s="27" t="s">
        <v>27</v>
      </c>
      <c r="B10" s="27" t="s">
        <v>28</v>
      </c>
      <c r="C10" s="27">
        <v>1</v>
      </c>
      <c r="D10" s="55" t="s">
        <v>30</v>
      </c>
      <c r="E10" s="52">
        <f>E9/2*E$399</f>
        <v>-180.82091059466188</v>
      </c>
      <c r="F10" s="53">
        <f t="shared" ref="F10:N10" si="0">(E11+F9/2)*F$399</f>
        <v>-1641.5640527704204</v>
      </c>
      <c r="G10" s="53">
        <f t="shared" si="0"/>
        <v>-3589.1058959569646</v>
      </c>
      <c r="H10" s="53">
        <f t="shared" si="0"/>
        <v>-7307.4136235386541</v>
      </c>
      <c r="I10" s="53">
        <f t="shared" si="0"/>
        <v>-7600.2742316618242</v>
      </c>
      <c r="J10" s="53">
        <f t="shared" si="0"/>
        <v>-2537.4419934975849</v>
      </c>
      <c r="K10" s="53">
        <f t="shared" si="0"/>
        <v>-610.2838369916235</v>
      </c>
      <c r="L10" s="53">
        <f t="shared" si="0"/>
        <v>-2.2385096406372034</v>
      </c>
      <c r="M10" s="53">
        <f t="shared" si="0"/>
        <v>459.57290757044353</v>
      </c>
      <c r="N10" s="54">
        <f t="shared" si="0"/>
        <v>2431.0751227361375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48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48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48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15.75" hidden="1" customHeight="1" outlineLevel="1">
      <c r="A11" s="27" t="s">
        <v>27</v>
      </c>
      <c r="B11" s="27" t="s">
        <v>28</v>
      </c>
      <c r="C11" s="27">
        <v>1</v>
      </c>
      <c r="D11" s="51" t="s">
        <v>31</v>
      </c>
      <c r="E11" s="52">
        <f>E9+E10</f>
        <v>-124172.30246121995</v>
      </c>
      <c r="F11" s="53">
        <f>E11+SUM(F9:F10)</f>
        <v>-1003113.1834912673</v>
      </c>
      <c r="G11" s="53">
        <f t="shared" ref="G11:N11" si="1">F11+SUM(G9:G10)</f>
        <v>-1461577.108203751</v>
      </c>
      <c r="H11" s="53">
        <f t="shared" si="1"/>
        <v>-3556528.2187034357</v>
      </c>
      <c r="I11" s="53">
        <f t="shared" si="1"/>
        <v>-1517921.5433027751</v>
      </c>
      <c r="J11" s="53">
        <f t="shared" si="1"/>
        <v>-364202.56054078508</v>
      </c>
      <c r="K11" s="53">
        <f t="shared" si="1"/>
        <v>-43263.614623955567</v>
      </c>
      <c r="L11" s="53">
        <f t="shared" si="1"/>
        <v>41769.036353890129</v>
      </c>
      <c r="M11" s="53">
        <f t="shared" si="1"/>
        <v>245923.60378520744</v>
      </c>
      <c r="N11" s="54">
        <f t="shared" si="1"/>
        <v>1377224.2198282869</v>
      </c>
      <c r="O11" s="5">
        <f>N11</f>
        <v>1377224.2198282869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4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48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48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15.75" hidden="1" customHeight="1" outlineLevel="1">
      <c r="A12" s="27" t="s">
        <v>27</v>
      </c>
      <c r="B12" s="27" t="s">
        <v>28</v>
      </c>
      <c r="C12" s="27">
        <v>1</v>
      </c>
      <c r="D12" s="55" t="s">
        <v>32</v>
      </c>
      <c r="E12" s="52"/>
      <c r="F12" s="53"/>
      <c r="G12" s="53"/>
      <c r="H12" s="53"/>
      <c r="I12" s="53"/>
      <c r="J12" s="53"/>
      <c r="K12" s="53"/>
      <c r="L12" s="53"/>
      <c r="M12" s="53"/>
      <c r="N12" s="54"/>
      <c r="O12" s="56">
        <f>O404</f>
        <v>1320717.2954872781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48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48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48"/>
      <c r="AY12" s="5"/>
      <c r="AZ12" s="5"/>
      <c r="BA12" s="5"/>
      <c r="BB12" s="5"/>
      <c r="BC12" s="5"/>
      <c r="BD12" s="5"/>
      <c r="BE12" s="5"/>
      <c r="BF12" s="5"/>
      <c r="BG12" s="5"/>
    </row>
    <row r="13" spans="1:59" ht="15.75" hidden="1" customHeight="1" outlineLevel="1">
      <c r="A13" s="27" t="s">
        <v>27</v>
      </c>
      <c r="B13" s="27" t="s">
        <v>28</v>
      </c>
      <c r="C13" s="27">
        <v>1</v>
      </c>
      <c r="D13" s="55" t="s">
        <v>33</v>
      </c>
      <c r="E13" s="52"/>
      <c r="F13" s="53"/>
      <c r="G13" s="53"/>
      <c r="H13" s="53"/>
      <c r="I13" s="53"/>
      <c r="J13" s="53"/>
      <c r="K13" s="53"/>
      <c r="L13" s="53"/>
      <c r="M13" s="53"/>
      <c r="N13" s="54"/>
      <c r="O13" s="53">
        <f>SUM(O11:O12)</f>
        <v>2697941.5153155653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4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48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48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15.75" hidden="1" customHeight="1" outlineLevel="1">
      <c r="A14" s="27"/>
      <c r="B14" s="13"/>
      <c r="C14" s="27"/>
      <c r="D14" s="55"/>
      <c r="E14" s="52"/>
      <c r="F14" s="53"/>
      <c r="G14" s="53"/>
      <c r="H14" s="53"/>
      <c r="I14" s="53"/>
      <c r="J14" s="53"/>
      <c r="K14" s="53"/>
      <c r="L14" s="53"/>
      <c r="M14" s="53"/>
      <c r="N14" s="5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8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8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48"/>
      <c r="AY14" s="5"/>
      <c r="AZ14" s="5"/>
      <c r="BA14" s="5"/>
      <c r="BB14" s="5"/>
      <c r="BC14" s="5"/>
      <c r="BD14" s="5"/>
      <c r="BE14" s="5"/>
      <c r="BF14" s="5"/>
      <c r="BG14" s="5"/>
    </row>
    <row r="15" spans="1:59" ht="15.75" hidden="1" customHeight="1" outlineLevel="1">
      <c r="A15" s="27" t="s">
        <v>27</v>
      </c>
      <c r="B15" s="27" t="s">
        <v>28</v>
      </c>
      <c r="C15" s="27">
        <v>2</v>
      </c>
      <c r="D15" s="51" t="s">
        <v>29</v>
      </c>
      <c r="E15" s="52"/>
      <c r="F15" s="53"/>
      <c r="G15" s="53"/>
      <c r="H15" s="53"/>
      <c r="I15" s="53"/>
      <c r="J15" s="53"/>
      <c r="K15" s="53"/>
      <c r="L15" s="53"/>
      <c r="M15" s="53"/>
      <c r="N15" s="54"/>
      <c r="O15" s="5">
        <f>Deferral!Q34</f>
        <v>1272681.4425533293</v>
      </c>
      <c r="P15" s="5">
        <f>Deferral!R34</f>
        <v>444853.22309247218</v>
      </c>
      <c r="Q15" s="5">
        <f>Deferral!S34+Deferral!T34</f>
        <v>-53686.67996863497</v>
      </c>
      <c r="R15" s="5">
        <f>Deferral!U34+Deferral!V34</f>
        <v>-850749.66143792542</v>
      </c>
      <c r="S15" s="5">
        <f>Deferral!W34</f>
        <v>353466.26648436114</v>
      </c>
      <c r="T15" s="5">
        <f>Deferral!X34</f>
        <v>-2148577.520064123</v>
      </c>
      <c r="U15" s="5">
        <f>Deferral!Y34</f>
        <v>-680147.32325773314</v>
      </c>
      <c r="V15" s="5">
        <f>Deferral!Z34</f>
        <v>-1803116.8459928166</v>
      </c>
      <c r="W15" s="5">
        <f>Deferral!AA34</f>
        <v>1245.878083974123</v>
      </c>
      <c r="X15" s="5">
        <f>Deferral!AB34</f>
        <v>-90731.215085921809</v>
      </c>
      <c r="Y15" s="5">
        <f>Deferral!AC34</f>
        <v>223375.03623924032</v>
      </c>
      <c r="Z15" s="48">
        <f>Deferral!AD34</f>
        <v>1090328.5113304676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48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48"/>
      <c r="AY15" s="5"/>
      <c r="AZ15" s="5"/>
      <c r="BA15" s="5"/>
      <c r="BB15" s="5"/>
      <c r="BC15" s="5"/>
      <c r="BD15" s="5"/>
      <c r="BE15" s="5"/>
      <c r="BF15" s="5"/>
      <c r="BG15" s="5"/>
    </row>
    <row r="16" spans="1:59" ht="15.75" hidden="1" customHeight="1" outlineLevel="1">
      <c r="A16" s="27" t="s">
        <v>27</v>
      </c>
      <c r="B16" s="27" t="s">
        <v>28</v>
      </c>
      <c r="C16" s="27">
        <v>2</v>
      </c>
      <c r="D16" s="55" t="s">
        <v>30</v>
      </c>
      <c r="E16" s="52"/>
      <c r="F16" s="53"/>
      <c r="G16" s="53"/>
      <c r="H16" s="53"/>
      <c r="I16" s="53"/>
      <c r="J16" s="53"/>
      <c r="K16" s="53"/>
      <c r="L16" s="53"/>
      <c r="M16" s="53"/>
      <c r="N16" s="54"/>
      <c r="O16" s="5">
        <f>O15/2*O$399</f>
        <v>2163.5584523406596</v>
      </c>
      <c r="P16" s="5">
        <f t="shared" ref="P16:Z16" si="2">(O17+P15/2)*P$399</f>
        <v>5090.7234826764807</v>
      </c>
      <c r="Q16" s="5">
        <f t="shared" si="2"/>
        <v>5603.2205050684543</v>
      </c>
      <c r="R16" s="5">
        <f t="shared" si="2"/>
        <v>4504.7903666338425</v>
      </c>
      <c r="S16" s="5">
        <f t="shared" si="2"/>
        <v>3525.1781260084945</v>
      </c>
      <c r="T16" s="5">
        <f t="shared" si="2"/>
        <v>407.3878858473675</v>
      </c>
      <c r="U16" s="5">
        <f t="shared" si="2"/>
        <v>-4682.8502357429225</v>
      </c>
      <c r="V16" s="5">
        <f t="shared" si="2"/>
        <v>-8405.4520011390377</v>
      </c>
      <c r="W16" s="5">
        <f t="shared" si="2"/>
        <v>-12443.211370682604</v>
      </c>
      <c r="X16" s="5">
        <f t="shared" si="2"/>
        <v>-13000.443886504472</v>
      </c>
      <c r="Y16" s="5">
        <f t="shared" si="2"/>
        <v>-13149.185661365789</v>
      </c>
      <c r="Z16" s="48">
        <f t="shared" si="2"/>
        <v>-10421.454883693994</v>
      </c>
      <c r="AA16" s="5">
        <f t="shared" ref="AA16:AG16" si="3">Z17*AA$399</f>
        <v>-9127.4665089754544</v>
      </c>
      <c r="AB16" s="5">
        <f t="shared" si="3"/>
        <v>-9163.9763750113543</v>
      </c>
      <c r="AC16" s="5">
        <f t="shared" si="3"/>
        <v>-8970.6164734986141</v>
      </c>
      <c r="AD16" s="5">
        <f t="shared" si="3"/>
        <v>-9698.3404837256639</v>
      </c>
      <c r="AE16" s="5">
        <f t="shared" si="3"/>
        <v>-9507.1908110488057</v>
      </c>
      <c r="AF16" s="5">
        <f t="shared" si="3"/>
        <v>-9779.0037151637152</v>
      </c>
      <c r="AG16" s="5">
        <f t="shared" si="3"/>
        <v>-10287.698175089661</v>
      </c>
      <c r="AH16" s="5"/>
      <c r="AI16" s="5"/>
      <c r="AJ16" s="5"/>
      <c r="AK16" s="5"/>
      <c r="AL16" s="48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48"/>
      <c r="AY16" s="5"/>
      <c r="AZ16" s="5"/>
      <c r="BA16" s="5"/>
      <c r="BB16" s="5"/>
      <c r="BC16" s="5"/>
      <c r="BD16" s="5"/>
      <c r="BE16" s="5"/>
      <c r="BF16" s="5"/>
      <c r="BG16" s="5"/>
    </row>
    <row r="17" spans="1:59" ht="15.75" hidden="1" customHeight="1" outlineLevel="1">
      <c r="A17" s="27" t="s">
        <v>27</v>
      </c>
      <c r="B17" s="27" t="s">
        <v>28</v>
      </c>
      <c r="C17" s="27">
        <v>2</v>
      </c>
      <c r="D17" s="51" t="s">
        <v>31</v>
      </c>
      <c r="E17" s="52"/>
      <c r="F17" s="53"/>
      <c r="G17" s="53"/>
      <c r="H17" s="53"/>
      <c r="I17" s="53"/>
      <c r="J17" s="53"/>
      <c r="K17" s="53"/>
      <c r="L17" s="53"/>
      <c r="M17" s="53"/>
      <c r="N17" s="54"/>
      <c r="O17" s="5">
        <f>SUM(O15:O16)</f>
        <v>1274845.0010056701</v>
      </c>
      <c r="P17" s="5">
        <f>O17+SUM(P15:P16)</f>
        <v>1724788.9475808188</v>
      </c>
      <c r="Q17" s="5">
        <f t="shared" ref="Q17:Z17" si="4">P17+SUM(Q15:Q16)</f>
        <v>1676705.4881172522</v>
      </c>
      <c r="R17" s="5">
        <f t="shared" si="4"/>
        <v>830460.61704596062</v>
      </c>
      <c r="S17" s="5">
        <f t="shared" si="4"/>
        <v>1187452.0616563302</v>
      </c>
      <c r="T17" s="5">
        <f t="shared" si="4"/>
        <v>-960718.07052194513</v>
      </c>
      <c r="U17" s="5">
        <f t="shared" si="4"/>
        <v>-1645548.2440154213</v>
      </c>
      <c r="V17" s="5">
        <f t="shared" si="4"/>
        <v>-3457070.5420093769</v>
      </c>
      <c r="W17" s="5">
        <f t="shared" si="4"/>
        <v>-3468267.8752960856</v>
      </c>
      <c r="X17" s="5">
        <f t="shared" si="4"/>
        <v>-3571999.5342685119</v>
      </c>
      <c r="Y17" s="5">
        <f t="shared" si="4"/>
        <v>-3361773.6836906374</v>
      </c>
      <c r="Z17" s="48">
        <f t="shared" si="4"/>
        <v>-2281866.6272438634</v>
      </c>
      <c r="AA17" s="5">
        <f>Z17+AA16</f>
        <v>-2290994.0937528387</v>
      </c>
      <c r="AB17" s="5">
        <f t="shared" ref="AB17:AE17" si="5">AA17+AB16</f>
        <v>-2300158.0701278499</v>
      </c>
      <c r="AC17" s="5">
        <f t="shared" si="5"/>
        <v>-2309128.6866013487</v>
      </c>
      <c r="AD17" s="5">
        <f t="shared" si="5"/>
        <v>-2318827.0270850742</v>
      </c>
      <c r="AE17" s="5">
        <f t="shared" si="5"/>
        <v>-2328334.217896123</v>
      </c>
      <c r="AF17" s="5">
        <f>AE17+AF16</f>
        <v>-2338113.2216112865</v>
      </c>
      <c r="AG17" s="5">
        <f>AF17+AG16</f>
        <v>-2348400.9197863759</v>
      </c>
      <c r="AH17" s="5">
        <f>AG17</f>
        <v>-2348400.9197863759</v>
      </c>
      <c r="AI17" s="5"/>
      <c r="AJ17" s="5"/>
      <c r="AK17" s="5"/>
      <c r="AL17" s="48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48"/>
      <c r="AY17" s="5"/>
      <c r="AZ17" s="5"/>
      <c r="BA17" s="5"/>
      <c r="BB17" s="5"/>
      <c r="BC17" s="5"/>
      <c r="BD17" s="5"/>
      <c r="BE17" s="5"/>
      <c r="BF17" s="5"/>
      <c r="BG17" s="5"/>
    </row>
    <row r="18" spans="1:59" ht="15.75" hidden="1" customHeight="1" outlineLevel="1">
      <c r="A18" s="27" t="s">
        <v>27</v>
      </c>
      <c r="B18" s="27" t="s">
        <v>28</v>
      </c>
      <c r="C18" s="27">
        <v>2</v>
      </c>
      <c r="D18" s="55" t="s">
        <v>32</v>
      </c>
      <c r="E18" s="52"/>
      <c r="F18" s="53"/>
      <c r="G18" s="53"/>
      <c r="H18" s="53"/>
      <c r="I18" s="53"/>
      <c r="J18" s="53"/>
      <c r="K18" s="53"/>
      <c r="L18" s="53"/>
      <c r="M18" s="53"/>
      <c r="N18" s="5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48"/>
      <c r="AA18" s="5"/>
      <c r="AB18" s="5"/>
      <c r="AC18" s="5"/>
      <c r="AD18" s="5"/>
      <c r="AE18" s="5"/>
      <c r="AF18" s="5"/>
      <c r="AG18" s="5"/>
      <c r="AH18" s="56">
        <f>AH412</f>
        <v>1735141.981369955</v>
      </c>
      <c r="AI18" s="5"/>
      <c r="AJ18" s="5"/>
      <c r="AK18" s="5"/>
      <c r="AL18" s="48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48"/>
      <c r="AY18" s="5"/>
      <c r="AZ18" s="5"/>
      <c r="BA18" s="5"/>
      <c r="BB18" s="5"/>
      <c r="BC18" s="5"/>
      <c r="BD18" s="5"/>
      <c r="BE18" s="5"/>
      <c r="BF18" s="5"/>
      <c r="BG18" s="5"/>
    </row>
    <row r="19" spans="1:59" ht="15.75" hidden="1" customHeight="1" outlineLevel="1">
      <c r="A19" s="27" t="s">
        <v>27</v>
      </c>
      <c r="B19" s="27" t="s">
        <v>28</v>
      </c>
      <c r="C19" s="27">
        <v>2</v>
      </c>
      <c r="D19" s="55" t="s">
        <v>34</v>
      </c>
      <c r="E19" s="52"/>
      <c r="F19" s="53"/>
      <c r="G19" s="53"/>
      <c r="H19" s="53"/>
      <c r="I19" s="53"/>
      <c r="J19" s="53"/>
      <c r="K19" s="53"/>
      <c r="L19" s="53"/>
      <c r="M19" s="53"/>
      <c r="N19" s="5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8"/>
      <c r="AA19" s="5"/>
      <c r="AB19" s="5"/>
      <c r="AC19" s="5"/>
      <c r="AD19" s="5"/>
      <c r="AE19" s="5"/>
      <c r="AF19" s="5"/>
      <c r="AG19" s="5"/>
      <c r="AH19" s="5">
        <f>SUM(AH17:AH18)</f>
        <v>-613258.93841642095</v>
      </c>
      <c r="AI19" s="5"/>
      <c r="AJ19" s="5"/>
      <c r="AK19" s="5"/>
      <c r="AL19" s="48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48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5.75" hidden="1" customHeight="1" outlineLevel="1">
      <c r="A20" s="27"/>
      <c r="B20" s="13"/>
      <c r="C20" s="57"/>
      <c r="D20" s="55"/>
      <c r="E20" s="52"/>
      <c r="F20" s="53"/>
      <c r="G20" s="53"/>
      <c r="H20" s="53"/>
      <c r="I20" s="53"/>
      <c r="J20" s="53"/>
      <c r="K20" s="53"/>
      <c r="L20" s="53"/>
      <c r="M20" s="53"/>
      <c r="N20" s="5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8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48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48"/>
      <c r="AY20" s="5"/>
      <c r="AZ20" s="5"/>
      <c r="BA20" s="5"/>
      <c r="BB20" s="5"/>
      <c r="BC20" s="5"/>
      <c r="BD20" s="5"/>
      <c r="BE20" s="5"/>
      <c r="BF20" s="5"/>
      <c r="BG20" s="5"/>
    </row>
    <row r="21" spans="1:59" ht="15.75" hidden="1" customHeight="1" outlineLevel="1">
      <c r="A21" s="27" t="s">
        <v>27</v>
      </c>
      <c r="B21" s="13" t="s">
        <v>28</v>
      </c>
      <c r="C21" s="27">
        <v>3</v>
      </c>
      <c r="D21" s="51" t="s">
        <v>29</v>
      </c>
      <c r="E21" s="52"/>
      <c r="F21" s="53"/>
      <c r="G21" s="53"/>
      <c r="H21" s="53"/>
      <c r="I21" s="53"/>
      <c r="J21" s="53"/>
      <c r="K21" s="53"/>
      <c r="L21" s="53"/>
      <c r="M21" s="53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48" t="s">
        <v>11</v>
      </c>
      <c r="AA21" s="5">
        <f>Deferral!AE34</f>
        <v>943799.52544723731</v>
      </c>
      <c r="AB21" s="5">
        <f>Deferral!AF34</f>
        <v>471534.28091770317</v>
      </c>
      <c r="AC21" s="5">
        <f>Deferral!AG34</f>
        <v>-712729.49713616073</v>
      </c>
      <c r="AD21" s="5">
        <f>Deferral!AH34</f>
        <v>-1184730.8329498284</v>
      </c>
      <c r="AE21" s="5">
        <f>Deferral!AI34</f>
        <v>70372.413724469952</v>
      </c>
      <c r="AF21" s="5">
        <f>Deferral!AJ34</f>
        <v>-1990830.7361743841</v>
      </c>
      <c r="AG21" s="5">
        <f>Deferral!AK34</f>
        <v>-1506834.5643609855</v>
      </c>
      <c r="AH21" s="5">
        <f>Deferral!AL34</f>
        <v>264463.33751020767</v>
      </c>
      <c r="AI21" s="5">
        <f>Deferral!AM34</f>
        <v>2319069.704445147</v>
      </c>
      <c r="AJ21" s="5">
        <f>Deferral!AN34</f>
        <v>21605.769751095213</v>
      </c>
      <c r="AK21" s="5">
        <f>Deferral!AO34</f>
        <v>-124894.59777893126</v>
      </c>
      <c r="AL21" s="48">
        <f>Deferral!AP34</f>
        <v>1126050.2070844178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48"/>
      <c r="AY21" s="5"/>
      <c r="AZ21" s="5"/>
      <c r="BA21" s="5"/>
      <c r="BB21" s="5"/>
      <c r="BC21" s="5"/>
      <c r="BD21" s="5"/>
      <c r="BE21" s="5"/>
      <c r="BF21" s="5"/>
      <c r="BG21" s="5"/>
    </row>
    <row r="22" spans="1:59" ht="15.75" hidden="1" customHeight="1" outlineLevel="1">
      <c r="A22" s="27" t="s">
        <v>27</v>
      </c>
      <c r="B22" s="13" t="s">
        <v>28</v>
      </c>
      <c r="C22" s="27">
        <v>3</v>
      </c>
      <c r="D22" s="55" t="s">
        <v>30</v>
      </c>
      <c r="E22" s="52"/>
      <c r="F22" s="53"/>
      <c r="G22" s="53"/>
      <c r="H22" s="53"/>
      <c r="I22" s="53"/>
      <c r="J22" s="53"/>
      <c r="K22" s="53"/>
      <c r="L22" s="53"/>
      <c r="M22" s="53"/>
      <c r="N22" s="5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48"/>
      <c r="AA22" s="5">
        <f>AA21/2*AA$399</f>
        <v>1887.5990508944747</v>
      </c>
      <c r="AB22" s="5">
        <f t="shared" ref="AB22:AL22" si="6">(AA23+AB21/2)*AB$399</f>
        <v>4725.817059827933</v>
      </c>
      <c r="AC22" s="5">
        <f t="shared" si="6"/>
        <v>4155.7716482395717</v>
      </c>
      <c r="AD22" s="5">
        <f t="shared" si="6"/>
        <v>508.23393815387544</v>
      </c>
      <c r="AE22" s="5">
        <f t="shared" si="6"/>
        <v>-1786.2178701629614</v>
      </c>
      <c r="AF22" s="5">
        <f t="shared" si="6"/>
        <v>-5870.2487518786356</v>
      </c>
      <c r="AG22" s="5">
        <f t="shared" si="6"/>
        <v>-13870.47716241608</v>
      </c>
      <c r="AH22" s="5">
        <f t="shared" si="6"/>
        <v>-15149.749055456747</v>
      </c>
      <c r="AI22" s="5">
        <f t="shared" si="6"/>
        <v>-11047.610164544652</v>
      </c>
      <c r="AJ22" s="5">
        <f t="shared" si="6"/>
        <v>-6081.8866425377528</v>
      </c>
      <c r="AK22" s="5">
        <f t="shared" si="6"/>
        <v>-6482.5806620582889</v>
      </c>
      <c r="AL22" s="48">
        <f t="shared" si="6"/>
        <v>-4118.2264875337214</v>
      </c>
      <c r="AM22" s="5">
        <f t="shared" ref="AM22:AS22" si="7">AL23*AM$399</f>
        <v>-1674.3964537115799</v>
      </c>
      <c r="AN22" s="5">
        <f t="shared" si="7"/>
        <v>-1682.2661170440242</v>
      </c>
      <c r="AO22" s="5">
        <f t="shared" si="7"/>
        <v>-1618.2505223560827</v>
      </c>
      <c r="AP22" s="5">
        <f t="shared" si="7"/>
        <v>-1661.6555974779449</v>
      </c>
      <c r="AQ22" s="5">
        <f t="shared" si="7"/>
        <v>-1633.0100998953358</v>
      </c>
      <c r="AR22" s="5">
        <f t="shared" si="7"/>
        <v>-1676.8110596858619</v>
      </c>
      <c r="AS22" s="5">
        <f t="shared" si="7"/>
        <v>-1538.0440087725547</v>
      </c>
      <c r="AT22" s="5"/>
      <c r="AU22" s="5"/>
      <c r="AV22" s="5"/>
      <c r="AW22" s="5"/>
      <c r="AX22" s="48"/>
      <c r="AY22" s="5"/>
      <c r="AZ22" s="5"/>
      <c r="BA22" s="5"/>
      <c r="BB22" s="5"/>
      <c r="BC22" s="5"/>
      <c r="BD22" s="5"/>
      <c r="BE22" s="5"/>
      <c r="BF22" s="5"/>
      <c r="BG22" s="5"/>
    </row>
    <row r="23" spans="1:59" ht="15.75" hidden="1" customHeight="1" outlineLevel="1">
      <c r="A23" s="27" t="s">
        <v>27</v>
      </c>
      <c r="B23" s="13" t="s">
        <v>28</v>
      </c>
      <c r="C23" s="27">
        <v>3</v>
      </c>
      <c r="D23" s="51" t="s">
        <v>31</v>
      </c>
      <c r="E23" s="52"/>
      <c r="F23" s="53"/>
      <c r="G23" s="53"/>
      <c r="H23" s="53"/>
      <c r="I23" s="53"/>
      <c r="J23" s="53"/>
      <c r="K23" s="53"/>
      <c r="L23" s="53"/>
      <c r="M23" s="53"/>
      <c r="N23" s="5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48"/>
      <c r="AA23" s="5">
        <f>SUM(AA21:AA22)</f>
        <v>945687.1244981318</v>
      </c>
      <c r="AB23" s="5">
        <f>AA23+SUM(AB21:AB22)</f>
        <v>1421947.2224756628</v>
      </c>
      <c r="AC23" s="5">
        <f>AB23+SUM(AC21:AC22)</f>
        <v>713373.49698774167</v>
      </c>
      <c r="AD23" s="5">
        <f>AC23+SUM(AD21:AD22)</f>
        <v>-470849.10202393285</v>
      </c>
      <c r="AE23" s="5">
        <f t="shared" ref="AE23:AL23" si="8">AD23+SUM(AE21:AE22)</f>
        <v>-402262.90616962587</v>
      </c>
      <c r="AF23" s="5">
        <f t="shared" si="8"/>
        <v>-2398963.8910958888</v>
      </c>
      <c r="AG23" s="5">
        <f t="shared" si="8"/>
        <v>-3919668.9326192904</v>
      </c>
      <c r="AH23" s="5">
        <f t="shared" si="8"/>
        <v>-3670355.3441645396</v>
      </c>
      <c r="AI23" s="5">
        <f t="shared" si="8"/>
        <v>-1362333.2498839372</v>
      </c>
      <c r="AJ23" s="5">
        <f t="shared" si="8"/>
        <v>-1346809.3667753797</v>
      </c>
      <c r="AK23" s="5">
        <f t="shared" si="8"/>
        <v>-1478186.5452163692</v>
      </c>
      <c r="AL23" s="48">
        <f t="shared" si="8"/>
        <v>-356254.56461948506</v>
      </c>
      <c r="AM23" s="5">
        <f>AL23+AM22</f>
        <v>-357928.96107319661</v>
      </c>
      <c r="AN23" s="5">
        <f t="shared" ref="AN23:AQ23" si="9">AM23+AN22</f>
        <v>-359611.22719024064</v>
      </c>
      <c r="AO23" s="5">
        <f t="shared" si="9"/>
        <v>-361229.47771259671</v>
      </c>
      <c r="AP23" s="5">
        <f t="shared" si="9"/>
        <v>-362891.13331007463</v>
      </c>
      <c r="AQ23" s="5">
        <f t="shared" si="9"/>
        <v>-364524.14340996998</v>
      </c>
      <c r="AR23" s="5">
        <f>AQ23+AR22</f>
        <v>-366200.95446965587</v>
      </c>
      <c r="AS23" s="5">
        <f>AR23+AS22</f>
        <v>-367738.9984784284</v>
      </c>
      <c r="AT23" s="5">
        <f>AS23</f>
        <v>-367738.9984784284</v>
      </c>
      <c r="AU23" s="5"/>
      <c r="AV23" s="5"/>
      <c r="AW23" s="5"/>
      <c r="AX23" s="48"/>
      <c r="AY23" s="5"/>
      <c r="AZ23" s="5"/>
      <c r="BA23" s="5"/>
      <c r="BB23" s="5"/>
      <c r="BC23" s="5"/>
      <c r="BD23" s="5"/>
      <c r="BE23" s="5"/>
      <c r="BF23" s="5"/>
      <c r="BG23" s="5"/>
    </row>
    <row r="24" spans="1:59" ht="15.75" hidden="1" customHeight="1" outlineLevel="1">
      <c r="A24" s="27" t="s">
        <v>27</v>
      </c>
      <c r="B24" s="13" t="s">
        <v>28</v>
      </c>
      <c r="C24" s="27">
        <v>3</v>
      </c>
      <c r="D24" s="55" t="s">
        <v>32</v>
      </c>
      <c r="E24" s="52"/>
      <c r="F24" s="53"/>
      <c r="G24" s="53"/>
      <c r="H24" s="53"/>
      <c r="I24" s="53"/>
      <c r="J24" s="53"/>
      <c r="K24" s="53"/>
      <c r="L24" s="53"/>
      <c r="M24" s="53"/>
      <c r="N24" s="5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48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48"/>
      <c r="AM24" s="5"/>
      <c r="AN24" s="5"/>
      <c r="AO24" s="5"/>
      <c r="AP24" s="5"/>
      <c r="AQ24" s="5"/>
      <c r="AR24" s="5"/>
      <c r="AS24" s="5"/>
      <c r="AT24" s="56">
        <f>AT420</f>
        <v>5836328.8654791089</v>
      </c>
      <c r="AU24" s="5"/>
      <c r="AV24" s="5"/>
      <c r="AW24" s="5"/>
      <c r="AX24" s="48"/>
      <c r="AY24" s="5"/>
      <c r="AZ24" s="5"/>
      <c r="BA24" s="5"/>
      <c r="BB24" s="5"/>
      <c r="BC24" s="5"/>
      <c r="BD24" s="5"/>
      <c r="BE24" s="5"/>
      <c r="BF24" s="5"/>
      <c r="BG24" s="5"/>
    </row>
    <row r="25" spans="1:59" ht="15.75" hidden="1" customHeight="1" outlineLevel="1">
      <c r="A25" s="27" t="s">
        <v>27</v>
      </c>
      <c r="B25" s="13" t="s">
        <v>28</v>
      </c>
      <c r="C25" s="27">
        <v>3</v>
      </c>
      <c r="D25" s="55" t="s">
        <v>35</v>
      </c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48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48"/>
      <c r="AM25" s="5"/>
      <c r="AN25" s="5"/>
      <c r="AO25" s="5"/>
      <c r="AP25" s="5"/>
      <c r="AQ25" s="5"/>
      <c r="AR25" s="5"/>
      <c r="AS25" s="5"/>
      <c r="AT25" s="5">
        <f>SUM(AT23:AT24)</f>
        <v>5468589.8670006804</v>
      </c>
      <c r="AU25" s="5"/>
      <c r="AV25" s="5"/>
      <c r="AW25" s="5"/>
      <c r="AX25" s="48"/>
      <c r="AY25" s="5"/>
      <c r="AZ25" s="5"/>
      <c r="BA25" s="5"/>
      <c r="BB25" s="5"/>
      <c r="BC25" s="5"/>
      <c r="BD25" s="5"/>
      <c r="BE25" s="5"/>
      <c r="BF25" s="5"/>
      <c r="BG25" s="5"/>
    </row>
    <row r="26" spans="1:59" ht="15.75" hidden="1" customHeight="1" outlineLevel="1">
      <c r="A26" s="27"/>
      <c r="B26" s="13"/>
      <c r="C26" s="57"/>
      <c r="D26" s="55"/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8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48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48"/>
      <c r="AY26" s="5"/>
      <c r="AZ26" s="5"/>
      <c r="BA26" s="5"/>
      <c r="BB26" s="5"/>
      <c r="BC26" s="5"/>
      <c r="BD26" s="5"/>
      <c r="BE26" s="5"/>
      <c r="BF26" s="5"/>
      <c r="BG26" s="5"/>
    </row>
    <row r="27" spans="1:59" ht="15.75" hidden="1" customHeight="1" outlineLevel="1">
      <c r="A27" s="27" t="s">
        <v>27</v>
      </c>
      <c r="B27" s="13" t="s">
        <v>28</v>
      </c>
      <c r="C27" s="27">
        <v>4</v>
      </c>
      <c r="D27" s="51" t="s">
        <v>29</v>
      </c>
      <c r="E27" s="52"/>
      <c r="F27" s="53"/>
      <c r="G27" s="53"/>
      <c r="H27" s="53"/>
      <c r="I27" s="53"/>
      <c r="J27" s="53"/>
      <c r="K27" s="53"/>
      <c r="L27" s="53"/>
      <c r="M27" s="53"/>
      <c r="N27" s="5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48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48"/>
      <c r="AM27" s="5">
        <f>Deferral!AQ34</f>
        <v>630671.07070038468</v>
      </c>
      <c r="AN27" s="5">
        <f>Deferral!AR34</f>
        <v>-326542.88739845622</v>
      </c>
      <c r="AO27" s="5">
        <f>Deferral!AS34</f>
        <v>-408849.40385934059</v>
      </c>
      <c r="AP27" s="5">
        <f>Deferral!AT34</f>
        <v>-756086.22781184409</v>
      </c>
      <c r="AQ27" s="5">
        <f>Deferral!AU34</f>
        <v>808152.6822936479</v>
      </c>
      <c r="AR27" s="5">
        <f>Deferral!AV34</f>
        <v>-1521552.6317595299</v>
      </c>
      <c r="AS27" s="5">
        <f>Deferral!AW34</f>
        <v>-1594359.6926417928</v>
      </c>
      <c r="AT27" s="5">
        <f>Deferral!AX34</f>
        <v>-1607337.5445978362</v>
      </c>
      <c r="AU27" s="5">
        <f>Deferral!AY34</f>
        <v>-792272.41093572602</v>
      </c>
      <c r="AV27" s="5">
        <f>Deferral!AZ34</f>
        <v>212209.99099943973</v>
      </c>
      <c r="AW27" s="5">
        <f>Deferral!BA34</f>
        <v>-89627.586778878234</v>
      </c>
      <c r="AX27" s="48">
        <f>Deferral!BB34</f>
        <v>996964.76576563483</v>
      </c>
      <c r="AY27" s="5"/>
      <c r="AZ27" s="5"/>
      <c r="BA27" s="5"/>
      <c r="BB27" s="5"/>
      <c r="BC27" s="5"/>
      <c r="BD27" s="5"/>
      <c r="BE27" s="5"/>
      <c r="BF27" s="5"/>
      <c r="BG27" s="5"/>
    </row>
    <row r="28" spans="1:59" ht="15.75" hidden="1" customHeight="1" outlineLevel="1">
      <c r="A28" s="27" t="s">
        <v>27</v>
      </c>
      <c r="B28" s="13" t="s">
        <v>28</v>
      </c>
      <c r="C28" s="27">
        <v>4</v>
      </c>
      <c r="D28" s="55" t="s">
        <v>30</v>
      </c>
      <c r="E28" s="52"/>
      <c r="F28" s="53"/>
      <c r="G28" s="53"/>
      <c r="H28" s="53"/>
      <c r="I28" s="53"/>
      <c r="J28" s="53"/>
      <c r="K28" s="53"/>
      <c r="L28" s="53"/>
      <c r="M28" s="53"/>
      <c r="N28" s="5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48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48"/>
      <c r="AM28" s="5">
        <f>AM27/2*AM$399</f>
        <v>1482.0770161459041</v>
      </c>
      <c r="AN28" s="5">
        <f t="shared" ref="AN28:AX28" si="10">(AM29+AN27/2)*AN$399</f>
        <v>2203.7440088813219</v>
      </c>
      <c r="AO28" s="5">
        <f t="shared" si="10"/>
        <v>465.25186078778432</v>
      </c>
      <c r="AP28" s="5">
        <f t="shared" si="10"/>
        <v>-2201.6210032565878</v>
      </c>
      <c r="AQ28" s="5">
        <f t="shared" si="10"/>
        <v>-2046.5174490294323</v>
      </c>
      <c r="AR28" s="5">
        <f t="shared" si="10"/>
        <v>-3742.2294786004841</v>
      </c>
      <c r="AS28" s="5">
        <f t="shared" si="10"/>
        <v>-9975.9514646446441</v>
      </c>
      <c r="AT28" s="5">
        <f t="shared" si="10"/>
        <v>-15545.599326213704</v>
      </c>
      <c r="AU28" s="5">
        <f t="shared" si="10"/>
        <v>-21845.887082789952</v>
      </c>
      <c r="AV28" s="5">
        <f t="shared" si="10"/>
        <v>-21501.787255375024</v>
      </c>
      <c r="AW28" s="5">
        <f t="shared" si="10"/>
        <v>-21893.95747429835</v>
      </c>
      <c r="AX28" s="48">
        <f t="shared" si="10"/>
        <v>-19662.687472566478</v>
      </c>
      <c r="AY28" s="5">
        <f t="shared" ref="AY28:BE28" si="11">AX29*AY$399</f>
        <v>-13232.395619321243</v>
      </c>
      <c r="AZ28" s="5">
        <f t="shared" si="11"/>
        <v>-13270.769566617277</v>
      </c>
      <c r="BA28" s="5">
        <f t="shared" si="11"/>
        <v>-12850.314977727347</v>
      </c>
      <c r="BB28" s="5">
        <f t="shared" si="11"/>
        <v>-12886.295859664982</v>
      </c>
      <c r="BC28" s="5">
        <f t="shared" si="11"/>
        <v>-12460.864006355185</v>
      </c>
      <c r="BD28" s="5">
        <f t="shared" si="11"/>
        <v>-12957.267907289839</v>
      </c>
      <c r="BE28" s="5">
        <f t="shared" si="11"/>
        <v>-12993.54825743025</v>
      </c>
      <c r="BF28" s="5"/>
      <c r="BG28" s="5"/>
    </row>
    <row r="29" spans="1:59" ht="15.75" hidden="1" customHeight="1" outlineLevel="1" collapsed="1">
      <c r="A29" s="27" t="s">
        <v>27</v>
      </c>
      <c r="B29" s="13" t="s">
        <v>28</v>
      </c>
      <c r="C29" s="27">
        <v>4</v>
      </c>
      <c r="D29" s="51" t="s">
        <v>31</v>
      </c>
      <c r="E29" s="52"/>
      <c r="F29" s="53"/>
      <c r="G29" s="53"/>
      <c r="H29" s="53"/>
      <c r="I29" s="53"/>
      <c r="J29" s="53"/>
      <c r="K29" s="53"/>
      <c r="L29" s="53"/>
      <c r="M29" s="53"/>
      <c r="N29" s="5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48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48"/>
      <c r="AM29" s="5">
        <f>SUM(AM27:AM28)</f>
        <v>632153.1477165306</v>
      </c>
      <c r="AN29" s="5">
        <f>AM29+SUM(AN27:AN28)</f>
        <v>307814.00432695571</v>
      </c>
      <c r="AO29" s="5">
        <f t="shared" ref="AO29" si="12">AN29+SUM(AO27:AO28)</f>
        <v>-100570.14767159708</v>
      </c>
      <c r="AP29" s="5">
        <f t="shared" ref="AP29:AX29" si="13">AO29+SUM(AP27:AP28)</f>
        <v>-858857.99648669781</v>
      </c>
      <c r="AQ29" s="5">
        <f t="shared" si="13"/>
        <v>-52751.8316420794</v>
      </c>
      <c r="AR29" s="5">
        <f t="shared" si="13"/>
        <v>-1578046.6928802098</v>
      </c>
      <c r="AS29" s="5">
        <f t="shared" si="13"/>
        <v>-3182382.336986647</v>
      </c>
      <c r="AT29" s="5">
        <f t="shared" si="13"/>
        <v>-4805265.480910697</v>
      </c>
      <c r="AU29" s="5">
        <f t="shared" si="13"/>
        <v>-5619383.7789292131</v>
      </c>
      <c r="AV29" s="5">
        <f t="shared" si="13"/>
        <v>-5428675.575185148</v>
      </c>
      <c r="AW29" s="5">
        <f t="shared" si="13"/>
        <v>-5540197.1194383251</v>
      </c>
      <c r="AX29" s="48">
        <f t="shared" si="13"/>
        <v>-4562895.0411452567</v>
      </c>
      <c r="AY29" s="5">
        <f>AX29+AY28</f>
        <v>-4576127.4367645783</v>
      </c>
      <c r="AZ29" s="5">
        <f t="shared" ref="AZ29:BC29" si="14">AY29+AZ28</f>
        <v>-4589398.2063311953</v>
      </c>
      <c r="BA29" s="5">
        <f t="shared" si="14"/>
        <v>-4602248.5213089222</v>
      </c>
      <c r="BB29" s="5">
        <f t="shared" si="14"/>
        <v>-4615134.8171685869</v>
      </c>
      <c r="BC29" s="5">
        <f t="shared" si="14"/>
        <v>-4627595.6811749423</v>
      </c>
      <c r="BD29" s="5">
        <f>BC29+BD28</f>
        <v>-4640552.9490822321</v>
      </c>
      <c r="BE29" s="5">
        <f>BD29+BE28</f>
        <v>-4653546.4973396622</v>
      </c>
      <c r="BF29" s="58">
        <f>BE29</f>
        <v>-4653546.4973396622</v>
      </c>
      <c r="BG29" s="5"/>
    </row>
    <row r="30" spans="1:59" ht="15.75" hidden="1" customHeight="1" outlineLevel="1">
      <c r="A30" s="27" t="s">
        <v>27</v>
      </c>
      <c r="B30" s="13" t="s">
        <v>28</v>
      </c>
      <c r="C30" s="27">
        <v>4</v>
      </c>
      <c r="D30" s="55" t="s">
        <v>36</v>
      </c>
      <c r="E30" s="52"/>
      <c r="F30" s="53"/>
      <c r="G30" s="53"/>
      <c r="H30" s="53"/>
      <c r="I30" s="53"/>
      <c r="J30" s="53"/>
      <c r="K30" s="53"/>
      <c r="L30" s="53"/>
      <c r="M30" s="53"/>
      <c r="N30" s="5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48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48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48"/>
      <c r="AY30" s="5"/>
      <c r="AZ30" s="5"/>
      <c r="BA30" s="5"/>
      <c r="BB30" s="5"/>
      <c r="BC30" s="5"/>
      <c r="BD30" s="5"/>
      <c r="BE30" s="5"/>
      <c r="BF30" s="59">
        <f>BF428</f>
        <v>6576.6311893417342</v>
      </c>
      <c r="BG30" s="5"/>
    </row>
    <row r="31" spans="1:59" ht="15.75" hidden="1" customHeight="1" outlineLevel="1">
      <c r="A31" s="27" t="s">
        <v>27</v>
      </c>
      <c r="B31" s="13" t="s">
        <v>28</v>
      </c>
      <c r="C31" s="27">
        <v>4</v>
      </c>
      <c r="D31" s="55" t="s">
        <v>37</v>
      </c>
      <c r="E31" s="52"/>
      <c r="F31" s="53"/>
      <c r="G31" s="53"/>
      <c r="H31" s="53"/>
      <c r="I31" s="53"/>
      <c r="J31" s="53"/>
      <c r="K31" s="53"/>
      <c r="L31" s="53"/>
      <c r="M31" s="53"/>
      <c r="N31" s="5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4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48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48"/>
      <c r="AY31" s="5"/>
      <c r="AZ31" s="5"/>
      <c r="BA31" s="5"/>
      <c r="BB31" s="5"/>
      <c r="BC31" s="5"/>
      <c r="BD31" s="5"/>
      <c r="BE31" s="5"/>
      <c r="BF31" s="58">
        <f>SUM(BF29:BF30)</f>
        <v>-4646969.8661503205</v>
      </c>
      <c r="BG31" s="5"/>
    </row>
    <row r="32" spans="1:59" ht="15.75" customHeight="1" collapsed="1">
      <c r="A32" s="27"/>
      <c r="B32" s="13"/>
      <c r="C32" s="57"/>
      <c r="D32" s="55"/>
      <c r="E32" s="52"/>
      <c r="F32" s="53"/>
      <c r="G32" s="53"/>
      <c r="H32" s="53"/>
      <c r="I32" s="53"/>
      <c r="J32" s="53"/>
      <c r="K32" s="53"/>
      <c r="L32" s="53"/>
      <c r="M32" s="53"/>
      <c r="N32" s="5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4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4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48"/>
      <c r="AY32" s="5"/>
      <c r="AZ32" s="5"/>
      <c r="BA32" s="5"/>
      <c r="BB32" s="5"/>
      <c r="BC32" s="5"/>
      <c r="BD32" s="5"/>
      <c r="BE32" s="5"/>
      <c r="BF32" s="58"/>
      <c r="BG32" s="5"/>
    </row>
    <row r="33" spans="1:59" ht="15.75" customHeight="1">
      <c r="A33" s="27" t="s">
        <v>27</v>
      </c>
      <c r="B33" s="13" t="s">
        <v>28</v>
      </c>
      <c r="C33" s="27">
        <v>5</v>
      </c>
      <c r="D33" s="51" t="s">
        <v>29</v>
      </c>
      <c r="E33" s="52"/>
      <c r="F33" s="53"/>
      <c r="G33" s="53"/>
      <c r="H33" s="53"/>
      <c r="I33" s="53"/>
      <c r="J33" s="53"/>
      <c r="K33" s="53"/>
      <c r="L33" s="53"/>
      <c r="M33" s="53"/>
      <c r="N33" s="5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48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48"/>
      <c r="AY33" s="5">
        <f>Deferral!BC34</f>
        <v>875609.10059792735</v>
      </c>
      <c r="AZ33" s="5">
        <f>Deferral!BD34</f>
        <v>291576.09774644114</v>
      </c>
      <c r="BA33" s="5">
        <f>Deferral!BE34</f>
        <v>-116140.39623181801</v>
      </c>
      <c r="BB33" s="5">
        <f>Deferral!BF34</f>
        <v>-1071392.0932315681</v>
      </c>
      <c r="BC33" s="5">
        <f>Deferral!BG34</f>
        <v>387701.77513297927</v>
      </c>
      <c r="BD33" s="5">
        <f>Deferral!BH34</f>
        <v>-1897249.8487402853</v>
      </c>
      <c r="BE33" s="5">
        <f>Deferral!BI34+Deferral!BJ34</f>
        <v>-768082.18346905988</v>
      </c>
      <c r="BF33" s="58">
        <f>Deferral!BK34+Deferral!BL34</f>
        <v>2388533.675470762</v>
      </c>
      <c r="BG33" s="5">
        <f>Deferral!BM34</f>
        <v>-741476.89714633301</v>
      </c>
    </row>
    <row r="34" spans="1:59" ht="15.75" customHeight="1">
      <c r="A34" s="27" t="s">
        <v>27</v>
      </c>
      <c r="B34" s="13" t="s">
        <v>28</v>
      </c>
      <c r="C34" s="27">
        <v>5</v>
      </c>
      <c r="D34" s="55" t="s">
        <v>30</v>
      </c>
      <c r="E34" s="52"/>
      <c r="F34" s="53"/>
      <c r="G34" s="53"/>
      <c r="H34" s="53"/>
      <c r="I34" s="53"/>
      <c r="J34" s="53"/>
      <c r="K34" s="53"/>
      <c r="L34" s="53"/>
      <c r="M34" s="53"/>
      <c r="N34" s="5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48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48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48"/>
      <c r="AY34" s="5">
        <f>AY33/2*AY$399</f>
        <v>1269.6331958669946</v>
      </c>
      <c r="AZ34" s="5">
        <f t="shared" ref="AZ34:BG34" si="15">(AY35+AZ33/2)*AZ$399</f>
        <v>2965.733669734343</v>
      </c>
      <c r="BA34" s="5">
        <f t="shared" si="15"/>
        <v>3117.3810278633705</v>
      </c>
      <c r="BB34" s="5">
        <f t="shared" si="15"/>
        <v>1463.5642094926473</v>
      </c>
      <c r="BC34" s="5">
        <f t="shared" si="15"/>
        <v>492.2637530861594</v>
      </c>
      <c r="BD34" s="5">
        <f t="shared" si="15"/>
        <v>-1601.493220600385</v>
      </c>
      <c r="BE34" s="5">
        <f t="shared" si="15"/>
        <v>-5337.442246711149</v>
      </c>
      <c r="BF34" s="58">
        <f t="shared" si="15"/>
        <v>-2753.3526751781769</v>
      </c>
      <c r="BG34" s="58">
        <f t="shared" si="15"/>
        <v>-785.584894035856</v>
      </c>
    </row>
    <row r="35" spans="1:59" ht="15.75" customHeight="1">
      <c r="A35" s="27" t="s">
        <v>27</v>
      </c>
      <c r="B35" s="13" t="s">
        <v>28</v>
      </c>
      <c r="C35" s="27">
        <v>5</v>
      </c>
      <c r="D35" s="51" t="s">
        <v>31</v>
      </c>
      <c r="E35" s="52"/>
      <c r="F35" s="53"/>
      <c r="G35" s="53"/>
      <c r="H35" s="53"/>
      <c r="I35" s="53"/>
      <c r="J35" s="53"/>
      <c r="K35" s="53"/>
      <c r="L35" s="53"/>
      <c r="M35" s="53"/>
      <c r="N35" s="5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8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48"/>
      <c r="AY35" s="5">
        <f>SUM(AY33:AY34)</f>
        <v>876878.73379379429</v>
      </c>
      <c r="AZ35" s="5">
        <f>AY35+SUM(AZ33:AZ34)</f>
        <v>1171420.5652099699</v>
      </c>
      <c r="BA35" s="5">
        <f t="shared" ref="BA35" si="16">AZ35+SUM(BA33:BA34)</f>
        <v>1058397.5500060152</v>
      </c>
      <c r="BB35" s="5">
        <f t="shared" ref="BB35:BG35" si="17">BA35+SUM(BB33:BB34)</f>
        <v>-11530.979016060242</v>
      </c>
      <c r="BC35" s="5">
        <f t="shared" si="17"/>
        <v>376663.05987000518</v>
      </c>
      <c r="BD35" s="5">
        <f t="shared" si="17"/>
        <v>-1522188.2820908804</v>
      </c>
      <c r="BE35" s="5">
        <f t="shared" si="17"/>
        <v>-2295607.9078066517</v>
      </c>
      <c r="BF35" s="58">
        <f t="shared" si="17"/>
        <v>90172.4149889322</v>
      </c>
      <c r="BG35" s="5">
        <f t="shared" si="17"/>
        <v>-652090.06705143664</v>
      </c>
    </row>
    <row r="36" spans="1:59" ht="15.75" hidden="1" customHeight="1" outlineLevel="1">
      <c r="A36" s="27" t="s">
        <v>27</v>
      </c>
      <c r="B36" s="13" t="s">
        <v>28</v>
      </c>
      <c r="C36" s="27">
        <v>5</v>
      </c>
      <c r="D36" s="55" t="s">
        <v>38</v>
      </c>
      <c r="E36" s="52"/>
      <c r="F36" s="53"/>
      <c r="G36" s="53"/>
      <c r="H36" s="53"/>
      <c r="I36" s="53"/>
      <c r="J36" s="53"/>
      <c r="K36" s="53"/>
      <c r="L36" s="53"/>
      <c r="M36" s="53"/>
      <c r="N36" s="5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8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48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48"/>
      <c r="AY36" s="5"/>
      <c r="AZ36" s="5"/>
      <c r="BA36" s="5"/>
      <c r="BB36" s="5"/>
      <c r="BC36" s="5"/>
      <c r="BD36" s="5"/>
      <c r="BE36" s="5"/>
      <c r="BF36" s="58"/>
      <c r="BG36" s="5"/>
    </row>
    <row r="37" spans="1:59" ht="15.75" hidden="1" customHeight="1" outlineLevel="1">
      <c r="A37" s="27" t="s">
        <v>27</v>
      </c>
      <c r="B37" s="13" t="s">
        <v>28</v>
      </c>
      <c r="C37" s="27">
        <v>5</v>
      </c>
      <c r="D37" s="55" t="s">
        <v>39</v>
      </c>
      <c r="E37" s="52"/>
      <c r="F37" s="53"/>
      <c r="G37" s="53"/>
      <c r="H37" s="53"/>
      <c r="I37" s="53"/>
      <c r="J37" s="53"/>
      <c r="K37" s="53"/>
      <c r="L37" s="53"/>
      <c r="M37" s="53"/>
      <c r="N37" s="5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4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48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48"/>
      <c r="AY37" s="5"/>
      <c r="AZ37" s="5"/>
      <c r="BA37" s="5"/>
      <c r="BB37" s="5"/>
      <c r="BC37" s="5"/>
      <c r="BD37" s="5"/>
      <c r="BE37" s="5"/>
      <c r="BF37" s="58"/>
      <c r="BG37" s="5"/>
    </row>
    <row r="38" spans="1:59" ht="15.75" hidden="1" customHeight="1" outlineLevel="1">
      <c r="A38" s="27"/>
      <c r="B38" s="13"/>
      <c r="C38" s="27"/>
      <c r="D38" s="55"/>
      <c r="E38" s="52"/>
      <c r="F38" s="53"/>
      <c r="G38" s="53"/>
      <c r="H38" s="53"/>
      <c r="I38" s="53"/>
      <c r="J38" s="53"/>
      <c r="K38" s="53"/>
      <c r="L38" s="53"/>
      <c r="M38" s="53"/>
      <c r="N38" s="5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4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48"/>
      <c r="AY38" s="5"/>
      <c r="AZ38" s="5"/>
      <c r="BA38" s="5"/>
      <c r="BB38" s="5"/>
      <c r="BC38" s="5"/>
      <c r="BD38" s="5"/>
      <c r="BE38" s="5"/>
      <c r="BF38" s="58"/>
      <c r="BG38" s="5"/>
    </row>
    <row r="39" spans="1:59" ht="15.75" hidden="1" customHeight="1" outlineLevel="1">
      <c r="A39" s="27" t="s">
        <v>27</v>
      </c>
      <c r="B39" s="13" t="s">
        <v>28</v>
      </c>
      <c r="C39" s="27">
        <v>6</v>
      </c>
      <c r="D39" s="51" t="s">
        <v>29</v>
      </c>
      <c r="E39" s="52"/>
      <c r="F39" s="53"/>
      <c r="G39" s="53"/>
      <c r="H39" s="53"/>
      <c r="I39" s="53"/>
      <c r="J39" s="53"/>
      <c r="K39" s="53"/>
      <c r="L39" s="53"/>
      <c r="M39" s="53"/>
      <c r="N39" s="5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8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48"/>
      <c r="AY39" s="5"/>
      <c r="AZ39" s="5"/>
      <c r="BA39" s="5"/>
      <c r="BB39" s="5"/>
      <c r="BC39" s="5"/>
      <c r="BD39" s="5"/>
      <c r="BE39" s="5"/>
      <c r="BF39" s="58"/>
      <c r="BG39" s="5"/>
    </row>
    <row r="40" spans="1:59" ht="15.75" hidden="1" customHeight="1" outlineLevel="1">
      <c r="A40" s="27" t="s">
        <v>27</v>
      </c>
      <c r="B40" s="13" t="s">
        <v>28</v>
      </c>
      <c r="C40" s="27">
        <v>6</v>
      </c>
      <c r="D40" s="55" t="s">
        <v>30</v>
      </c>
      <c r="E40" s="52"/>
      <c r="F40" s="53"/>
      <c r="G40" s="53"/>
      <c r="H40" s="53"/>
      <c r="I40" s="53"/>
      <c r="J40" s="53"/>
      <c r="K40" s="53"/>
      <c r="L40" s="53"/>
      <c r="M40" s="53"/>
      <c r="N40" s="5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8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48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48"/>
      <c r="AY40" s="5"/>
      <c r="AZ40" s="5"/>
      <c r="BA40" s="5"/>
      <c r="BB40" s="5"/>
      <c r="BC40" s="5"/>
      <c r="BD40" s="5"/>
      <c r="BE40" s="5"/>
      <c r="BF40" s="58"/>
      <c r="BG40" s="5"/>
    </row>
    <row r="41" spans="1:59" ht="15.75" hidden="1" customHeight="1" outlineLevel="1">
      <c r="A41" s="27" t="s">
        <v>27</v>
      </c>
      <c r="B41" s="13" t="s">
        <v>28</v>
      </c>
      <c r="C41" s="27">
        <v>6</v>
      </c>
      <c r="D41" s="51" t="s">
        <v>31</v>
      </c>
      <c r="E41" s="52"/>
      <c r="F41" s="53"/>
      <c r="G41" s="53"/>
      <c r="H41" s="53"/>
      <c r="I41" s="53"/>
      <c r="J41" s="53"/>
      <c r="K41" s="53"/>
      <c r="L41" s="53"/>
      <c r="M41" s="53"/>
      <c r="N41" s="5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48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48"/>
      <c r="AY41" s="5"/>
      <c r="AZ41" s="5"/>
      <c r="BA41" s="5"/>
      <c r="BB41" s="5"/>
      <c r="BC41" s="5"/>
      <c r="BD41" s="5"/>
      <c r="BE41" s="5"/>
      <c r="BF41" s="58"/>
      <c r="BG41" s="5"/>
    </row>
    <row r="42" spans="1:59" ht="15.75" hidden="1" customHeight="1" outlineLevel="1">
      <c r="A42" s="27" t="s">
        <v>27</v>
      </c>
      <c r="B42" s="13" t="s">
        <v>28</v>
      </c>
      <c r="C42" s="27">
        <v>6</v>
      </c>
      <c r="D42" s="55" t="s">
        <v>38</v>
      </c>
      <c r="E42" s="52"/>
      <c r="F42" s="53"/>
      <c r="G42" s="53"/>
      <c r="H42" s="53"/>
      <c r="I42" s="53"/>
      <c r="J42" s="53"/>
      <c r="K42" s="53"/>
      <c r="L42" s="53"/>
      <c r="M42" s="53"/>
      <c r="N42" s="5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8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48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48"/>
      <c r="AY42" s="5"/>
      <c r="AZ42" s="5"/>
      <c r="BA42" s="5"/>
      <c r="BB42" s="5"/>
      <c r="BC42" s="5"/>
      <c r="BD42" s="5"/>
      <c r="BE42" s="5"/>
      <c r="BF42" s="58"/>
      <c r="BG42" s="5"/>
    </row>
    <row r="43" spans="1:59" ht="15.75" hidden="1" customHeight="1" outlineLevel="1">
      <c r="A43" s="27" t="s">
        <v>27</v>
      </c>
      <c r="B43" s="13" t="s">
        <v>28</v>
      </c>
      <c r="C43" s="27">
        <v>6</v>
      </c>
      <c r="D43" s="55" t="s">
        <v>40</v>
      </c>
      <c r="E43" s="52"/>
      <c r="F43" s="53"/>
      <c r="G43" s="53"/>
      <c r="H43" s="53"/>
      <c r="I43" s="53"/>
      <c r="J43" s="53"/>
      <c r="K43" s="53"/>
      <c r="L43" s="53"/>
      <c r="M43" s="53"/>
      <c r="N43" s="5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4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8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48"/>
      <c r="AY43" s="5"/>
      <c r="AZ43" s="5"/>
      <c r="BA43" s="5"/>
      <c r="BB43" s="5"/>
      <c r="BC43" s="5"/>
      <c r="BD43" s="5"/>
      <c r="BE43" s="5"/>
      <c r="BF43" s="58"/>
      <c r="BG43" s="5"/>
    </row>
    <row r="44" spans="1:59" ht="15.75" hidden="1" customHeight="1" outlineLevel="1">
      <c r="A44" s="27"/>
      <c r="B44" s="13"/>
      <c r="C44" s="57"/>
      <c r="D44" s="55"/>
      <c r="E44" s="52"/>
      <c r="F44" s="53"/>
      <c r="G44" s="53"/>
      <c r="H44" s="53"/>
      <c r="I44" s="53"/>
      <c r="J44" s="53"/>
      <c r="K44" s="53"/>
      <c r="L44" s="53"/>
      <c r="M44" s="53"/>
      <c r="N44" s="5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4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48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48"/>
      <c r="AY44" s="5"/>
      <c r="AZ44" s="5"/>
      <c r="BA44" s="5"/>
      <c r="BB44" s="5"/>
      <c r="BC44" s="5"/>
      <c r="BD44" s="5"/>
      <c r="BE44" s="5"/>
      <c r="BF44" s="58"/>
      <c r="BG44" s="5"/>
    </row>
    <row r="45" spans="1:59" ht="15.75" hidden="1" customHeight="1" outlineLevel="1">
      <c r="A45" s="27" t="s">
        <v>27</v>
      </c>
      <c r="B45" s="13" t="s">
        <v>28</v>
      </c>
      <c r="C45" s="27">
        <v>7</v>
      </c>
      <c r="D45" s="51" t="s">
        <v>29</v>
      </c>
      <c r="E45" s="52"/>
      <c r="F45" s="53"/>
      <c r="G45" s="53"/>
      <c r="H45" s="53"/>
      <c r="I45" s="53"/>
      <c r="J45" s="53"/>
      <c r="K45" s="53"/>
      <c r="L45" s="53"/>
      <c r="M45" s="53"/>
      <c r="N45" s="5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8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48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48"/>
      <c r="AY45" s="5"/>
      <c r="AZ45" s="5"/>
      <c r="BA45" s="5"/>
      <c r="BB45" s="5"/>
      <c r="BC45" s="5"/>
      <c r="BD45" s="5"/>
      <c r="BE45" s="5"/>
      <c r="BF45" s="58"/>
      <c r="BG45" s="5"/>
    </row>
    <row r="46" spans="1:59" ht="15.75" hidden="1" customHeight="1" outlineLevel="1">
      <c r="A46" s="27" t="s">
        <v>27</v>
      </c>
      <c r="B46" s="13" t="s">
        <v>28</v>
      </c>
      <c r="C46" s="27">
        <v>7</v>
      </c>
      <c r="D46" s="55" t="s">
        <v>30</v>
      </c>
      <c r="E46" s="52"/>
      <c r="F46" s="53"/>
      <c r="G46" s="53"/>
      <c r="H46" s="53"/>
      <c r="I46" s="53"/>
      <c r="J46" s="53"/>
      <c r="K46" s="53"/>
      <c r="L46" s="53"/>
      <c r="M46" s="53"/>
      <c r="N46" s="5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8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48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48"/>
      <c r="AY46" s="5"/>
      <c r="AZ46" s="5"/>
      <c r="BA46" s="5"/>
      <c r="BB46" s="5"/>
      <c r="BC46" s="5"/>
      <c r="BD46" s="5"/>
      <c r="BE46" s="5"/>
      <c r="BF46" s="58"/>
      <c r="BG46" s="5"/>
    </row>
    <row r="47" spans="1:59" ht="15.75" hidden="1" customHeight="1" outlineLevel="1">
      <c r="A47" s="27" t="s">
        <v>27</v>
      </c>
      <c r="B47" s="13" t="s">
        <v>28</v>
      </c>
      <c r="C47" s="27">
        <v>7</v>
      </c>
      <c r="D47" s="51" t="s">
        <v>31</v>
      </c>
      <c r="E47" s="52"/>
      <c r="F47" s="53"/>
      <c r="G47" s="53"/>
      <c r="H47" s="53"/>
      <c r="I47" s="53"/>
      <c r="J47" s="53"/>
      <c r="K47" s="53"/>
      <c r="L47" s="53"/>
      <c r="M47" s="53"/>
      <c r="N47" s="5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48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8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48"/>
      <c r="AY47" s="5"/>
      <c r="AZ47" s="5"/>
      <c r="BA47" s="5"/>
      <c r="BB47" s="5"/>
      <c r="BC47" s="5"/>
      <c r="BD47" s="5"/>
      <c r="BE47" s="5"/>
      <c r="BF47" s="58"/>
      <c r="BG47" s="5"/>
    </row>
    <row r="48" spans="1:59" ht="15.75" hidden="1" customHeight="1" outlineLevel="1">
      <c r="A48" s="27" t="s">
        <v>27</v>
      </c>
      <c r="B48" s="13" t="s">
        <v>28</v>
      </c>
      <c r="C48" s="27">
        <v>7</v>
      </c>
      <c r="D48" s="55" t="s">
        <v>38</v>
      </c>
      <c r="E48" s="52"/>
      <c r="F48" s="53"/>
      <c r="G48" s="53"/>
      <c r="H48" s="53"/>
      <c r="I48" s="53"/>
      <c r="J48" s="53"/>
      <c r="K48" s="53"/>
      <c r="L48" s="53"/>
      <c r="M48" s="53"/>
      <c r="N48" s="5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8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48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48"/>
      <c r="AY48" s="5"/>
      <c r="AZ48" s="5"/>
      <c r="BA48" s="5"/>
      <c r="BB48" s="5"/>
      <c r="BC48" s="5"/>
      <c r="BD48" s="5"/>
      <c r="BE48" s="5"/>
      <c r="BF48" s="58"/>
      <c r="BG48" s="5"/>
    </row>
    <row r="49" spans="1:59" ht="15.75" hidden="1" customHeight="1" outlineLevel="1">
      <c r="A49" s="27" t="s">
        <v>27</v>
      </c>
      <c r="B49" s="13" t="s">
        <v>28</v>
      </c>
      <c r="C49" s="27">
        <v>7</v>
      </c>
      <c r="D49" s="55" t="s">
        <v>41</v>
      </c>
      <c r="E49" s="52"/>
      <c r="F49" s="53"/>
      <c r="G49" s="53"/>
      <c r="H49" s="53"/>
      <c r="I49" s="53"/>
      <c r="J49" s="53"/>
      <c r="K49" s="53"/>
      <c r="L49" s="53"/>
      <c r="M49" s="53"/>
      <c r="N49" s="5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8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48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48"/>
      <c r="AY49" s="5"/>
      <c r="AZ49" s="5"/>
      <c r="BA49" s="5"/>
      <c r="BB49" s="5"/>
      <c r="BC49" s="5"/>
      <c r="BD49" s="5"/>
      <c r="BE49" s="5"/>
      <c r="BF49" s="58"/>
      <c r="BG49" s="5"/>
    </row>
    <row r="50" spans="1:59" ht="15.75" hidden="1" customHeight="1" outlineLevel="1">
      <c r="A50" s="27"/>
      <c r="B50" s="13"/>
      <c r="C50" s="57"/>
      <c r="D50" s="55"/>
      <c r="E50" s="52"/>
      <c r="F50" s="53"/>
      <c r="G50" s="53"/>
      <c r="H50" s="53"/>
      <c r="I50" s="53"/>
      <c r="J50" s="53"/>
      <c r="K50" s="53"/>
      <c r="L50" s="53"/>
      <c r="M50" s="53"/>
      <c r="N50" s="5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8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48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48"/>
      <c r="AY50" s="5"/>
      <c r="AZ50" s="5"/>
      <c r="BA50" s="5"/>
      <c r="BB50" s="5"/>
      <c r="BC50" s="5"/>
      <c r="BD50" s="5"/>
      <c r="BE50" s="5"/>
      <c r="BF50" s="58"/>
      <c r="BG50" s="5"/>
    </row>
    <row r="51" spans="1:59" ht="15.75" customHeight="1" collapsed="1">
      <c r="A51" s="27"/>
      <c r="B51" s="13"/>
      <c r="C51" s="57"/>
      <c r="D51" s="55"/>
      <c r="E51" s="52"/>
      <c r="F51" s="53"/>
      <c r="G51" s="53"/>
      <c r="H51" s="53"/>
      <c r="I51" s="53"/>
      <c r="J51" s="53"/>
      <c r="K51" s="53"/>
      <c r="L51" s="53"/>
      <c r="M51" s="53"/>
      <c r="N51" s="5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8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48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48"/>
      <c r="AY51" s="5"/>
      <c r="AZ51" s="5"/>
      <c r="BA51" s="5"/>
      <c r="BB51" s="5"/>
      <c r="BC51" s="5"/>
      <c r="BD51" s="5"/>
      <c r="BE51" s="5"/>
      <c r="BF51" s="58"/>
      <c r="BG51" s="5"/>
    </row>
    <row r="52" spans="1:59" ht="15.75" customHeight="1">
      <c r="A52" s="27" t="s">
        <v>27</v>
      </c>
      <c r="B52" s="13" t="s">
        <v>28</v>
      </c>
      <c r="C52" s="60"/>
      <c r="D52" s="55" t="s">
        <v>42</v>
      </c>
      <c r="E52" s="49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48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-108467</v>
      </c>
      <c r="Y52" s="5">
        <v>-204458</v>
      </c>
      <c r="Z52" s="48">
        <v>-205061</v>
      </c>
      <c r="AA52" s="5">
        <v>-242034</v>
      </c>
      <c r="AB52" s="5">
        <v>-291430</v>
      </c>
      <c r="AC52" s="5">
        <v>-221602</v>
      </c>
      <c r="AD52" s="5">
        <v>-190028</v>
      </c>
      <c r="AE52" s="5">
        <v>-261659.66981000002</v>
      </c>
      <c r="AF52" s="5">
        <v>-396344.51513999997</v>
      </c>
      <c r="AG52" s="5">
        <v>-400658.81148999999</v>
      </c>
      <c r="AH52" s="5">
        <v>-196070</v>
      </c>
      <c r="AI52" s="5">
        <v>-304</v>
      </c>
      <c r="AJ52" s="5">
        <v>0</v>
      </c>
      <c r="AK52" s="5">
        <v>0</v>
      </c>
      <c r="AL52" s="48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-262242.46651379106</v>
      </c>
      <c r="AU52" s="5">
        <v>-431186.93157848029</v>
      </c>
      <c r="AV52" s="5">
        <v>-361702.3533877288</v>
      </c>
      <c r="AW52" s="5">
        <v>-284160.59840000002</v>
      </c>
      <c r="AX52" s="48">
        <v>-297089.52351999999</v>
      </c>
      <c r="AY52" s="5">
        <v>-353405.26760000002</v>
      </c>
      <c r="AZ52" s="5">
        <v>-420644.57552000001</v>
      </c>
      <c r="BA52" s="5">
        <v>-364518.55468</v>
      </c>
      <c r="BB52" s="5">
        <v>-289858.83048</v>
      </c>
      <c r="BC52" s="5">
        <v>-407475.88539999997</v>
      </c>
      <c r="BD52" s="5">
        <v>-597348.69136000006</v>
      </c>
      <c r="BE52" s="5">
        <v>-594807.07492000004</v>
      </c>
      <c r="BF52" s="58">
        <v>-142657.24833000003</v>
      </c>
      <c r="BG52" s="58">
        <v>208251.89257000003</v>
      </c>
    </row>
    <row r="53" spans="1:59" ht="15.75" customHeight="1">
      <c r="A53" s="27" t="s">
        <v>27</v>
      </c>
      <c r="B53" s="13" t="s">
        <v>28</v>
      </c>
      <c r="C53" s="60"/>
      <c r="D53" s="55" t="s">
        <v>43</v>
      </c>
      <c r="E53" s="49">
        <v>0</v>
      </c>
      <c r="F53" s="5">
        <f>(E54+F13+F19+F25+F31+F37+F43+F49+F52/2)*F$399</f>
        <v>0</v>
      </c>
      <c r="G53" s="5">
        <f t="shared" ref="G53:BG53" si="18">(F54+G13+G19+G25+G31+G37+G43+G49+G52/2)*G$399</f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0</v>
      </c>
      <c r="L53" s="5">
        <f t="shared" si="18"/>
        <v>0</v>
      </c>
      <c r="M53" s="5">
        <f t="shared" si="18"/>
        <v>0</v>
      </c>
      <c r="N53" s="48">
        <f t="shared" si="18"/>
        <v>0</v>
      </c>
      <c r="O53" s="5">
        <f t="shared" si="18"/>
        <v>9173.0011520729222</v>
      </c>
      <c r="P53" s="5">
        <f t="shared" si="18"/>
        <v>9204.189355989969</v>
      </c>
      <c r="Q53" s="5">
        <f t="shared" si="18"/>
        <v>8963.8517292179731</v>
      </c>
      <c r="R53" s="5">
        <f t="shared" si="18"/>
        <v>9811.0172071902452</v>
      </c>
      <c r="S53" s="5">
        <f t="shared" si="18"/>
        <v>9572.8275116601289</v>
      </c>
      <c r="T53" s="5">
        <f t="shared" si="18"/>
        <v>9880.7990481781089</v>
      </c>
      <c r="U53" s="5">
        <f t="shared" si="18"/>
        <v>9916.3699247515488</v>
      </c>
      <c r="V53" s="5">
        <f t="shared" si="18"/>
        <v>9122.7297851072672</v>
      </c>
      <c r="W53" s="5">
        <f t="shared" si="18"/>
        <v>9984.9106837070394</v>
      </c>
      <c r="X53" s="5">
        <f t="shared" si="18"/>
        <v>10098.54953333973</v>
      </c>
      <c r="Y53" s="5">
        <f t="shared" si="18"/>
        <v>9815.3002927377638</v>
      </c>
      <c r="Z53" s="48">
        <f t="shared" si="18"/>
        <v>8835.7093776962156</v>
      </c>
      <c r="AA53" s="5">
        <f t="shared" si="18"/>
        <v>8693.2710836688566</v>
      </c>
      <c r="AB53" s="5">
        <f t="shared" si="18"/>
        <v>7661.1161680035311</v>
      </c>
      <c r="AC53" s="5">
        <f t="shared" si="18"/>
        <v>6499.0542168586562</v>
      </c>
      <c r="AD53" s="5">
        <f t="shared" si="18"/>
        <v>6161.8544920201284</v>
      </c>
      <c r="AE53" s="5">
        <f t="shared" si="18"/>
        <v>5114.4475510883376</v>
      </c>
      <c r="AF53" s="5">
        <f t="shared" si="18"/>
        <v>3878.8620656051839</v>
      </c>
      <c r="AG53" s="5">
        <f t="shared" si="18"/>
        <v>2327.2294575176179</v>
      </c>
      <c r="AH53" s="5">
        <f t="shared" si="18"/>
        <v>-1521.5213156177788</v>
      </c>
      <c r="AI53" s="5">
        <f t="shared" si="18"/>
        <v>-2112.3909409682751</v>
      </c>
      <c r="AJ53" s="5">
        <f t="shared" si="18"/>
        <v>-2170.5895852246385</v>
      </c>
      <c r="AK53" s="5">
        <f t="shared" si="18"/>
        <v>-2228.8096214327747</v>
      </c>
      <c r="AL53" s="48">
        <f t="shared" si="18"/>
        <v>-2190.3868816545969</v>
      </c>
      <c r="AM53" s="5">
        <f t="shared" si="18"/>
        <v>-2298.0322280719115</v>
      </c>
      <c r="AN53" s="5">
        <f t="shared" si="18"/>
        <v>-2308.832979543849</v>
      </c>
      <c r="AO53" s="5">
        <f t="shared" si="18"/>
        <v>-2220.9745160563134</v>
      </c>
      <c r="AP53" s="5">
        <f t="shared" si="18"/>
        <v>-2280.5459880758681</v>
      </c>
      <c r="AQ53" s="5">
        <f t="shared" si="18"/>
        <v>-2241.2313583249079</v>
      </c>
      <c r="AR53" s="5">
        <f t="shared" si="18"/>
        <v>-2301.346163869312</v>
      </c>
      <c r="AS53" s="5">
        <f t="shared" si="18"/>
        <v>-2110.8947600297965</v>
      </c>
      <c r="AT53" s="5">
        <f t="shared" si="18"/>
        <v>18847.778619151835</v>
      </c>
      <c r="AU53" s="5">
        <f t="shared" si="18"/>
        <v>18920.566677908642</v>
      </c>
      <c r="AV53" s="5">
        <f t="shared" si="18"/>
        <v>16096.753733846332</v>
      </c>
      <c r="AW53" s="5">
        <f t="shared" si="18"/>
        <v>15282.152120433089</v>
      </c>
      <c r="AX53" s="48">
        <f t="shared" si="18"/>
        <v>13826.260972947948</v>
      </c>
      <c r="AY53" s="5">
        <f t="shared" si="18"/>
        <v>9377.944561376793</v>
      </c>
      <c r="AZ53" s="5">
        <f t="shared" si="18"/>
        <v>8282.7683280807851</v>
      </c>
      <c r="BA53" s="5">
        <f t="shared" si="18"/>
        <v>6921.11899615111</v>
      </c>
      <c r="BB53" s="5">
        <f t="shared" si="18"/>
        <v>6024.3697901163341</v>
      </c>
      <c r="BC53" s="5">
        <f t="shared" si="18"/>
        <v>4884.0776581789214</v>
      </c>
      <c r="BD53" s="5">
        <f t="shared" si="18"/>
        <v>3671.8904332755606</v>
      </c>
      <c r="BE53" s="5">
        <f t="shared" si="18"/>
        <v>2013.1536536967319</v>
      </c>
      <c r="BF53" s="58">
        <f t="shared" si="18"/>
        <v>-10736.763565931979</v>
      </c>
      <c r="BG53" s="5">
        <f t="shared" si="18"/>
        <v>-11963.405629892426</v>
      </c>
    </row>
    <row r="54" spans="1:59" ht="15.75" customHeight="1">
      <c r="A54" s="38" t="s">
        <v>27</v>
      </c>
      <c r="B54" s="37" t="s">
        <v>28</v>
      </c>
      <c r="C54" s="61"/>
      <c r="D54" s="62" t="s">
        <v>44</v>
      </c>
      <c r="E54" s="63">
        <v>0</v>
      </c>
      <c r="F54" s="56">
        <f>E54+F13+F19+F25+F31+F37+F52+F53+F43+F49</f>
        <v>0</v>
      </c>
      <c r="G54" s="56">
        <f t="shared" ref="G54:BG54" si="19">F54+G13+G19+G25+G31+G37+G52+G53+G43+G49</f>
        <v>0</v>
      </c>
      <c r="H54" s="56">
        <f t="shared" si="19"/>
        <v>0</v>
      </c>
      <c r="I54" s="56">
        <f t="shared" si="19"/>
        <v>0</v>
      </c>
      <c r="J54" s="56">
        <f t="shared" si="19"/>
        <v>0</v>
      </c>
      <c r="K54" s="56">
        <f t="shared" si="19"/>
        <v>0</v>
      </c>
      <c r="L54" s="56">
        <f t="shared" si="19"/>
        <v>0</v>
      </c>
      <c r="M54" s="56">
        <f t="shared" si="19"/>
        <v>0</v>
      </c>
      <c r="N54" s="64">
        <f t="shared" si="19"/>
        <v>0</v>
      </c>
      <c r="O54" s="56">
        <f t="shared" si="19"/>
        <v>2707114.5164676383</v>
      </c>
      <c r="P54" s="56">
        <f t="shared" si="19"/>
        <v>2716318.7058236282</v>
      </c>
      <c r="Q54" s="56">
        <f t="shared" si="19"/>
        <v>2725282.5575528461</v>
      </c>
      <c r="R54" s="56">
        <f t="shared" si="19"/>
        <v>2735093.5747600365</v>
      </c>
      <c r="S54" s="56">
        <f t="shared" si="19"/>
        <v>2744666.4022716968</v>
      </c>
      <c r="T54" s="56">
        <f t="shared" si="19"/>
        <v>2754547.2013198747</v>
      </c>
      <c r="U54" s="56">
        <f t="shared" si="19"/>
        <v>2764463.5712446263</v>
      </c>
      <c r="V54" s="56">
        <f t="shared" si="19"/>
        <v>2773586.3010297334</v>
      </c>
      <c r="W54" s="56">
        <f t="shared" si="19"/>
        <v>2783571.2117134403</v>
      </c>
      <c r="X54" s="56">
        <f t="shared" si="19"/>
        <v>2685202.7612467799</v>
      </c>
      <c r="Y54" s="56">
        <f t="shared" si="19"/>
        <v>2490560.0615395177</v>
      </c>
      <c r="Z54" s="64">
        <f t="shared" si="19"/>
        <v>2294334.770917214</v>
      </c>
      <c r="AA54" s="56">
        <f t="shared" si="19"/>
        <v>2060994.0420008828</v>
      </c>
      <c r="AB54" s="56">
        <f t="shared" si="19"/>
        <v>1777225.1581688863</v>
      </c>
      <c r="AC54" s="56">
        <f t="shared" si="19"/>
        <v>1562122.212385745</v>
      </c>
      <c r="AD54" s="56">
        <f t="shared" si="19"/>
        <v>1378256.0668777651</v>
      </c>
      <c r="AE54" s="56">
        <f t="shared" si="19"/>
        <v>1121710.8446188534</v>
      </c>
      <c r="AF54" s="56">
        <f t="shared" si="19"/>
        <v>729245.19154445862</v>
      </c>
      <c r="AG54" s="56">
        <f t="shared" si="19"/>
        <v>330913.60951197625</v>
      </c>
      <c r="AH54" s="56">
        <f t="shared" si="19"/>
        <v>-479936.85022006248</v>
      </c>
      <c r="AI54" s="56">
        <f t="shared" si="19"/>
        <v>-482353.24116103078</v>
      </c>
      <c r="AJ54" s="56">
        <f t="shared" si="19"/>
        <v>-484523.83074625541</v>
      </c>
      <c r="AK54" s="56">
        <f t="shared" si="19"/>
        <v>-486752.6403676882</v>
      </c>
      <c r="AL54" s="64">
        <f t="shared" si="19"/>
        <v>-488943.02724934282</v>
      </c>
      <c r="AM54" s="56">
        <f t="shared" si="19"/>
        <v>-491241.0594774147</v>
      </c>
      <c r="AN54" s="56">
        <f t="shared" si="19"/>
        <v>-493549.89245695854</v>
      </c>
      <c r="AO54" s="56">
        <f t="shared" si="19"/>
        <v>-495770.86697301484</v>
      </c>
      <c r="AP54" s="56">
        <f t="shared" si="19"/>
        <v>-498051.41296109068</v>
      </c>
      <c r="AQ54" s="56">
        <f t="shared" si="19"/>
        <v>-500292.64431941562</v>
      </c>
      <c r="AR54" s="56">
        <f t="shared" si="19"/>
        <v>-502593.99048328493</v>
      </c>
      <c r="AS54" s="56">
        <f t="shared" si="19"/>
        <v>-504704.88524331473</v>
      </c>
      <c r="AT54" s="56">
        <f t="shared" si="19"/>
        <v>4720490.2938627265</v>
      </c>
      <c r="AU54" s="56">
        <f t="shared" si="19"/>
        <v>4308223.9289621543</v>
      </c>
      <c r="AV54" s="56">
        <f t="shared" si="19"/>
        <v>3962618.3293082719</v>
      </c>
      <c r="AW54" s="56">
        <f t="shared" si="19"/>
        <v>3693739.8830287051</v>
      </c>
      <c r="AX54" s="64">
        <f t="shared" si="19"/>
        <v>3410476.6204816531</v>
      </c>
      <c r="AY54" s="56">
        <f t="shared" si="19"/>
        <v>3066449.2974430299</v>
      </c>
      <c r="AZ54" s="56">
        <f t="shared" si="19"/>
        <v>2654087.4902511109</v>
      </c>
      <c r="BA54" s="56">
        <f t="shared" si="19"/>
        <v>2296490.0545672621</v>
      </c>
      <c r="BB54" s="56">
        <f t="shared" si="19"/>
        <v>2012655.5938773784</v>
      </c>
      <c r="BC54" s="56">
        <f t="shared" si="19"/>
        <v>1610063.7861355573</v>
      </c>
      <c r="BD54" s="56">
        <f t="shared" si="19"/>
        <v>1016386.9852088329</v>
      </c>
      <c r="BE54" s="56">
        <f t="shared" si="19"/>
        <v>423593.06394252955</v>
      </c>
      <c r="BF54" s="59">
        <f t="shared" si="19"/>
        <v>-4376770.8141037235</v>
      </c>
      <c r="BG54" s="56">
        <f t="shared" si="19"/>
        <v>-4180482.3271636157</v>
      </c>
    </row>
    <row r="55" spans="1:59" ht="15.75" hidden="1" customHeight="1" outlineLevel="1">
      <c r="C55" s="44"/>
      <c r="D55" s="55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48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8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48"/>
      <c r="AY55" s="5"/>
      <c r="AZ55" s="5"/>
      <c r="BA55" s="5"/>
      <c r="BB55" s="5"/>
      <c r="BC55" s="5"/>
      <c r="BD55" s="5"/>
      <c r="BE55" s="5"/>
      <c r="BF55" s="58"/>
      <c r="BG55" s="5"/>
    </row>
    <row r="56" spans="1:59" ht="15.75" hidden="1" customHeight="1" outlineLevel="1">
      <c r="A56" s="27" t="s">
        <v>45</v>
      </c>
      <c r="B56" s="27" t="s">
        <v>46</v>
      </c>
      <c r="C56" s="27">
        <v>1</v>
      </c>
      <c r="D56" s="51" t="s">
        <v>29</v>
      </c>
      <c r="E56" s="49">
        <f>Deferral!G84</f>
        <v>-39132.491063784291</v>
      </c>
      <c r="F56" s="5">
        <f>Deferral!H84</f>
        <v>-111708.69566959911</v>
      </c>
      <c r="G56" s="5">
        <f>Deferral!I84</f>
        <v>-153539.46372889535</v>
      </c>
      <c r="H56" s="5">
        <f>Deferral!J84</f>
        <v>-306321.24208592926</v>
      </c>
      <c r="I56" s="5">
        <f>Deferral!K84</f>
        <v>317046.58333426656</v>
      </c>
      <c r="J56" s="5">
        <f>Deferral!L84</f>
        <v>208653.18563603592</v>
      </c>
      <c r="K56" s="5">
        <f>Deferral!M84</f>
        <v>100814.63583640417</v>
      </c>
      <c r="L56" s="5">
        <f>Deferral!N84</f>
        <v>-77864.379246861208</v>
      </c>
      <c r="M56" s="5">
        <f>Deferral!O84</f>
        <v>-50852.486207073613</v>
      </c>
      <c r="N56" s="48">
        <f>Deferral!P84</f>
        <v>-5153.3220483547193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48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48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48"/>
      <c r="AY56" s="5"/>
      <c r="AZ56" s="5"/>
      <c r="BA56" s="5"/>
      <c r="BB56" s="5"/>
      <c r="BC56" s="5"/>
      <c r="BD56" s="5"/>
      <c r="BE56" s="5"/>
      <c r="BF56" s="58"/>
      <c r="BG56" s="5"/>
    </row>
    <row r="57" spans="1:59" ht="15.75" hidden="1" customHeight="1" outlineLevel="1">
      <c r="A57" s="27" t="s">
        <v>45</v>
      </c>
      <c r="B57" s="27" t="s">
        <v>46</v>
      </c>
      <c r="C57" s="27">
        <v>1</v>
      </c>
      <c r="D57" s="55" t="s">
        <v>30</v>
      </c>
      <c r="E57" s="52">
        <f>E56/2*E$399</f>
        <v>-57.068216134685429</v>
      </c>
      <c r="F57" s="53">
        <f>(E58+F56/2)*F$399</f>
        <v>-277.21139575126239</v>
      </c>
      <c r="G57" s="53">
        <f t="shared" ref="G57:N57" si="20">(F58+G56/2)*G$399</f>
        <v>-664.84016144500799</v>
      </c>
      <c r="H57" s="53">
        <f t="shared" si="20"/>
        <v>-1337.4094745625086</v>
      </c>
      <c r="I57" s="53">
        <f t="shared" si="20"/>
        <v>-1363.5453903869047</v>
      </c>
      <c r="J57" s="53">
        <f t="shared" si="20"/>
        <v>-521.17773579235052</v>
      </c>
      <c r="K57" s="53">
        <f t="shared" si="20"/>
        <v>-116.44817410132853</v>
      </c>
      <c r="L57" s="53">
        <f t="shared" si="20"/>
        <v>-82.372133739318087</v>
      </c>
      <c r="M57" s="53">
        <f t="shared" si="20"/>
        <v>-294.07418487620083</v>
      </c>
      <c r="N57" s="54">
        <f t="shared" si="20"/>
        <v>-360.58548325920935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48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48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48"/>
      <c r="AY57" s="5"/>
      <c r="AZ57" s="5"/>
      <c r="BA57" s="5"/>
      <c r="BB57" s="5"/>
      <c r="BC57" s="5"/>
      <c r="BD57" s="5"/>
      <c r="BE57" s="5"/>
      <c r="BF57" s="58"/>
      <c r="BG57" s="5"/>
    </row>
    <row r="58" spans="1:59" ht="15.75" hidden="1" customHeight="1" outlineLevel="1">
      <c r="A58" s="27" t="s">
        <v>45</v>
      </c>
      <c r="B58" s="27" t="s">
        <v>46</v>
      </c>
      <c r="C58" s="27">
        <v>1</v>
      </c>
      <c r="D58" s="51" t="s">
        <v>31</v>
      </c>
      <c r="E58" s="52">
        <f>E56+E57</f>
        <v>-39189.559279918976</v>
      </c>
      <c r="F58" s="53">
        <f>E58+SUM(F56:F57)</f>
        <v>-151175.46634526935</v>
      </c>
      <c r="G58" s="53">
        <f t="shared" ref="G58" si="21">F58+SUM(G56:G57)</f>
        <v>-305379.77023560973</v>
      </c>
      <c r="H58" s="53">
        <f t="shared" ref="H58:N58" si="22">G58+SUM(H56:H57)</f>
        <v>-613038.42179610149</v>
      </c>
      <c r="I58" s="53">
        <f t="shared" si="22"/>
        <v>-297355.38385222183</v>
      </c>
      <c r="J58" s="53">
        <f t="shared" si="22"/>
        <v>-89223.375951978262</v>
      </c>
      <c r="K58" s="53">
        <f t="shared" si="22"/>
        <v>11474.811710324575</v>
      </c>
      <c r="L58" s="53">
        <f t="shared" si="22"/>
        <v>-66471.939670275955</v>
      </c>
      <c r="M58" s="53">
        <f t="shared" si="22"/>
        <v>-117618.50006222576</v>
      </c>
      <c r="N58" s="54">
        <f t="shared" si="22"/>
        <v>-123132.4075938397</v>
      </c>
      <c r="O58" s="5">
        <f>N58</f>
        <v>-123132.4075938397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48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48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48"/>
      <c r="AY58" s="5"/>
      <c r="AZ58" s="5"/>
      <c r="BA58" s="5"/>
      <c r="BB58" s="5"/>
      <c r="BC58" s="5"/>
      <c r="BD58" s="5"/>
      <c r="BE58" s="5"/>
      <c r="BF58" s="58"/>
      <c r="BG58" s="5"/>
    </row>
    <row r="59" spans="1:59" ht="15.75" hidden="1" customHeight="1" outlineLevel="1">
      <c r="A59" s="27" t="s">
        <v>45</v>
      </c>
      <c r="B59" s="27" t="s">
        <v>46</v>
      </c>
      <c r="C59" s="27">
        <v>1</v>
      </c>
      <c r="D59" s="55" t="s">
        <v>32</v>
      </c>
      <c r="E59" s="52"/>
      <c r="F59" s="53"/>
      <c r="G59" s="53"/>
      <c r="H59" s="53"/>
      <c r="I59" s="53"/>
      <c r="J59" s="53"/>
      <c r="K59" s="53"/>
      <c r="L59" s="53"/>
      <c r="M59" s="53"/>
      <c r="N59" s="54"/>
      <c r="O59" s="56">
        <f>O405</f>
        <v>-356483.57444798504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48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48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48"/>
      <c r="AY59" s="5"/>
      <c r="AZ59" s="5"/>
      <c r="BA59" s="5"/>
      <c r="BB59" s="5"/>
      <c r="BC59" s="5"/>
      <c r="BD59" s="5"/>
      <c r="BE59" s="5"/>
      <c r="BF59" s="58"/>
      <c r="BG59" s="5"/>
    </row>
    <row r="60" spans="1:59" ht="15.75" hidden="1" customHeight="1" outlineLevel="1">
      <c r="A60" s="27" t="s">
        <v>45</v>
      </c>
      <c r="B60" s="27" t="s">
        <v>46</v>
      </c>
      <c r="C60" s="27">
        <v>1</v>
      </c>
      <c r="D60" s="55" t="s">
        <v>33</v>
      </c>
      <c r="E60" s="52"/>
      <c r="F60" s="53"/>
      <c r="G60" s="53"/>
      <c r="H60" s="53"/>
      <c r="I60" s="53"/>
      <c r="J60" s="53"/>
      <c r="K60" s="53"/>
      <c r="L60" s="53"/>
      <c r="M60" s="53"/>
      <c r="N60" s="54"/>
      <c r="O60" s="5">
        <f>SUM(O58:O59)</f>
        <v>-479615.98204182473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48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8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48"/>
      <c r="AY60" s="5"/>
      <c r="AZ60" s="5"/>
      <c r="BA60" s="5"/>
      <c r="BB60" s="5"/>
      <c r="BC60" s="5"/>
      <c r="BD60" s="5"/>
      <c r="BE60" s="5"/>
      <c r="BF60" s="58"/>
      <c r="BG60" s="5"/>
    </row>
    <row r="61" spans="1:59" ht="15.75" hidden="1" customHeight="1" outlineLevel="1">
      <c r="A61" s="27"/>
      <c r="B61" s="27"/>
      <c r="C61" s="27"/>
      <c r="D61" s="55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48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48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48"/>
      <c r="AY61" s="5"/>
      <c r="AZ61" s="5"/>
      <c r="BA61" s="5"/>
      <c r="BB61" s="5"/>
      <c r="BC61" s="5"/>
      <c r="BD61" s="5"/>
      <c r="BE61" s="5"/>
      <c r="BF61" s="58"/>
      <c r="BG61" s="5"/>
    </row>
    <row r="62" spans="1:59" ht="15.75" hidden="1" customHeight="1" outlineLevel="1">
      <c r="A62" s="27" t="s">
        <v>45</v>
      </c>
      <c r="B62" s="27" t="s">
        <v>46</v>
      </c>
      <c r="C62" s="27">
        <v>2</v>
      </c>
      <c r="D62" s="51" t="s">
        <v>29</v>
      </c>
      <c r="E62" s="52"/>
      <c r="F62" s="53"/>
      <c r="G62" s="53"/>
      <c r="H62" s="53"/>
      <c r="I62" s="53"/>
      <c r="J62" s="53"/>
      <c r="K62" s="53"/>
      <c r="L62" s="53"/>
      <c r="M62" s="53"/>
      <c r="N62" s="50"/>
      <c r="O62" s="5">
        <f>Deferral!Q84</f>
        <v>116497.42619744624</v>
      </c>
      <c r="P62" s="5">
        <f>Deferral!R84</f>
        <v>42915.922896821809</v>
      </c>
      <c r="Q62" s="5">
        <f>Deferral!S84+Deferral!T84</f>
        <v>42725.958767086297</v>
      </c>
      <c r="R62" s="5">
        <f>Deferral!U84+Deferral!V84</f>
        <v>-142355.14938579025</v>
      </c>
      <c r="S62" s="5">
        <f>Deferral!W84</f>
        <v>-43551.348132624873</v>
      </c>
      <c r="T62" s="5">
        <f>Deferral!X84</f>
        <v>-336999.28124171559</v>
      </c>
      <c r="U62" s="5">
        <f>Deferral!Y84</f>
        <v>-90403.408888520324</v>
      </c>
      <c r="V62" s="5">
        <f>Deferral!Z84</f>
        <v>-209719.8976308977</v>
      </c>
      <c r="W62" s="5">
        <f>Deferral!AA84</f>
        <v>6217.4916399801732</v>
      </c>
      <c r="X62" s="5">
        <f>Deferral!AB84</f>
        <v>-115718.09953855677</v>
      </c>
      <c r="Y62" s="5">
        <f>Deferral!AC84</f>
        <v>76261.640597450547</v>
      </c>
      <c r="Z62" s="48">
        <f>Deferral!AD84</f>
        <v>68143.355929576268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48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48"/>
      <c r="AY62" s="5"/>
      <c r="AZ62" s="5"/>
      <c r="BA62" s="5"/>
      <c r="BB62" s="5"/>
      <c r="BC62" s="5"/>
      <c r="BD62" s="5"/>
      <c r="BE62" s="5"/>
      <c r="BF62" s="58"/>
      <c r="BG62" s="5"/>
    </row>
    <row r="63" spans="1:59" ht="15.75" hidden="1" customHeight="1" outlineLevel="1">
      <c r="A63" s="27" t="s">
        <v>45</v>
      </c>
      <c r="B63" s="27" t="s">
        <v>46</v>
      </c>
      <c r="C63" s="27">
        <v>2</v>
      </c>
      <c r="D63" s="55" t="s">
        <v>30</v>
      </c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">
        <f>O62/2*O$399</f>
        <v>198.04562453565859</v>
      </c>
      <c r="P63" s="5">
        <f t="shared" ref="P63:Z63" si="23">(O64+P62/2)*P$399</f>
        <v>469.72167311933555</v>
      </c>
      <c r="Q63" s="5">
        <f t="shared" si="23"/>
        <v>598.76551605903842</v>
      </c>
      <c r="R63" s="5">
        <f t="shared" si="23"/>
        <v>476.02175753582372</v>
      </c>
      <c r="S63" s="5">
        <f t="shared" si="23"/>
        <v>139.12863643175524</v>
      </c>
      <c r="T63" s="5">
        <f t="shared" si="23"/>
        <v>-541.3865294528531</v>
      </c>
      <c r="U63" s="5">
        <f t="shared" si="23"/>
        <v>-1312.6603631933081</v>
      </c>
      <c r="V63" s="5">
        <f t="shared" si="23"/>
        <v>-1702.8072345494434</v>
      </c>
      <c r="W63" s="5">
        <f t="shared" si="23"/>
        <v>-2230.0423290637859</v>
      </c>
      <c r="X63" s="5">
        <f t="shared" si="23"/>
        <v>-2502.8152305454605</v>
      </c>
      <c r="Y63" s="5">
        <f t="shared" si="23"/>
        <v>-2654.936855289242</v>
      </c>
      <c r="Z63" s="48">
        <f t="shared" si="23"/>
        <v>-2327.744118729096</v>
      </c>
      <c r="AA63" s="5">
        <f t="shared" ref="AA63:AG63" si="24">Z64*AA$399</f>
        <v>-2389.504392971543</v>
      </c>
      <c r="AB63" s="5">
        <f t="shared" si="24"/>
        <v>-2399.0624105434295</v>
      </c>
      <c r="AC63" s="5">
        <f t="shared" si="24"/>
        <v>-2348.4421936809626</v>
      </c>
      <c r="AD63" s="5">
        <f t="shared" si="24"/>
        <v>-2538.9550504083427</v>
      </c>
      <c r="AE63" s="5">
        <f t="shared" si="24"/>
        <v>-2488.9134553910094</v>
      </c>
      <c r="AF63" s="5">
        <f t="shared" si="24"/>
        <v>-2560.0720981326999</v>
      </c>
      <c r="AG63" s="5">
        <f t="shared" si="24"/>
        <v>-2693.2446105136601</v>
      </c>
      <c r="AH63" s="5"/>
      <c r="AI63" s="5"/>
      <c r="AJ63" s="5"/>
      <c r="AK63" s="5"/>
      <c r="AL63" s="48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48"/>
      <c r="AY63" s="5"/>
      <c r="AZ63" s="5"/>
      <c r="BA63" s="5"/>
      <c r="BB63" s="5"/>
      <c r="BC63" s="5"/>
      <c r="BD63" s="5"/>
      <c r="BE63" s="5"/>
      <c r="BF63" s="58"/>
      <c r="BG63" s="5"/>
    </row>
    <row r="64" spans="1:59" ht="15.75" hidden="1" customHeight="1" outlineLevel="1">
      <c r="A64" s="27" t="s">
        <v>45</v>
      </c>
      <c r="B64" s="27" t="s">
        <v>46</v>
      </c>
      <c r="C64" s="27">
        <v>2</v>
      </c>
      <c r="D64" s="51" t="s">
        <v>31</v>
      </c>
      <c r="E64" s="52"/>
      <c r="F64" s="53"/>
      <c r="G64" s="53"/>
      <c r="H64" s="53"/>
      <c r="I64" s="53"/>
      <c r="J64" s="53"/>
      <c r="K64" s="53"/>
      <c r="L64" s="53"/>
      <c r="M64" s="53"/>
      <c r="N64" s="54"/>
      <c r="O64" s="5">
        <f>SUM(O62:O63)</f>
        <v>116695.4718219819</v>
      </c>
      <c r="P64" s="5">
        <f>O64+SUM(P62:P63)</f>
        <v>160081.11639192305</v>
      </c>
      <c r="Q64" s="5">
        <f t="shared" ref="Q64" si="25">P64+SUM(Q62:Q63)</f>
        <v>203405.84067506838</v>
      </c>
      <c r="R64" s="5">
        <f t="shared" ref="R64:Z64" si="26">Q64+SUM(R62:R63)</f>
        <v>61526.713046813937</v>
      </c>
      <c r="S64" s="5">
        <f t="shared" si="26"/>
        <v>18114.49355062082</v>
      </c>
      <c r="T64" s="5">
        <f t="shared" si="26"/>
        <v>-319426.17422054766</v>
      </c>
      <c r="U64" s="5">
        <f t="shared" si="26"/>
        <v>-411142.2434722613</v>
      </c>
      <c r="V64" s="5">
        <f t="shared" si="26"/>
        <v>-622564.94833770837</v>
      </c>
      <c r="W64" s="5">
        <f t="shared" si="26"/>
        <v>-618577.49902679201</v>
      </c>
      <c r="X64" s="5">
        <f t="shared" si="26"/>
        <v>-736798.41379589424</v>
      </c>
      <c r="Y64" s="5">
        <f t="shared" si="26"/>
        <v>-663191.71005373297</v>
      </c>
      <c r="Z64" s="48">
        <f t="shared" si="26"/>
        <v>-597376.09824288578</v>
      </c>
      <c r="AA64" s="5">
        <f>Z64+AA63</f>
        <v>-599765.6026358573</v>
      </c>
      <c r="AB64" s="5">
        <f t="shared" ref="AB64:AE64" si="27">AA64+AB63</f>
        <v>-602164.66504640074</v>
      </c>
      <c r="AC64" s="5">
        <f t="shared" si="27"/>
        <v>-604513.10724008165</v>
      </c>
      <c r="AD64" s="5">
        <f t="shared" si="27"/>
        <v>-607052.06229049002</v>
      </c>
      <c r="AE64" s="5">
        <f t="shared" si="27"/>
        <v>-609540.97574588098</v>
      </c>
      <c r="AF64" s="5">
        <f>AE64+AF63</f>
        <v>-612101.04784401366</v>
      </c>
      <c r="AG64" s="5">
        <f>AF64+AG63</f>
        <v>-614794.29245452734</v>
      </c>
      <c r="AH64" s="5">
        <f>AG64</f>
        <v>-614794.29245452734</v>
      </c>
      <c r="AI64" s="5"/>
      <c r="AJ64" s="5"/>
      <c r="AK64" s="5"/>
      <c r="AL64" s="48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48"/>
      <c r="AY64" s="5"/>
      <c r="AZ64" s="5"/>
      <c r="BA64" s="5"/>
      <c r="BB64" s="5"/>
      <c r="BC64" s="5"/>
      <c r="BD64" s="5"/>
      <c r="BE64" s="5"/>
      <c r="BF64" s="58"/>
      <c r="BG64" s="5"/>
    </row>
    <row r="65" spans="1:59" ht="15.75" hidden="1" customHeight="1" outlineLevel="1">
      <c r="A65" s="27" t="s">
        <v>45</v>
      </c>
      <c r="B65" s="27" t="s">
        <v>46</v>
      </c>
      <c r="C65" s="27">
        <v>2</v>
      </c>
      <c r="D65" s="55" t="s">
        <v>32</v>
      </c>
      <c r="E65" s="52"/>
      <c r="F65" s="53"/>
      <c r="G65" s="53"/>
      <c r="H65" s="53"/>
      <c r="I65" s="53"/>
      <c r="J65" s="53"/>
      <c r="K65" s="53"/>
      <c r="L65" s="53"/>
      <c r="M65" s="53"/>
      <c r="N65" s="5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48"/>
      <c r="AA65" s="5"/>
      <c r="AB65" s="5"/>
      <c r="AC65" s="5"/>
      <c r="AD65" s="5"/>
      <c r="AE65" s="5"/>
      <c r="AF65" s="5"/>
      <c r="AG65" s="5"/>
      <c r="AH65" s="56">
        <f>AH413</f>
        <v>631575.77275878005</v>
      </c>
      <c r="AI65" s="5"/>
      <c r="AJ65" s="5"/>
      <c r="AK65" s="5"/>
      <c r="AL65" s="48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48"/>
      <c r="AY65" s="5"/>
      <c r="AZ65" s="5"/>
      <c r="BA65" s="5"/>
      <c r="BB65" s="5"/>
      <c r="BC65" s="5"/>
      <c r="BD65" s="5"/>
      <c r="BE65" s="5"/>
      <c r="BF65" s="58"/>
      <c r="BG65" s="5"/>
    </row>
    <row r="66" spans="1:59" ht="15.75" hidden="1" customHeight="1" outlineLevel="1">
      <c r="A66" s="27" t="s">
        <v>45</v>
      </c>
      <c r="B66" s="27" t="s">
        <v>46</v>
      </c>
      <c r="C66" s="27">
        <v>2</v>
      </c>
      <c r="D66" s="55" t="s">
        <v>34</v>
      </c>
      <c r="E66" s="52"/>
      <c r="F66" s="53"/>
      <c r="G66" s="53"/>
      <c r="H66" s="53"/>
      <c r="I66" s="53"/>
      <c r="J66" s="53"/>
      <c r="K66" s="53"/>
      <c r="L66" s="53"/>
      <c r="M66" s="53"/>
      <c r="N66" s="54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8"/>
      <c r="AA66" s="5"/>
      <c r="AB66" s="5"/>
      <c r="AC66" s="5"/>
      <c r="AD66" s="5"/>
      <c r="AE66" s="5"/>
      <c r="AF66" s="5"/>
      <c r="AG66" s="5"/>
      <c r="AH66" s="5">
        <f>SUM(AH64:AH65)</f>
        <v>16781.480304252706</v>
      </c>
      <c r="AI66" s="5"/>
      <c r="AJ66" s="5"/>
      <c r="AK66" s="5"/>
      <c r="AL66" s="48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48"/>
      <c r="AY66" s="5"/>
      <c r="AZ66" s="5"/>
      <c r="BA66" s="5"/>
      <c r="BB66" s="5"/>
      <c r="BC66" s="5"/>
      <c r="BD66" s="5"/>
      <c r="BE66" s="5"/>
      <c r="BF66" s="58"/>
      <c r="BG66" s="5"/>
    </row>
    <row r="67" spans="1:59" ht="15.75" hidden="1" customHeight="1" outlineLevel="1">
      <c r="A67" s="27"/>
      <c r="B67" s="27"/>
      <c r="C67" s="57"/>
      <c r="D67" s="55"/>
      <c r="E67" s="52"/>
      <c r="F67" s="53"/>
      <c r="G67" s="53"/>
      <c r="H67" s="53"/>
      <c r="I67" s="53"/>
      <c r="J67" s="53"/>
      <c r="K67" s="53"/>
      <c r="L67" s="53"/>
      <c r="M67" s="53"/>
      <c r="N67" s="5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4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48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48"/>
      <c r="AY67" s="5"/>
      <c r="AZ67" s="5"/>
      <c r="BA67" s="5"/>
      <c r="BB67" s="5"/>
      <c r="BC67" s="5"/>
      <c r="BD67" s="5"/>
      <c r="BE67" s="5"/>
      <c r="BF67" s="58"/>
      <c r="BG67" s="5"/>
    </row>
    <row r="68" spans="1:59" ht="15.75" hidden="1" customHeight="1" outlineLevel="1">
      <c r="A68" s="27" t="s">
        <v>45</v>
      </c>
      <c r="B68" s="27" t="s">
        <v>46</v>
      </c>
      <c r="C68" s="27">
        <v>3</v>
      </c>
      <c r="D68" s="51" t="s">
        <v>29</v>
      </c>
      <c r="E68" s="52"/>
      <c r="F68" s="53"/>
      <c r="G68" s="53"/>
      <c r="H68" s="53"/>
      <c r="I68" s="53"/>
      <c r="J68" s="53"/>
      <c r="K68" s="53"/>
      <c r="L68" s="53"/>
      <c r="M68" s="53"/>
      <c r="N68" s="5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8"/>
      <c r="AA68" s="5">
        <f>Deferral!AE84</f>
        <v>64697.32646547677</v>
      </c>
      <c r="AB68" s="5">
        <f>Deferral!AF84</f>
        <v>73191.468794069486</v>
      </c>
      <c r="AC68" s="5">
        <f>Deferral!AG84</f>
        <v>-96131.03232352389</v>
      </c>
      <c r="AD68" s="5">
        <f>Deferral!AH84</f>
        <v>-223345.52713114297</v>
      </c>
      <c r="AE68" s="5">
        <f>Deferral!AI84</f>
        <v>-111905.65676986059</v>
      </c>
      <c r="AF68" s="5">
        <f>Deferral!AJ84</f>
        <v>-281867.00611565629</v>
      </c>
      <c r="AG68" s="5">
        <f>Deferral!AK84</f>
        <v>-293071.67032041948</v>
      </c>
      <c r="AH68" s="5">
        <f>Deferral!AL84</f>
        <v>-13094.041443439783</v>
      </c>
      <c r="AI68" s="5">
        <f>Deferral!AM84</f>
        <v>325999.67780106375</v>
      </c>
      <c r="AJ68" s="5">
        <f>Deferral!AN84</f>
        <v>-68153.386359084863</v>
      </c>
      <c r="AK68" s="5">
        <f>Deferral!AO84</f>
        <v>-61012.840062573436</v>
      </c>
      <c r="AL68" s="48">
        <f>Deferral!AP84</f>
        <v>-49658.556888880848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48"/>
      <c r="AY68" s="5"/>
      <c r="AZ68" s="5"/>
      <c r="BA68" s="5"/>
      <c r="BB68" s="5"/>
      <c r="BC68" s="5"/>
      <c r="BD68" s="5"/>
      <c r="BE68" s="5"/>
      <c r="BF68" s="58"/>
      <c r="BG68" s="5"/>
    </row>
    <row r="69" spans="1:59" ht="15.75" hidden="1" customHeight="1" outlineLevel="1">
      <c r="A69" s="27" t="s">
        <v>45</v>
      </c>
      <c r="B69" s="27" t="s">
        <v>46</v>
      </c>
      <c r="C69" s="27">
        <v>3</v>
      </c>
      <c r="D69" s="55" t="s">
        <v>30</v>
      </c>
      <c r="E69" s="52"/>
      <c r="F69" s="53"/>
      <c r="G69" s="53"/>
      <c r="H69" s="53"/>
      <c r="I69" s="53"/>
      <c r="J69" s="53"/>
      <c r="K69" s="53"/>
      <c r="L69" s="53"/>
      <c r="M69" s="53"/>
      <c r="N69" s="5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8"/>
      <c r="AA69" s="5">
        <f>AA68/2*AA$399</f>
        <v>129.39465293095355</v>
      </c>
      <c r="AB69" s="5">
        <f t="shared" ref="AB69:AL69" si="28">(AA70+AB68/2)*AB$399</f>
        <v>405.68982206176992</v>
      </c>
      <c r="AC69" s="5">
        <f t="shared" si="28"/>
        <v>352.39761793383047</v>
      </c>
      <c r="AD69" s="5">
        <f t="shared" si="28"/>
        <v>-289.91557785381468</v>
      </c>
      <c r="AE69" s="5">
        <f t="shared" si="28"/>
        <v>-971.46640686641047</v>
      </c>
      <c r="AF69" s="5">
        <f t="shared" si="28"/>
        <v>-1826.1634604413325</v>
      </c>
      <c r="AG69" s="5">
        <f t="shared" si="28"/>
        <v>-3186.0238326095619</v>
      </c>
      <c r="AH69" s="5">
        <f t="shared" si="28"/>
        <v>-3521.4608212304852</v>
      </c>
      <c r="AI69" s="5">
        <f t="shared" si="28"/>
        <v>-3200.7089309801754</v>
      </c>
      <c r="AJ69" s="5">
        <f t="shared" si="28"/>
        <v>-2707.7013502201371</v>
      </c>
      <c r="AK69" s="5">
        <f t="shared" si="28"/>
        <v>-3077.4102383169675</v>
      </c>
      <c r="AL69" s="48">
        <f t="shared" si="28"/>
        <v>-3273.3690049580573</v>
      </c>
      <c r="AM69" s="5">
        <f t="shared" ref="AM69:AS69" si="29">AL70*AM$399</f>
        <v>-3550.9345148572552</v>
      </c>
      <c r="AN69" s="5">
        <f t="shared" si="29"/>
        <v>-3567.6239070770844</v>
      </c>
      <c r="AO69" s="5">
        <f t="shared" si="29"/>
        <v>-3431.8644313790551</v>
      </c>
      <c r="AP69" s="5">
        <f t="shared" si="29"/>
        <v>-3523.9146617940446</v>
      </c>
      <c r="AQ69" s="5">
        <f t="shared" si="29"/>
        <v>-3463.1654372983339</v>
      </c>
      <c r="AR69" s="5">
        <f t="shared" si="29"/>
        <v>-3556.0552302498695</v>
      </c>
      <c r="AS69" s="5">
        <f t="shared" si="29"/>
        <v>-3261.7684682821478</v>
      </c>
      <c r="AT69" s="5"/>
      <c r="AU69" s="5"/>
      <c r="AV69" s="5"/>
      <c r="AW69" s="5"/>
      <c r="AX69" s="48"/>
      <c r="AY69" s="5"/>
      <c r="AZ69" s="5"/>
      <c r="BA69" s="5"/>
      <c r="BB69" s="5"/>
      <c r="BC69" s="5"/>
      <c r="BD69" s="5"/>
      <c r="BE69" s="5"/>
      <c r="BF69" s="58"/>
      <c r="BG69" s="5"/>
    </row>
    <row r="70" spans="1:59" ht="15.75" hidden="1" customHeight="1" outlineLevel="1">
      <c r="A70" s="27" t="s">
        <v>45</v>
      </c>
      <c r="B70" s="27" t="s">
        <v>46</v>
      </c>
      <c r="C70" s="27">
        <v>3</v>
      </c>
      <c r="D70" s="51" t="s">
        <v>31</v>
      </c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48"/>
      <c r="AA70" s="5">
        <f>SUM(AA68:AA69)</f>
        <v>64826.721118407724</v>
      </c>
      <c r="AB70" s="5">
        <f>AA70+SUM(AB68:AB69)</f>
        <v>138423.87973453899</v>
      </c>
      <c r="AC70" s="5">
        <f t="shared" ref="AC70" si="30">AB70+SUM(AC68:AC69)</f>
        <v>42645.245028948935</v>
      </c>
      <c r="AD70" s="5">
        <f t="shared" ref="AD70:AL70" si="31">AC70+SUM(AD68:AD69)</f>
        <v>-180990.19768004786</v>
      </c>
      <c r="AE70" s="5">
        <f t="shared" si="31"/>
        <v>-293867.32085677487</v>
      </c>
      <c r="AF70" s="5">
        <f t="shared" si="31"/>
        <v>-577560.49043287244</v>
      </c>
      <c r="AG70" s="5">
        <f t="shared" si="31"/>
        <v>-873818.18458590144</v>
      </c>
      <c r="AH70" s="5">
        <f t="shared" si="31"/>
        <v>-890433.68685057166</v>
      </c>
      <c r="AI70" s="5">
        <f t="shared" si="31"/>
        <v>-567634.71798048809</v>
      </c>
      <c r="AJ70" s="5">
        <f t="shared" si="31"/>
        <v>-638495.80568979308</v>
      </c>
      <c r="AK70" s="5">
        <f t="shared" si="31"/>
        <v>-702586.0559906835</v>
      </c>
      <c r="AL70" s="48">
        <f t="shared" si="31"/>
        <v>-755517.98188452236</v>
      </c>
      <c r="AM70" s="5">
        <f>AL70+AM69</f>
        <v>-759068.91639937961</v>
      </c>
      <c r="AN70" s="5">
        <f t="shared" ref="AN70:AQ70" si="32">AM70+AN69</f>
        <v>-762636.54030645674</v>
      </c>
      <c r="AO70" s="5">
        <f t="shared" si="32"/>
        <v>-766068.40473783575</v>
      </c>
      <c r="AP70" s="5">
        <f t="shared" si="32"/>
        <v>-769592.31939962984</v>
      </c>
      <c r="AQ70" s="5">
        <f t="shared" si="32"/>
        <v>-773055.4848369282</v>
      </c>
      <c r="AR70" s="5">
        <f>AQ70+AR69</f>
        <v>-776611.54006717808</v>
      </c>
      <c r="AS70" s="5">
        <f>AR70+AS69</f>
        <v>-779873.30853546027</v>
      </c>
      <c r="AT70" s="5">
        <f>AS70</f>
        <v>-779873.30853546027</v>
      </c>
      <c r="AU70" s="5"/>
      <c r="AV70" s="5"/>
      <c r="AW70" s="5"/>
      <c r="AX70" s="48"/>
      <c r="AY70" s="5"/>
      <c r="AZ70" s="5"/>
      <c r="BA70" s="5"/>
      <c r="BB70" s="5"/>
      <c r="BC70" s="5"/>
      <c r="BD70" s="5"/>
      <c r="BE70" s="5"/>
      <c r="BF70" s="58"/>
      <c r="BG70" s="5"/>
    </row>
    <row r="71" spans="1:59" ht="15.75" hidden="1" customHeight="1" outlineLevel="1">
      <c r="A71" s="27" t="s">
        <v>45</v>
      </c>
      <c r="B71" s="27" t="s">
        <v>46</v>
      </c>
      <c r="C71" s="27">
        <v>3</v>
      </c>
      <c r="D71" s="55" t="s">
        <v>32</v>
      </c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48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48"/>
      <c r="AM71" s="5"/>
      <c r="AN71" s="5"/>
      <c r="AO71" s="5"/>
      <c r="AP71" s="5"/>
      <c r="AQ71" s="5"/>
      <c r="AR71" s="5"/>
      <c r="AS71" s="5"/>
      <c r="AT71" s="56">
        <f>AT421</f>
        <v>2145348.3216392049</v>
      </c>
      <c r="AU71" s="5"/>
      <c r="AV71" s="5"/>
      <c r="AW71" s="5"/>
      <c r="AX71" s="48"/>
      <c r="AY71" s="5"/>
      <c r="AZ71" s="5"/>
      <c r="BA71" s="5"/>
      <c r="BB71" s="5"/>
      <c r="BC71" s="5"/>
      <c r="BD71" s="5"/>
      <c r="BE71" s="5"/>
      <c r="BF71" s="58"/>
      <c r="BG71" s="5"/>
    </row>
    <row r="72" spans="1:59" ht="15.75" hidden="1" customHeight="1" outlineLevel="1">
      <c r="A72" s="27" t="s">
        <v>45</v>
      </c>
      <c r="B72" s="27" t="s">
        <v>46</v>
      </c>
      <c r="C72" s="27">
        <v>3</v>
      </c>
      <c r="D72" s="55" t="s">
        <v>35</v>
      </c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8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48"/>
      <c r="AM72" s="5"/>
      <c r="AN72" s="5"/>
      <c r="AO72" s="5"/>
      <c r="AP72" s="5"/>
      <c r="AQ72" s="5"/>
      <c r="AR72" s="5"/>
      <c r="AS72" s="5"/>
      <c r="AT72" s="5">
        <f>SUM(AT70:AT71)</f>
        <v>1365475.0131037445</v>
      </c>
      <c r="AU72" s="5"/>
      <c r="AV72" s="5"/>
      <c r="AW72" s="5"/>
      <c r="AX72" s="48"/>
      <c r="AY72" s="5"/>
      <c r="AZ72" s="5"/>
      <c r="BA72" s="5"/>
      <c r="BB72" s="5"/>
      <c r="BC72" s="5"/>
      <c r="BD72" s="5"/>
      <c r="BE72" s="5"/>
      <c r="BF72" s="58"/>
      <c r="BG72" s="5"/>
    </row>
    <row r="73" spans="1:59" ht="15.75" hidden="1" customHeight="1" outlineLevel="1">
      <c r="A73" s="27"/>
      <c r="B73" s="27"/>
      <c r="C73" s="57"/>
      <c r="D73" s="55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48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48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48"/>
      <c r="AY73" s="5"/>
      <c r="AZ73" s="5"/>
      <c r="BA73" s="5"/>
      <c r="BB73" s="5"/>
      <c r="BC73" s="5"/>
      <c r="BD73" s="5"/>
      <c r="BE73" s="5"/>
      <c r="BF73" s="58"/>
      <c r="BG73" s="5"/>
    </row>
    <row r="74" spans="1:59" ht="15.75" hidden="1" customHeight="1" outlineLevel="1">
      <c r="A74" s="27" t="s">
        <v>45</v>
      </c>
      <c r="B74" s="27" t="s">
        <v>46</v>
      </c>
      <c r="C74" s="27">
        <v>4</v>
      </c>
      <c r="D74" s="51" t="s">
        <v>29</v>
      </c>
      <c r="E74" s="52"/>
      <c r="F74" s="53"/>
      <c r="G74" s="53"/>
      <c r="H74" s="53"/>
      <c r="I74" s="53"/>
      <c r="J74" s="53"/>
      <c r="K74" s="53"/>
      <c r="L74" s="53"/>
      <c r="M74" s="53"/>
      <c r="N74" s="5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48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48"/>
      <c r="AM74" s="5">
        <f>Deferral!AQ84</f>
        <v>-13438.541125682299</v>
      </c>
      <c r="AN74" s="5">
        <f>Deferral!AR84</f>
        <v>-215241.49330277782</v>
      </c>
      <c r="AO74" s="5">
        <f>Deferral!AS84</f>
        <v>-49409.991132367752</v>
      </c>
      <c r="AP74" s="5">
        <f>Deferral!AT84</f>
        <v>-227888.32982733723</v>
      </c>
      <c r="AQ74" s="5">
        <f>Deferral!AU84</f>
        <v>-78526.747040156042</v>
      </c>
      <c r="AR74" s="5">
        <f>Deferral!AV84</f>
        <v>-271012.96898199228</v>
      </c>
      <c r="AS74" s="5">
        <f>Deferral!AW84</f>
        <v>-222730.46972183022</v>
      </c>
      <c r="AT74" s="5">
        <f>Deferral!AX84</f>
        <v>-196694.44062636554</v>
      </c>
      <c r="AU74" s="5">
        <f>Deferral!AY84</f>
        <v>-122223.57341298339</v>
      </c>
      <c r="AV74" s="5">
        <f>Deferral!AZ84</f>
        <v>-255070.89764078835</v>
      </c>
      <c r="AW74" s="5">
        <f>Deferral!BA84</f>
        <v>-290138.92037311231</v>
      </c>
      <c r="AX74" s="48">
        <f>Deferral!BB84</f>
        <v>-333740.71198108199</v>
      </c>
      <c r="AY74" s="5"/>
      <c r="AZ74" s="5"/>
      <c r="BA74" s="5"/>
      <c r="BB74" s="5"/>
      <c r="BC74" s="5"/>
      <c r="BD74" s="5"/>
      <c r="BE74" s="5"/>
      <c r="BF74" s="58"/>
      <c r="BG74" s="5"/>
    </row>
    <row r="75" spans="1:59" ht="15.75" hidden="1" customHeight="1" outlineLevel="1">
      <c r="A75" s="27" t="s">
        <v>45</v>
      </c>
      <c r="B75" s="27" t="s">
        <v>46</v>
      </c>
      <c r="C75" s="27">
        <v>4</v>
      </c>
      <c r="D75" s="55" t="s">
        <v>30</v>
      </c>
      <c r="E75" s="52"/>
      <c r="F75" s="53"/>
      <c r="G75" s="53"/>
      <c r="H75" s="53"/>
      <c r="I75" s="53"/>
      <c r="J75" s="53"/>
      <c r="K75" s="53"/>
      <c r="L75" s="53"/>
      <c r="M75" s="53"/>
      <c r="N75" s="54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48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48"/>
      <c r="AM75" s="5">
        <f>AM74/2*AM$399</f>
        <v>-31.580571645353405</v>
      </c>
      <c r="AN75" s="5">
        <f t="shared" ref="AN75:AX75" si="33">(AM76+AN74/2)*AN$399</f>
        <v>-569.12708123896778</v>
      </c>
      <c r="AO75" s="5">
        <f t="shared" si="33"/>
        <v>-1142.9358194138772</v>
      </c>
      <c r="AP75" s="5">
        <f t="shared" si="33"/>
        <v>-1811.3780361552551</v>
      </c>
      <c r="AQ75" s="5">
        <f t="shared" si="33"/>
        <v>-2469.5853768751344</v>
      </c>
      <c r="AR75" s="5">
        <f t="shared" si="33"/>
        <v>-3339.7664915013706</v>
      </c>
      <c r="AS75" s="5">
        <f t="shared" si="33"/>
        <v>-4100.2402545218447</v>
      </c>
      <c r="AT75" s="5">
        <f t="shared" si="33"/>
        <v>-4641.2354627990444</v>
      </c>
      <c r="AU75" s="5">
        <f t="shared" si="33"/>
        <v>-5687.4745937484358</v>
      </c>
      <c r="AV75" s="5">
        <f t="shared" si="33"/>
        <v>-6039.1317779511646</v>
      </c>
      <c r="AW75" s="5">
        <f t="shared" si="33"/>
        <v>-7308.5574738587493</v>
      </c>
      <c r="AX75" s="48">
        <f t="shared" si="33"/>
        <v>-8370.9121942510083</v>
      </c>
      <c r="AY75" s="5">
        <f t="shared" ref="AY75:BE75" si="34">AX76*AY$399</f>
        <v>-6732.7241298712615</v>
      </c>
      <c r="AZ75" s="5">
        <f t="shared" si="34"/>
        <v>-6752.2490298478888</v>
      </c>
      <c r="BA75" s="5">
        <f t="shared" si="34"/>
        <v>-6538.3191536884324</v>
      </c>
      <c r="BB75" s="5">
        <f t="shared" si="34"/>
        <v>-6556.6264473187593</v>
      </c>
      <c r="BC75" s="5">
        <f t="shared" si="34"/>
        <v>-6340.1641084651355</v>
      </c>
      <c r="BD75" s="5">
        <f t="shared" si="34"/>
        <v>-6592.7374608749533</v>
      </c>
      <c r="BE75" s="5">
        <f t="shared" si="34"/>
        <v>-6611.1971257654031</v>
      </c>
      <c r="BF75" s="58"/>
      <c r="BG75" s="5"/>
    </row>
    <row r="76" spans="1:59" ht="15.75" hidden="1" customHeight="1" outlineLevel="1">
      <c r="A76" s="27" t="s">
        <v>45</v>
      </c>
      <c r="B76" s="27" t="s">
        <v>46</v>
      </c>
      <c r="C76" s="27">
        <v>4</v>
      </c>
      <c r="D76" s="51" t="s">
        <v>31</v>
      </c>
      <c r="E76" s="52"/>
      <c r="F76" s="53"/>
      <c r="G76" s="53"/>
      <c r="H76" s="53"/>
      <c r="I76" s="53"/>
      <c r="J76" s="53"/>
      <c r="K76" s="53"/>
      <c r="L76" s="53"/>
      <c r="M76" s="53"/>
      <c r="N76" s="54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48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48"/>
      <c r="AM76" s="5">
        <f>SUM(AM74:AM75)</f>
        <v>-13470.121697327653</v>
      </c>
      <c r="AN76" s="5">
        <f>AM76+SUM(AN74:AN75)</f>
        <v>-229280.74208134442</v>
      </c>
      <c r="AO76" s="5">
        <f t="shared" ref="AO76" si="35">AN76+SUM(AO74:AO75)</f>
        <v>-279833.66903312603</v>
      </c>
      <c r="AP76" s="5">
        <f t="shared" ref="AP76:AX76" si="36">AO76+SUM(AP74:AP75)</f>
        <v>-509533.37689661852</v>
      </c>
      <c r="AQ76" s="5">
        <f t="shared" si="36"/>
        <v>-590529.70931364968</v>
      </c>
      <c r="AR76" s="5">
        <f t="shared" si="36"/>
        <v>-864882.44478714326</v>
      </c>
      <c r="AS76" s="5">
        <f t="shared" si="36"/>
        <v>-1091713.1547634953</v>
      </c>
      <c r="AT76" s="5">
        <f t="shared" si="36"/>
        <v>-1293048.8308526599</v>
      </c>
      <c r="AU76" s="5">
        <f t="shared" si="36"/>
        <v>-1420959.8788593917</v>
      </c>
      <c r="AV76" s="5">
        <f t="shared" si="36"/>
        <v>-1682069.9082781312</v>
      </c>
      <c r="AW76" s="5">
        <f t="shared" si="36"/>
        <v>-1979517.3861251022</v>
      </c>
      <c r="AX76" s="48">
        <f t="shared" si="36"/>
        <v>-2321629.0103004351</v>
      </c>
      <c r="AY76" s="5">
        <f>AX76+AY75</f>
        <v>-2328361.7344303066</v>
      </c>
      <c r="AZ76" s="5">
        <f t="shared" ref="AZ76:BC76" si="37">AY76+AZ75</f>
        <v>-2335113.9834601544</v>
      </c>
      <c r="BA76" s="5">
        <f t="shared" si="37"/>
        <v>-2341652.3026138428</v>
      </c>
      <c r="BB76" s="5">
        <f t="shared" si="37"/>
        <v>-2348208.9290611614</v>
      </c>
      <c r="BC76" s="5">
        <f t="shared" si="37"/>
        <v>-2354549.0931696263</v>
      </c>
      <c r="BD76" s="5">
        <f>BC76+BD75</f>
        <v>-2361141.8306305013</v>
      </c>
      <c r="BE76" s="5">
        <f>BD76+BE75</f>
        <v>-2367753.0277562668</v>
      </c>
      <c r="BF76" s="58">
        <f>BE76</f>
        <v>-2367753.0277562668</v>
      </c>
      <c r="BG76" s="5"/>
    </row>
    <row r="77" spans="1:59" ht="15.75" hidden="1" customHeight="1" outlineLevel="1">
      <c r="A77" s="27" t="s">
        <v>45</v>
      </c>
      <c r="B77" s="27" t="s">
        <v>46</v>
      </c>
      <c r="C77" s="27">
        <v>4</v>
      </c>
      <c r="D77" s="55" t="s">
        <v>36</v>
      </c>
      <c r="E77" s="52"/>
      <c r="F77" s="53"/>
      <c r="G77" s="53"/>
      <c r="H77" s="53"/>
      <c r="I77" s="53"/>
      <c r="J77" s="53"/>
      <c r="K77" s="53"/>
      <c r="L77" s="53"/>
      <c r="M77" s="53"/>
      <c r="N77" s="54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48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48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48"/>
      <c r="AY77" s="5"/>
      <c r="AZ77" s="5"/>
      <c r="BA77" s="5"/>
      <c r="BB77" s="5"/>
      <c r="BC77" s="5"/>
      <c r="BD77" s="5"/>
      <c r="BE77" s="5"/>
      <c r="BF77" s="59">
        <f>BF429</f>
        <v>2424.4678998634731</v>
      </c>
      <c r="BG77" s="5"/>
    </row>
    <row r="78" spans="1:59" ht="15.75" hidden="1" customHeight="1" outlineLevel="1">
      <c r="A78" s="27" t="s">
        <v>45</v>
      </c>
      <c r="B78" s="27" t="s">
        <v>46</v>
      </c>
      <c r="C78" s="27">
        <v>4</v>
      </c>
      <c r="D78" s="55" t="s">
        <v>37</v>
      </c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48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48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48"/>
      <c r="AY78" s="5"/>
      <c r="AZ78" s="5"/>
      <c r="BA78" s="5"/>
      <c r="BB78" s="5"/>
      <c r="BC78" s="5"/>
      <c r="BD78" s="5"/>
      <c r="BE78" s="5"/>
      <c r="BF78" s="58">
        <f>SUM(BF76:BF77)</f>
        <v>-2365328.5598564032</v>
      </c>
      <c r="BG78" s="5"/>
    </row>
    <row r="79" spans="1:59" ht="15.75" hidden="1" customHeight="1" collapsed="1">
      <c r="A79" s="27"/>
      <c r="B79" s="27"/>
      <c r="C79" s="57"/>
      <c r="D79" s="55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48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48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48"/>
      <c r="AY79" s="5"/>
      <c r="AZ79" s="5"/>
      <c r="BA79" s="5"/>
      <c r="BB79" s="5"/>
      <c r="BC79" s="5"/>
      <c r="BD79" s="5"/>
      <c r="BE79" s="5"/>
      <c r="BF79" s="58"/>
      <c r="BG79" s="5"/>
    </row>
    <row r="80" spans="1:59" ht="15.75" hidden="1" customHeight="1">
      <c r="A80" s="27" t="s">
        <v>45</v>
      </c>
      <c r="B80" s="27" t="s">
        <v>46</v>
      </c>
      <c r="C80" s="27">
        <v>5</v>
      </c>
      <c r="D80" s="51" t="s">
        <v>29</v>
      </c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48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48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48"/>
      <c r="AY80" s="5">
        <f>Deferral!BC84</f>
        <v>-249696.96645425173</v>
      </c>
      <c r="AZ80" s="5">
        <f>Deferral!BD84</f>
        <v>-297344.43436610134</v>
      </c>
      <c r="BA80" s="5">
        <f>Deferral!BE84</f>
        <v>-192562.77225359506</v>
      </c>
      <c r="BB80" s="5">
        <f>Deferral!BF84</f>
        <v>-262372.72542244592</v>
      </c>
      <c r="BC80" s="5">
        <f>Deferral!BG84</f>
        <v>-132397.26348816574</v>
      </c>
      <c r="BD80" s="5">
        <f>Deferral!BH84</f>
        <v>-410492.77557697846</v>
      </c>
      <c r="BE80" s="5">
        <f>Deferral!BI84+Deferral!BJ84</f>
        <v>-260861.65740995976</v>
      </c>
      <c r="BF80" s="58">
        <f>Deferral!BK84+Deferral!BL84</f>
        <v>-104407.15015908975</v>
      </c>
      <c r="BG80" s="5">
        <f>Deferral!BM84</f>
        <v>-355103.37598881876</v>
      </c>
    </row>
    <row r="81" spans="1:59" ht="15.75" hidden="1" customHeight="1">
      <c r="A81" s="27" t="s">
        <v>45</v>
      </c>
      <c r="B81" s="27" t="s">
        <v>46</v>
      </c>
      <c r="C81" s="27">
        <v>5</v>
      </c>
      <c r="D81" s="55" t="s">
        <v>30</v>
      </c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48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48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48"/>
      <c r="AY81" s="5">
        <f>AY80/2*AY$399</f>
        <v>-362.060601358665</v>
      </c>
      <c r="AZ81" s="5">
        <f t="shared" ref="AZ81:BG81" si="38">(AY82+AZ80/2)*AZ$399</f>
        <v>-1156.320608292117</v>
      </c>
      <c r="BA81" s="5">
        <f t="shared" si="38"/>
        <v>-1805.5552708390437</v>
      </c>
      <c r="BB81" s="5">
        <f t="shared" si="38"/>
        <v>-2447.5205223438506</v>
      </c>
      <c r="BC81" s="5">
        <f t="shared" si="38"/>
        <v>-2899.6568655569386</v>
      </c>
      <c r="BD81" s="5">
        <f t="shared" si="38"/>
        <v>-3775.2166581960314</v>
      </c>
      <c r="BE81" s="5">
        <f t="shared" si="38"/>
        <v>-4725.683471020694</v>
      </c>
      <c r="BF81" s="58">
        <f t="shared" si="38"/>
        <v>-4687.7604601216262</v>
      </c>
      <c r="BG81" s="5">
        <f t="shared" si="38"/>
        <v>-5906.7321812316331</v>
      </c>
    </row>
    <row r="82" spans="1:59" ht="15.75" hidden="1" customHeight="1">
      <c r="A82" s="27" t="s">
        <v>45</v>
      </c>
      <c r="B82" s="27" t="s">
        <v>46</v>
      </c>
      <c r="C82" s="27">
        <v>5</v>
      </c>
      <c r="D82" s="51" t="s">
        <v>31</v>
      </c>
      <c r="E82" s="52"/>
      <c r="F82" s="53"/>
      <c r="G82" s="53"/>
      <c r="H82" s="53"/>
      <c r="I82" s="53"/>
      <c r="J82" s="53"/>
      <c r="K82" s="53"/>
      <c r="L82" s="53"/>
      <c r="M82" s="53"/>
      <c r="N82" s="5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48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48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48"/>
      <c r="AY82" s="5">
        <f>SUM(AY80:AY81)</f>
        <v>-250059.02705561038</v>
      </c>
      <c r="AZ82" s="5">
        <f>AY82+SUM(AZ80:AZ81)</f>
        <v>-548559.78203000384</v>
      </c>
      <c r="BA82" s="5">
        <f t="shared" ref="BA82" si="39">AZ82+SUM(BA80:BA81)</f>
        <v>-742928.10955443792</v>
      </c>
      <c r="BB82" s="5">
        <f t="shared" ref="BB82:BG82" si="40">BA82+SUM(BB80:BB81)</f>
        <v>-1007748.3554992278</v>
      </c>
      <c r="BC82" s="5">
        <f t="shared" si="40"/>
        <v>-1143045.2758529505</v>
      </c>
      <c r="BD82" s="5">
        <f t="shared" si="40"/>
        <v>-1557313.2680881249</v>
      </c>
      <c r="BE82" s="5">
        <f t="shared" si="40"/>
        <v>-1822900.6089691054</v>
      </c>
      <c r="BF82" s="58">
        <f t="shared" si="40"/>
        <v>-1931995.5195883168</v>
      </c>
      <c r="BG82" s="5">
        <f t="shared" si="40"/>
        <v>-2293005.627758367</v>
      </c>
    </row>
    <row r="83" spans="1:59" ht="15.75" hidden="1" customHeight="1" outlineLevel="1">
      <c r="A83" s="27" t="s">
        <v>45</v>
      </c>
      <c r="B83" s="27" t="s">
        <v>46</v>
      </c>
      <c r="C83" s="27">
        <v>5</v>
      </c>
      <c r="D83" s="55" t="s">
        <v>38</v>
      </c>
      <c r="E83" s="52"/>
      <c r="F83" s="53"/>
      <c r="G83" s="53"/>
      <c r="H83" s="53"/>
      <c r="I83" s="53"/>
      <c r="J83" s="53"/>
      <c r="K83" s="53"/>
      <c r="L83" s="53"/>
      <c r="M83" s="53"/>
      <c r="N83" s="54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48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48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48"/>
      <c r="AY83" s="5"/>
      <c r="AZ83" s="5"/>
      <c r="BA83" s="5"/>
      <c r="BB83" s="5"/>
      <c r="BC83" s="5"/>
      <c r="BD83" s="5"/>
      <c r="BE83" s="5"/>
      <c r="BF83" s="58"/>
      <c r="BG83" s="5"/>
    </row>
    <row r="84" spans="1:59" ht="15.75" hidden="1" customHeight="1" outlineLevel="1">
      <c r="A84" s="27" t="s">
        <v>45</v>
      </c>
      <c r="B84" s="27" t="s">
        <v>46</v>
      </c>
      <c r="C84" s="27">
        <v>5</v>
      </c>
      <c r="D84" s="55" t="s">
        <v>39</v>
      </c>
      <c r="E84" s="52"/>
      <c r="F84" s="53"/>
      <c r="G84" s="53"/>
      <c r="H84" s="53"/>
      <c r="I84" s="53"/>
      <c r="J84" s="53"/>
      <c r="K84" s="53"/>
      <c r="L84" s="53"/>
      <c r="M84" s="53"/>
      <c r="N84" s="54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48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48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48"/>
      <c r="AY84" s="5"/>
      <c r="AZ84" s="5"/>
      <c r="BA84" s="5"/>
      <c r="BB84" s="5"/>
      <c r="BC84" s="5"/>
      <c r="BD84" s="5"/>
      <c r="BE84" s="5"/>
      <c r="BF84" s="58"/>
      <c r="BG84" s="5"/>
    </row>
    <row r="85" spans="1:59" ht="15.75" hidden="1" customHeight="1" outlineLevel="1">
      <c r="A85" s="27"/>
      <c r="B85" s="27"/>
      <c r="C85" s="27"/>
      <c r="D85" s="55"/>
      <c r="E85" s="52"/>
      <c r="F85" s="53"/>
      <c r="G85" s="53"/>
      <c r="H85" s="53"/>
      <c r="I85" s="53"/>
      <c r="J85" s="53"/>
      <c r="K85" s="53"/>
      <c r="L85" s="53"/>
      <c r="M85" s="53"/>
      <c r="N85" s="54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48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48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48"/>
      <c r="AY85" s="5"/>
      <c r="AZ85" s="5"/>
      <c r="BA85" s="5"/>
      <c r="BB85" s="5"/>
      <c r="BC85" s="5"/>
      <c r="BD85" s="5"/>
      <c r="BE85" s="5"/>
      <c r="BF85" s="58"/>
      <c r="BG85" s="5"/>
    </row>
    <row r="86" spans="1:59" ht="15.75" hidden="1" customHeight="1" outlineLevel="1">
      <c r="A86" s="27" t="s">
        <v>45</v>
      </c>
      <c r="B86" s="27" t="s">
        <v>46</v>
      </c>
      <c r="C86" s="27">
        <v>6</v>
      </c>
      <c r="D86" s="51" t="s">
        <v>29</v>
      </c>
      <c r="E86" s="52"/>
      <c r="F86" s="53"/>
      <c r="G86" s="53"/>
      <c r="H86" s="53"/>
      <c r="I86" s="53"/>
      <c r="J86" s="53"/>
      <c r="K86" s="53"/>
      <c r="L86" s="53"/>
      <c r="M86" s="53"/>
      <c r="N86" s="5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48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48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48"/>
      <c r="AY86" s="5"/>
      <c r="AZ86" s="5"/>
      <c r="BA86" s="5"/>
      <c r="BB86" s="5"/>
      <c r="BC86" s="5"/>
      <c r="BD86" s="5"/>
      <c r="BE86" s="5"/>
      <c r="BF86" s="58"/>
      <c r="BG86" s="5"/>
    </row>
    <row r="87" spans="1:59" ht="15.75" hidden="1" customHeight="1" outlineLevel="1">
      <c r="A87" s="27" t="s">
        <v>45</v>
      </c>
      <c r="B87" s="27" t="s">
        <v>46</v>
      </c>
      <c r="C87" s="27">
        <v>6</v>
      </c>
      <c r="D87" s="55" t="s">
        <v>30</v>
      </c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48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48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48"/>
      <c r="AY87" s="5"/>
      <c r="AZ87" s="5"/>
      <c r="BA87" s="5"/>
      <c r="BB87" s="5"/>
      <c r="BC87" s="5"/>
      <c r="BD87" s="5"/>
      <c r="BE87" s="5"/>
      <c r="BF87" s="58"/>
      <c r="BG87" s="5"/>
    </row>
    <row r="88" spans="1:59" ht="15.75" hidden="1" customHeight="1" outlineLevel="1">
      <c r="A88" s="27" t="s">
        <v>45</v>
      </c>
      <c r="B88" s="27" t="s">
        <v>46</v>
      </c>
      <c r="C88" s="27">
        <v>6</v>
      </c>
      <c r="D88" s="51" t="s">
        <v>31</v>
      </c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48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48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48"/>
      <c r="AY88" s="5"/>
      <c r="AZ88" s="5"/>
      <c r="BA88" s="5"/>
      <c r="BB88" s="5"/>
      <c r="BC88" s="5"/>
      <c r="BD88" s="5"/>
      <c r="BE88" s="5"/>
      <c r="BF88" s="58"/>
      <c r="BG88" s="5"/>
    </row>
    <row r="89" spans="1:59" ht="15.75" hidden="1" customHeight="1" outlineLevel="1">
      <c r="A89" s="27" t="s">
        <v>45</v>
      </c>
      <c r="B89" s="27" t="s">
        <v>46</v>
      </c>
      <c r="C89" s="27">
        <v>6</v>
      </c>
      <c r="D89" s="55" t="s">
        <v>38</v>
      </c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48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48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48"/>
      <c r="AY89" s="5"/>
      <c r="AZ89" s="5"/>
      <c r="BA89" s="5"/>
      <c r="BB89" s="5"/>
      <c r="BC89" s="5"/>
      <c r="BD89" s="5"/>
      <c r="BE89" s="5"/>
      <c r="BF89" s="58"/>
      <c r="BG89" s="5"/>
    </row>
    <row r="90" spans="1:59" ht="15.75" hidden="1" customHeight="1" outlineLevel="1">
      <c r="A90" s="27" t="s">
        <v>45</v>
      </c>
      <c r="B90" s="27" t="s">
        <v>46</v>
      </c>
      <c r="C90" s="27">
        <v>6</v>
      </c>
      <c r="D90" s="55" t="s">
        <v>40</v>
      </c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48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48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48"/>
      <c r="AY90" s="5"/>
      <c r="AZ90" s="5"/>
      <c r="BA90" s="5"/>
      <c r="BB90" s="5"/>
      <c r="BC90" s="5"/>
      <c r="BD90" s="5"/>
      <c r="BE90" s="5"/>
      <c r="BF90" s="58"/>
      <c r="BG90" s="5"/>
    </row>
    <row r="91" spans="1:59" ht="15.75" hidden="1" customHeight="1" outlineLevel="1">
      <c r="A91" s="27"/>
      <c r="B91" s="27"/>
      <c r="C91" s="27"/>
      <c r="D91" s="55"/>
      <c r="E91" s="52"/>
      <c r="F91" s="53"/>
      <c r="G91" s="53"/>
      <c r="H91" s="53"/>
      <c r="I91" s="53"/>
      <c r="J91" s="53"/>
      <c r="K91" s="53"/>
      <c r="L91" s="53"/>
      <c r="M91" s="53"/>
      <c r="N91" s="54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48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48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48"/>
      <c r="AY91" s="5"/>
      <c r="AZ91" s="5"/>
      <c r="BA91" s="5"/>
      <c r="BB91" s="5"/>
      <c r="BC91" s="5"/>
      <c r="BD91" s="5"/>
      <c r="BE91" s="5"/>
      <c r="BF91" s="58"/>
      <c r="BG91" s="5"/>
    </row>
    <row r="92" spans="1:59" ht="15.75" hidden="1" customHeight="1" outlineLevel="1">
      <c r="A92" s="27" t="s">
        <v>45</v>
      </c>
      <c r="B92" s="27" t="s">
        <v>46</v>
      </c>
      <c r="C92" s="27">
        <v>7</v>
      </c>
      <c r="D92" s="51" t="s">
        <v>29</v>
      </c>
      <c r="E92" s="52"/>
      <c r="F92" s="53"/>
      <c r="G92" s="53"/>
      <c r="H92" s="53"/>
      <c r="I92" s="53"/>
      <c r="J92" s="53"/>
      <c r="K92" s="53"/>
      <c r="L92" s="53"/>
      <c r="M92" s="53"/>
      <c r="N92" s="54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48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48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48"/>
      <c r="AY92" s="5"/>
      <c r="AZ92" s="5"/>
      <c r="BA92" s="5"/>
      <c r="BB92" s="5"/>
      <c r="BC92" s="5"/>
      <c r="BD92" s="5"/>
      <c r="BE92" s="5"/>
      <c r="BF92" s="58"/>
      <c r="BG92" s="5"/>
    </row>
    <row r="93" spans="1:59" ht="15.75" hidden="1" customHeight="1" outlineLevel="1">
      <c r="A93" s="27" t="s">
        <v>45</v>
      </c>
      <c r="B93" s="27" t="s">
        <v>46</v>
      </c>
      <c r="C93" s="27">
        <v>7</v>
      </c>
      <c r="D93" s="55" t="s">
        <v>30</v>
      </c>
      <c r="E93" s="52"/>
      <c r="F93" s="53"/>
      <c r="G93" s="53"/>
      <c r="H93" s="53"/>
      <c r="I93" s="53"/>
      <c r="J93" s="53"/>
      <c r="K93" s="53"/>
      <c r="L93" s="53"/>
      <c r="M93" s="53"/>
      <c r="N93" s="54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48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48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48"/>
      <c r="AY93" s="5"/>
      <c r="AZ93" s="5"/>
      <c r="BA93" s="5"/>
      <c r="BB93" s="5"/>
      <c r="BC93" s="5"/>
      <c r="BD93" s="5"/>
      <c r="BE93" s="5"/>
      <c r="BF93" s="58"/>
      <c r="BG93" s="5"/>
    </row>
    <row r="94" spans="1:59" ht="15.75" hidden="1" customHeight="1" outlineLevel="1">
      <c r="A94" s="27" t="s">
        <v>45</v>
      </c>
      <c r="B94" s="27" t="s">
        <v>46</v>
      </c>
      <c r="C94" s="27">
        <v>7</v>
      </c>
      <c r="D94" s="51" t="s">
        <v>31</v>
      </c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48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48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48"/>
      <c r="AY94" s="5"/>
      <c r="AZ94" s="5"/>
      <c r="BA94" s="5"/>
      <c r="BB94" s="5"/>
      <c r="BC94" s="5"/>
      <c r="BD94" s="5"/>
      <c r="BE94" s="5"/>
      <c r="BF94" s="58"/>
      <c r="BG94" s="5"/>
    </row>
    <row r="95" spans="1:59" ht="15.75" hidden="1" customHeight="1" outlineLevel="1">
      <c r="A95" s="27" t="s">
        <v>45</v>
      </c>
      <c r="B95" s="27" t="s">
        <v>46</v>
      </c>
      <c r="C95" s="27">
        <v>7</v>
      </c>
      <c r="D95" s="55" t="s">
        <v>38</v>
      </c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48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48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48"/>
      <c r="AY95" s="5"/>
      <c r="AZ95" s="5"/>
      <c r="BA95" s="5"/>
      <c r="BB95" s="5"/>
      <c r="BC95" s="5"/>
      <c r="BD95" s="5"/>
      <c r="BE95" s="5"/>
      <c r="BF95" s="58"/>
      <c r="BG95" s="5"/>
    </row>
    <row r="96" spans="1:59" ht="15.75" hidden="1" customHeight="1" outlineLevel="1">
      <c r="A96" s="27" t="s">
        <v>45</v>
      </c>
      <c r="B96" s="27" t="s">
        <v>46</v>
      </c>
      <c r="C96" s="27">
        <v>7</v>
      </c>
      <c r="D96" s="55" t="s">
        <v>41</v>
      </c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48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48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48"/>
      <c r="AY96" s="5"/>
      <c r="AZ96" s="5"/>
      <c r="BA96" s="5"/>
      <c r="BB96" s="5"/>
      <c r="BC96" s="5"/>
      <c r="BD96" s="5"/>
      <c r="BE96" s="5"/>
      <c r="BF96" s="58"/>
      <c r="BG96" s="5"/>
    </row>
    <row r="97" spans="1:59" ht="15.75" hidden="1" customHeight="1" outlineLevel="1">
      <c r="A97" s="27"/>
      <c r="B97" s="27"/>
      <c r="C97" s="57"/>
      <c r="D97" s="55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48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48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48"/>
      <c r="AY97" s="5"/>
      <c r="AZ97" s="5"/>
      <c r="BA97" s="5"/>
      <c r="BB97" s="5"/>
      <c r="BC97" s="5"/>
      <c r="BD97" s="5"/>
      <c r="BE97" s="5"/>
      <c r="BF97" s="58"/>
      <c r="BG97" s="5"/>
    </row>
    <row r="98" spans="1:59" ht="15.75" hidden="1" customHeight="1" collapsed="1">
      <c r="A98" s="27"/>
      <c r="B98" s="27"/>
      <c r="C98" s="57"/>
      <c r="D98" s="55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48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48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48"/>
      <c r="AY98" s="5"/>
      <c r="AZ98" s="5"/>
      <c r="BA98" s="5"/>
      <c r="BB98" s="5"/>
      <c r="BC98" s="5"/>
      <c r="BD98" s="5"/>
      <c r="BE98" s="5"/>
      <c r="BF98" s="58"/>
      <c r="BG98" s="5"/>
    </row>
    <row r="99" spans="1:59" ht="15.75" hidden="1" customHeight="1">
      <c r="A99" s="27" t="s">
        <v>45</v>
      </c>
      <c r="B99" s="27" t="s">
        <v>46</v>
      </c>
      <c r="C99" s="60"/>
      <c r="D99" s="55" t="s">
        <v>42</v>
      </c>
      <c r="E99" s="49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48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48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-40221.307225017285</v>
      </c>
      <c r="AI99" s="5">
        <v>-92695.999704687274</v>
      </c>
      <c r="AJ99" s="5">
        <v>-74374.995079999993</v>
      </c>
      <c r="AK99" s="5">
        <v>-71817.804950000005</v>
      </c>
      <c r="AL99" s="48">
        <v>-79347.899730000005</v>
      </c>
      <c r="AM99" s="5">
        <v>-86359.173569999999</v>
      </c>
      <c r="AN99" s="5">
        <v>-92935.009430000006</v>
      </c>
      <c r="AO99" s="5">
        <v>-91545.121530000004</v>
      </c>
      <c r="AP99" s="5">
        <v>-76707.672350000008</v>
      </c>
      <c r="AQ99" s="5">
        <v>-79444.784480000002</v>
      </c>
      <c r="AR99" s="5">
        <v>-96809.354659999997</v>
      </c>
      <c r="AS99" s="5">
        <v>-94889.613660000003</v>
      </c>
      <c r="AT99" s="5">
        <v>-114399.34321928896</v>
      </c>
      <c r="AU99" s="5">
        <v>-138489.58329740036</v>
      </c>
      <c r="AV99" s="5">
        <v>-121513.74935130373</v>
      </c>
      <c r="AW99" s="5">
        <v>-114079.40255</v>
      </c>
      <c r="AX99" s="48">
        <v>-123719.4329</v>
      </c>
      <c r="AY99" s="5">
        <v>-139254.44485</v>
      </c>
      <c r="AZ99" s="5">
        <v>-160281.70475</v>
      </c>
      <c r="BA99" s="5">
        <v>-153809.68565</v>
      </c>
      <c r="BB99" s="5">
        <v>-134120.47605000003</v>
      </c>
      <c r="BC99" s="5">
        <v>-137865.43770000001</v>
      </c>
      <c r="BD99" s="5">
        <v>-164055.68745</v>
      </c>
      <c r="BE99" s="5">
        <v>-163174.36945000003</v>
      </c>
      <c r="BF99" s="58">
        <v>-50108.344778609768</v>
      </c>
      <c r="BG99" s="58">
        <v>75546.690276674373</v>
      </c>
    </row>
    <row r="100" spans="1:59" ht="15.75" hidden="1" customHeight="1">
      <c r="A100" s="27" t="s">
        <v>45</v>
      </c>
      <c r="B100" s="27" t="s">
        <v>46</v>
      </c>
      <c r="C100" s="60"/>
      <c r="D100" s="55" t="s">
        <v>43</v>
      </c>
      <c r="E100" s="49">
        <v>0</v>
      </c>
      <c r="F100" s="5">
        <f>(E101+F60+F66+F72+F78+F84+F90+F96+F99/2)*F$399</f>
        <v>0</v>
      </c>
      <c r="G100" s="5">
        <f t="shared" ref="G100:BG100" si="41">(F101+G60+G66+G72+G78+G84+G90+G96+G99/2)*G$399</f>
        <v>0</v>
      </c>
      <c r="H100" s="5">
        <f t="shared" si="41"/>
        <v>0</v>
      </c>
      <c r="I100" s="5">
        <f t="shared" si="41"/>
        <v>0</v>
      </c>
      <c r="J100" s="5">
        <f t="shared" si="41"/>
        <v>0</v>
      </c>
      <c r="K100" s="5">
        <f t="shared" si="41"/>
        <v>0</v>
      </c>
      <c r="L100" s="5">
        <f t="shared" si="41"/>
        <v>0</v>
      </c>
      <c r="M100" s="5">
        <f t="shared" si="41"/>
        <v>0</v>
      </c>
      <c r="N100" s="48">
        <f t="shared" si="41"/>
        <v>0</v>
      </c>
      <c r="O100" s="5">
        <f t="shared" si="41"/>
        <v>-1630.694338942204</v>
      </c>
      <c r="P100" s="5">
        <f t="shared" si="41"/>
        <v>-1636.2386996946075</v>
      </c>
      <c r="Q100" s="5">
        <f t="shared" si="41"/>
        <v>-1593.5136197655231</v>
      </c>
      <c r="R100" s="5">
        <f t="shared" si="41"/>
        <v>-1744.1151433208174</v>
      </c>
      <c r="S100" s="5">
        <f t="shared" si="41"/>
        <v>-1701.7719034524175</v>
      </c>
      <c r="T100" s="5">
        <f t="shared" si="41"/>
        <v>-1756.520336689201</v>
      </c>
      <c r="U100" s="5">
        <f t="shared" si="41"/>
        <v>-1762.8438099012822</v>
      </c>
      <c r="V100" s="5">
        <f t="shared" si="41"/>
        <v>-1621.7575436488494</v>
      </c>
      <c r="W100" s="5">
        <f t="shared" si="41"/>
        <v>-1775.0283747740623</v>
      </c>
      <c r="X100" s="5">
        <f t="shared" si="41"/>
        <v>-1830.9023235044506</v>
      </c>
      <c r="Y100" s="5">
        <f t="shared" si="41"/>
        <v>-1887.3435989149689</v>
      </c>
      <c r="Z100" s="48">
        <f t="shared" si="41"/>
        <v>-1844.6598334174025</v>
      </c>
      <c r="AA100" s="5">
        <f t="shared" si="41"/>
        <v>-2001.605486271402</v>
      </c>
      <c r="AB100" s="5">
        <f t="shared" si="41"/>
        <v>-2009.6119082164873</v>
      </c>
      <c r="AC100" s="5">
        <f t="shared" si="41"/>
        <v>-1967.2090969531193</v>
      </c>
      <c r="AD100" s="5">
        <f t="shared" si="41"/>
        <v>-2126.795151849024</v>
      </c>
      <c r="AE100" s="5">
        <f t="shared" si="41"/>
        <v>-2084.8770321656762</v>
      </c>
      <c r="AF100" s="5">
        <f t="shared" si="41"/>
        <v>-2144.4841750218857</v>
      </c>
      <c r="AG100" s="5">
        <f t="shared" si="41"/>
        <v>-2256.0381994406434</v>
      </c>
      <c r="AH100" s="5">
        <f t="shared" si="41"/>
        <v>-2073.2846637040984</v>
      </c>
      <c r="AI100" s="5">
        <f t="shared" si="41"/>
        <v>-2582.153657840156</v>
      </c>
      <c r="AJ100" s="5">
        <f t="shared" si="41"/>
        <v>-3028.368397971441</v>
      </c>
      <c r="AK100" s="5">
        <f t="shared" si="41"/>
        <v>-3445.8394081815868</v>
      </c>
      <c r="AL100" s="48">
        <f t="shared" si="41"/>
        <v>-3726.55896869663</v>
      </c>
      <c r="AM100" s="5">
        <f t="shared" si="41"/>
        <v>-4299.1102611576889</v>
      </c>
      <c r="AN100" s="5">
        <f t="shared" si="41"/>
        <v>-4740.6574094351299</v>
      </c>
      <c r="AO100" s="5">
        <f t="shared" si="41"/>
        <v>-4975.3405599084335</v>
      </c>
      <c r="AP100" s="5">
        <f t="shared" si="41"/>
        <v>-5495.7716759615323</v>
      </c>
      <c r="AQ100" s="5">
        <f t="shared" si="41"/>
        <v>-5752.3723790673466</v>
      </c>
      <c r="AR100" s="5">
        <f t="shared" si="41"/>
        <v>-6312.0483093456642</v>
      </c>
      <c r="AS100" s="5">
        <f t="shared" si="41"/>
        <v>-6192.2529796868575</v>
      </c>
      <c r="AT100" s="5">
        <f t="shared" si="41"/>
        <v>-856.85989685430059</v>
      </c>
      <c r="AU100" s="5">
        <f t="shared" si="41"/>
        <v>-1457.4377538641595</v>
      </c>
      <c r="AV100" s="5">
        <f t="shared" si="41"/>
        <v>-1866.0255630646195</v>
      </c>
      <c r="AW100" s="5">
        <f t="shared" si="41"/>
        <v>-2392.522778428835</v>
      </c>
      <c r="AX100" s="48">
        <f t="shared" si="41"/>
        <v>-2805.7482769314861</v>
      </c>
      <c r="AY100" s="5">
        <f t="shared" si="41"/>
        <v>-2475.7744345614501</v>
      </c>
      <c r="AZ100" s="5">
        <f t="shared" si="41"/>
        <v>-2917.2815973416782</v>
      </c>
      <c r="BA100" s="5">
        <f t="shared" si="41"/>
        <v>-3264.5820152245219</v>
      </c>
      <c r="BB100" s="5">
        <f t="shared" si="41"/>
        <v>-3676.8250712471513</v>
      </c>
      <c r="BC100" s="5">
        <f t="shared" si="41"/>
        <v>-3922.6183013860486</v>
      </c>
      <c r="BD100" s="5">
        <f t="shared" si="41"/>
        <v>-4501.5733671505232</v>
      </c>
      <c r="BE100" s="5">
        <f t="shared" si="41"/>
        <v>-4972.2998522385451</v>
      </c>
      <c r="BF100" s="58">
        <f t="shared" si="41"/>
        <v>-10631.908981556069</v>
      </c>
      <c r="BG100" s="5">
        <f t="shared" si="41"/>
        <v>-11901.89372079386</v>
      </c>
    </row>
    <row r="101" spans="1:59" ht="15.75" hidden="1" customHeight="1">
      <c r="A101" s="38" t="s">
        <v>45</v>
      </c>
      <c r="B101" s="38" t="s">
        <v>46</v>
      </c>
      <c r="C101" s="61"/>
      <c r="D101" s="62" t="s">
        <v>44</v>
      </c>
      <c r="E101" s="63">
        <v>0</v>
      </c>
      <c r="F101" s="56">
        <f>E101+F60+F66+F72+F78+F84+F99+F100+F90+F96</f>
        <v>0</v>
      </c>
      <c r="G101" s="56">
        <f t="shared" ref="G101:BG101" si="42">F101+G60+G66+G72+G78+G84+G99+G100+G90+G96</f>
        <v>0</v>
      </c>
      <c r="H101" s="56">
        <f t="shared" si="42"/>
        <v>0</v>
      </c>
      <c r="I101" s="56">
        <f t="shared" si="42"/>
        <v>0</v>
      </c>
      <c r="J101" s="56">
        <f t="shared" si="42"/>
        <v>0</v>
      </c>
      <c r="K101" s="56">
        <f t="shared" si="42"/>
        <v>0</v>
      </c>
      <c r="L101" s="56">
        <f t="shared" si="42"/>
        <v>0</v>
      </c>
      <c r="M101" s="56">
        <f t="shared" si="42"/>
        <v>0</v>
      </c>
      <c r="N101" s="64">
        <f t="shared" si="42"/>
        <v>0</v>
      </c>
      <c r="O101" s="56">
        <f t="shared" si="42"/>
        <v>-481246.6763807669</v>
      </c>
      <c r="P101" s="56">
        <f t="shared" si="42"/>
        <v>-482882.91508046153</v>
      </c>
      <c r="Q101" s="56">
        <f t="shared" si="42"/>
        <v>-484476.42870022706</v>
      </c>
      <c r="R101" s="56">
        <f t="shared" si="42"/>
        <v>-486220.54384354787</v>
      </c>
      <c r="S101" s="56">
        <f t="shared" si="42"/>
        <v>-487922.31574700028</v>
      </c>
      <c r="T101" s="56">
        <f t="shared" si="42"/>
        <v>-489678.83608368947</v>
      </c>
      <c r="U101" s="56">
        <f t="shared" si="42"/>
        <v>-491441.67989359074</v>
      </c>
      <c r="V101" s="56">
        <f t="shared" si="42"/>
        <v>-493063.43743723957</v>
      </c>
      <c r="W101" s="56">
        <f t="shared" si="42"/>
        <v>-494838.46581201366</v>
      </c>
      <c r="X101" s="56">
        <f t="shared" si="42"/>
        <v>-496669.3681355181</v>
      </c>
      <c r="Y101" s="56">
        <f t="shared" si="42"/>
        <v>-498556.71173443308</v>
      </c>
      <c r="Z101" s="64">
        <f t="shared" si="42"/>
        <v>-500401.37156785047</v>
      </c>
      <c r="AA101" s="56">
        <f t="shared" si="42"/>
        <v>-502402.97705412185</v>
      </c>
      <c r="AB101" s="56">
        <f t="shared" si="42"/>
        <v>-504412.58896233834</v>
      </c>
      <c r="AC101" s="56">
        <f t="shared" si="42"/>
        <v>-506379.79805929144</v>
      </c>
      <c r="AD101" s="56">
        <f t="shared" si="42"/>
        <v>-508506.59321114048</v>
      </c>
      <c r="AE101" s="56">
        <f t="shared" si="42"/>
        <v>-510591.47024330613</v>
      </c>
      <c r="AF101" s="56">
        <f t="shared" si="42"/>
        <v>-512735.95441832801</v>
      </c>
      <c r="AG101" s="56">
        <f t="shared" si="42"/>
        <v>-514991.99261776864</v>
      </c>
      <c r="AH101" s="56">
        <f t="shared" si="42"/>
        <v>-540505.10420223733</v>
      </c>
      <c r="AI101" s="56">
        <f t="shared" si="42"/>
        <v>-635783.2575647647</v>
      </c>
      <c r="AJ101" s="56">
        <f t="shared" si="42"/>
        <v>-713186.62104273622</v>
      </c>
      <c r="AK101" s="56">
        <f t="shared" si="42"/>
        <v>-788450.26540091785</v>
      </c>
      <c r="AL101" s="64">
        <f t="shared" si="42"/>
        <v>-871524.72409961454</v>
      </c>
      <c r="AM101" s="56">
        <f t="shared" si="42"/>
        <v>-962183.00793077226</v>
      </c>
      <c r="AN101" s="56">
        <f t="shared" si="42"/>
        <v>-1059858.6747702074</v>
      </c>
      <c r="AO101" s="56">
        <f t="shared" si="42"/>
        <v>-1156379.1368601157</v>
      </c>
      <c r="AP101" s="56">
        <f t="shared" si="42"/>
        <v>-1238582.5808860771</v>
      </c>
      <c r="AQ101" s="56">
        <f t="shared" si="42"/>
        <v>-1323779.7377451444</v>
      </c>
      <c r="AR101" s="56">
        <f t="shared" si="42"/>
        <v>-1426901.1407144901</v>
      </c>
      <c r="AS101" s="56">
        <f t="shared" si="42"/>
        <v>-1527983.0073541771</v>
      </c>
      <c r="AT101" s="56">
        <f t="shared" si="42"/>
        <v>-277764.19736657589</v>
      </c>
      <c r="AU101" s="56">
        <f t="shared" si="42"/>
        <v>-417711.21841784037</v>
      </c>
      <c r="AV101" s="56">
        <f t="shared" si="42"/>
        <v>-541090.99333220872</v>
      </c>
      <c r="AW101" s="56">
        <f t="shared" si="42"/>
        <v>-657562.91866063757</v>
      </c>
      <c r="AX101" s="64">
        <f t="shared" si="42"/>
        <v>-784088.09983756905</v>
      </c>
      <c r="AY101" s="56">
        <f t="shared" si="42"/>
        <v>-925818.31912213052</v>
      </c>
      <c r="AZ101" s="56">
        <f t="shared" si="42"/>
        <v>-1089017.3054694722</v>
      </c>
      <c r="BA101" s="56">
        <f t="shared" si="42"/>
        <v>-1246091.5731346968</v>
      </c>
      <c r="BB101" s="56">
        <f t="shared" si="42"/>
        <v>-1383888.8742559438</v>
      </c>
      <c r="BC101" s="56">
        <f t="shared" si="42"/>
        <v>-1525676.9302573297</v>
      </c>
      <c r="BD101" s="56">
        <f t="shared" si="42"/>
        <v>-1694234.1910744803</v>
      </c>
      <c r="BE101" s="56">
        <f t="shared" si="42"/>
        <v>-1862380.8603767189</v>
      </c>
      <c r="BF101" s="59">
        <f t="shared" si="42"/>
        <v>-4288449.6739932876</v>
      </c>
      <c r="BG101" s="56">
        <f t="shared" si="42"/>
        <v>-4224804.8774374072</v>
      </c>
    </row>
    <row r="102" spans="1:59" hidden="1" outlineLevel="1">
      <c r="E102" s="52"/>
      <c r="F102" s="53"/>
      <c r="G102" s="53"/>
      <c r="H102" s="53"/>
      <c r="I102" s="53"/>
      <c r="J102" s="53"/>
      <c r="K102" s="53"/>
      <c r="L102" s="53"/>
      <c r="M102" s="53"/>
      <c r="N102" s="54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48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48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48"/>
      <c r="AY102" s="5"/>
      <c r="AZ102" s="5"/>
      <c r="BA102" s="5"/>
      <c r="BB102" s="5"/>
      <c r="BC102" s="5"/>
      <c r="BD102" s="5"/>
      <c r="BE102" s="5"/>
      <c r="BF102" s="58"/>
      <c r="BG102" s="5"/>
    </row>
    <row r="103" spans="1:59" hidden="1" outlineLevel="1">
      <c r="A103" s="27" t="s">
        <v>45</v>
      </c>
      <c r="B103" s="27" t="s">
        <v>47</v>
      </c>
      <c r="C103" s="27">
        <v>1</v>
      </c>
      <c r="D103" s="51" t="s">
        <v>29</v>
      </c>
      <c r="E103" s="49">
        <f>Deferral!G82</f>
        <v>3299.4801051313389</v>
      </c>
      <c r="F103" s="5">
        <f>Deferral!H82</f>
        <v>23916.092327052211</v>
      </c>
      <c r="G103" s="5">
        <f>Deferral!I82</f>
        <v>25800.301955029056</v>
      </c>
      <c r="H103" s="5">
        <f>Deferral!J82</f>
        <v>26036.609768777686</v>
      </c>
      <c r="I103" s="5">
        <f>Deferral!K82</f>
        <v>43012.946232164548</v>
      </c>
      <c r="J103" s="5">
        <f>Deferral!L82</f>
        <v>40813.407532151163</v>
      </c>
      <c r="K103" s="5">
        <f>Deferral!M82</f>
        <v>35536.342980091831</v>
      </c>
      <c r="L103" s="5">
        <f>Deferral!N82</f>
        <v>25042.648557624911</v>
      </c>
      <c r="M103" s="5">
        <f>Deferral!O82</f>
        <v>29475.441227335883</v>
      </c>
      <c r="N103" s="48">
        <f>Deferral!P82</f>
        <v>24988.697585765403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48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8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48"/>
      <c r="AY103" s="5"/>
      <c r="AZ103" s="5"/>
      <c r="BA103" s="5"/>
      <c r="BB103" s="5"/>
      <c r="BC103" s="5"/>
      <c r="BD103" s="5"/>
      <c r="BE103" s="5"/>
      <c r="BF103" s="58"/>
      <c r="BG103" s="5"/>
    </row>
    <row r="104" spans="1:59" hidden="1" outlineLevel="1">
      <c r="A104" s="27" t="s">
        <v>45</v>
      </c>
      <c r="B104" s="27" t="s">
        <v>47</v>
      </c>
      <c r="C104" s="27">
        <v>1</v>
      </c>
      <c r="D104" s="55" t="s">
        <v>30</v>
      </c>
      <c r="E104" s="52">
        <f>E103/2*E$399</f>
        <v>4.8117418199832027</v>
      </c>
      <c r="F104" s="53">
        <f>(E105+F103/2)*F$399</f>
        <v>44.515152530559163</v>
      </c>
      <c r="G104" s="53">
        <f t="shared" ref="G104:N104" si="43">(F105+G103/2)*G$399</f>
        <v>117.14806338680849</v>
      </c>
      <c r="H104" s="53">
        <f t="shared" si="43"/>
        <v>193.08524150223815</v>
      </c>
      <c r="I104" s="53">
        <f t="shared" si="43"/>
        <v>302.75555241393647</v>
      </c>
      <c r="J104" s="53">
        <f t="shared" si="43"/>
        <v>386.46301474588671</v>
      </c>
      <c r="K104" s="53">
        <f t="shared" si="43"/>
        <v>545.08736453025392</v>
      </c>
      <c r="L104" s="53">
        <f t="shared" si="43"/>
        <v>637.59111393041985</v>
      </c>
      <c r="M104" s="53">
        <f t="shared" si="43"/>
        <v>769.36642341296249</v>
      </c>
      <c r="N104" s="54">
        <f t="shared" si="43"/>
        <v>805.28532943954303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48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48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48"/>
      <c r="AY104" s="5"/>
      <c r="AZ104" s="5"/>
      <c r="BA104" s="5"/>
      <c r="BB104" s="5"/>
      <c r="BC104" s="5"/>
      <c r="BD104" s="5"/>
      <c r="BE104" s="5"/>
      <c r="BF104" s="58"/>
      <c r="BG104" s="5"/>
    </row>
    <row r="105" spans="1:59" hidden="1" outlineLevel="1">
      <c r="A105" s="27" t="s">
        <v>45</v>
      </c>
      <c r="B105" s="27" t="s">
        <v>47</v>
      </c>
      <c r="C105" s="27">
        <v>1</v>
      </c>
      <c r="D105" s="51" t="s">
        <v>31</v>
      </c>
      <c r="E105" s="52">
        <f>E103+E104</f>
        <v>3304.291846951322</v>
      </c>
      <c r="F105" s="53">
        <f>E105+SUM(F103:F104)</f>
        <v>27264.899326534091</v>
      </c>
      <c r="G105" s="53">
        <f t="shared" ref="G105" si="44">F105+SUM(G103:G104)</f>
        <v>53182.349344949951</v>
      </c>
      <c r="H105" s="53">
        <f t="shared" ref="H105:N105" si="45">G105+SUM(H103:H104)</f>
        <v>79412.044355229882</v>
      </c>
      <c r="I105" s="53">
        <f t="shared" si="45"/>
        <v>122727.74613980837</v>
      </c>
      <c r="J105" s="53">
        <f t="shared" si="45"/>
        <v>163927.61668670541</v>
      </c>
      <c r="K105" s="53">
        <f t="shared" si="45"/>
        <v>200009.0470313275</v>
      </c>
      <c r="L105" s="53">
        <f t="shared" si="45"/>
        <v>225689.28670288282</v>
      </c>
      <c r="M105" s="53">
        <f t="shared" si="45"/>
        <v>255934.09435363166</v>
      </c>
      <c r="N105" s="54">
        <f t="shared" si="45"/>
        <v>281728.07726883661</v>
      </c>
      <c r="O105" s="5">
        <f>N105</f>
        <v>281728.07726883661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48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48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48"/>
      <c r="AY105" s="5"/>
      <c r="AZ105" s="5"/>
      <c r="BA105" s="5"/>
      <c r="BB105" s="5"/>
      <c r="BC105" s="5"/>
      <c r="BD105" s="5"/>
      <c r="BE105" s="5"/>
      <c r="BF105" s="58"/>
      <c r="BG105" s="5"/>
    </row>
    <row r="106" spans="1:59" hidden="1" outlineLevel="1">
      <c r="A106" s="27" t="s">
        <v>45</v>
      </c>
      <c r="B106" s="27" t="s">
        <v>47</v>
      </c>
      <c r="C106" s="27">
        <v>1</v>
      </c>
      <c r="D106" s="55" t="s">
        <v>32</v>
      </c>
      <c r="E106" s="52"/>
      <c r="F106" s="53"/>
      <c r="G106" s="53"/>
      <c r="H106" s="53"/>
      <c r="I106" s="53"/>
      <c r="J106" s="53"/>
      <c r="K106" s="53"/>
      <c r="L106" s="53"/>
      <c r="M106" s="53"/>
      <c r="N106" s="54"/>
      <c r="O106" s="56">
        <f>O406</f>
        <v>815637.68604633037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48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48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48"/>
      <c r="AY106" s="5"/>
      <c r="AZ106" s="5"/>
      <c r="BA106" s="5"/>
      <c r="BB106" s="5"/>
      <c r="BC106" s="5"/>
      <c r="BD106" s="5"/>
      <c r="BE106" s="5"/>
      <c r="BF106" s="58"/>
      <c r="BG106" s="5"/>
    </row>
    <row r="107" spans="1:59" ht="15.75" hidden="1" customHeight="1" outlineLevel="1">
      <c r="A107" s="27" t="s">
        <v>45</v>
      </c>
      <c r="B107" s="27" t="s">
        <v>47</v>
      </c>
      <c r="C107" s="27">
        <v>1</v>
      </c>
      <c r="D107" s="55" t="s">
        <v>33</v>
      </c>
      <c r="E107" s="52"/>
      <c r="F107" s="53"/>
      <c r="G107" s="53"/>
      <c r="H107" s="53"/>
      <c r="I107" s="53"/>
      <c r="J107" s="53"/>
      <c r="K107" s="53"/>
      <c r="L107" s="53"/>
      <c r="M107" s="53"/>
      <c r="N107" s="54"/>
      <c r="O107" s="5">
        <f>SUM(O105:O106)</f>
        <v>1097365.763315167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48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48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48"/>
      <c r="AY107" s="5"/>
      <c r="AZ107" s="5"/>
      <c r="BA107" s="5"/>
      <c r="BB107" s="5"/>
      <c r="BC107" s="5"/>
      <c r="BD107" s="5"/>
      <c r="BE107" s="5"/>
      <c r="BF107" s="58"/>
      <c r="BG107" s="5"/>
    </row>
    <row r="108" spans="1:59" ht="15.75" hidden="1" customHeight="1" outlineLevel="1">
      <c r="A108" s="27"/>
      <c r="B108" s="27"/>
      <c r="C108" s="27"/>
      <c r="D108" s="55"/>
      <c r="E108" s="52"/>
      <c r="F108" s="53"/>
      <c r="G108" s="53"/>
      <c r="H108" s="53"/>
      <c r="I108" s="53"/>
      <c r="J108" s="53"/>
      <c r="K108" s="53"/>
      <c r="L108" s="53"/>
      <c r="M108" s="53"/>
      <c r="N108" s="54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48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48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48"/>
      <c r="AY108" s="5"/>
      <c r="AZ108" s="5"/>
      <c r="BA108" s="5"/>
      <c r="BB108" s="5"/>
      <c r="BC108" s="5"/>
      <c r="BD108" s="5"/>
      <c r="BE108" s="5"/>
      <c r="BF108" s="58"/>
      <c r="BG108" s="5"/>
    </row>
    <row r="109" spans="1:59" ht="15.75" hidden="1" customHeight="1" outlineLevel="1">
      <c r="A109" s="27" t="s">
        <v>45</v>
      </c>
      <c r="B109" s="27" t="s">
        <v>47</v>
      </c>
      <c r="C109" s="27">
        <v>2</v>
      </c>
      <c r="D109" s="51" t="s">
        <v>29</v>
      </c>
      <c r="E109" s="52"/>
      <c r="F109" s="53"/>
      <c r="G109" s="53"/>
      <c r="H109" s="53"/>
      <c r="I109" s="53"/>
      <c r="J109" s="53"/>
      <c r="K109" s="53"/>
      <c r="L109" s="53"/>
      <c r="M109" s="53"/>
      <c r="N109" s="50"/>
      <c r="O109" s="5">
        <f>Deferral!Q82</f>
        <v>27971.768633196734</v>
      </c>
      <c r="P109" s="5">
        <f>Deferral!R82</f>
        <v>25201.249386074807</v>
      </c>
      <c r="Q109" s="5">
        <f>Deferral!S82+Deferral!T82</f>
        <v>28408.828541078841</v>
      </c>
      <c r="R109" s="5">
        <f>Deferral!U82+Deferral!V82</f>
        <v>30461.276942507771</v>
      </c>
      <c r="S109" s="5">
        <f>Deferral!W82</f>
        <v>30372.165620661399</v>
      </c>
      <c r="T109" s="5">
        <f>Deferral!X82</f>
        <v>23444.053373548377</v>
      </c>
      <c r="U109" s="5">
        <f>Deferral!Y82</f>
        <v>24686.048588612779</v>
      </c>
      <c r="V109" s="5">
        <f>Deferral!Z82</f>
        <v>39125.064647312975</v>
      </c>
      <c r="W109" s="5">
        <f>Deferral!AA82</f>
        <v>26942.577316876028</v>
      </c>
      <c r="X109" s="5">
        <f>Deferral!AB82</f>
        <v>9145.7533818049778</v>
      </c>
      <c r="Y109" s="5">
        <f>Deferral!AC82</f>
        <v>27712.264182320767</v>
      </c>
      <c r="Z109" s="48">
        <f>Deferral!AD82</f>
        <v>24237.313258556758</v>
      </c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48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48"/>
      <c r="AY109" s="5"/>
      <c r="AZ109" s="5"/>
      <c r="BA109" s="5"/>
      <c r="BB109" s="5"/>
      <c r="BC109" s="5"/>
      <c r="BD109" s="5"/>
      <c r="BE109" s="5"/>
      <c r="BF109" s="58"/>
      <c r="BG109" s="5"/>
    </row>
    <row r="110" spans="1:59" ht="15.75" hidden="1" customHeight="1" outlineLevel="1">
      <c r="A110" s="27" t="s">
        <v>45</v>
      </c>
      <c r="B110" s="27" t="s">
        <v>47</v>
      </c>
      <c r="C110" s="27">
        <v>2</v>
      </c>
      <c r="D110" s="55" t="s">
        <v>30</v>
      </c>
      <c r="E110" s="52"/>
      <c r="F110" s="53"/>
      <c r="G110" s="53"/>
      <c r="H110" s="53"/>
      <c r="I110" s="53"/>
      <c r="J110" s="53"/>
      <c r="K110" s="53"/>
      <c r="L110" s="53"/>
      <c r="M110" s="53"/>
      <c r="N110" s="54"/>
      <c r="O110" s="5">
        <f>O109/2*O$399</f>
        <v>47.552006676434445</v>
      </c>
      <c r="P110" s="5">
        <f t="shared" ref="P110:Z110" si="46">(O111+P109/2)*P$399</f>
        <v>138.10781413189594</v>
      </c>
      <c r="Q110" s="5">
        <f t="shared" si="46"/>
        <v>222.95820396504368</v>
      </c>
      <c r="R110" s="5">
        <f t="shared" si="46"/>
        <v>349.99597100295949</v>
      </c>
      <c r="S110" s="5">
        <f t="shared" si="46"/>
        <v>447.9573710813782</v>
      </c>
      <c r="T110" s="5">
        <f t="shared" si="46"/>
        <v>559.23799383774519</v>
      </c>
      <c r="U110" s="5">
        <f t="shared" si="46"/>
        <v>647.88543414745118</v>
      </c>
      <c r="V110" s="5">
        <f t="shared" si="46"/>
        <v>701.32134007379432</v>
      </c>
      <c r="W110" s="5">
        <f t="shared" si="46"/>
        <v>886.52433789485417</v>
      </c>
      <c r="X110" s="5">
        <f t="shared" si="46"/>
        <v>981.19356579025998</v>
      </c>
      <c r="Y110" s="5">
        <f t="shared" si="46"/>
        <v>1081.4710797334601</v>
      </c>
      <c r="Z110" s="48">
        <f t="shared" si="46"/>
        <v>1153.1194757379537</v>
      </c>
      <c r="AA110" s="5">
        <f t="shared" ref="AA110:AG110" si="47">Z111*AA$399</f>
        <v>1299.7027538665018</v>
      </c>
      <c r="AB110" s="5">
        <f t="shared" si="47"/>
        <v>1304.9015648819679</v>
      </c>
      <c r="AC110" s="5">
        <f t="shared" si="47"/>
        <v>1277.3681418629583</v>
      </c>
      <c r="AD110" s="5">
        <f t="shared" si="47"/>
        <v>1380.9921758943949</v>
      </c>
      <c r="AE110" s="5">
        <f t="shared" si="47"/>
        <v>1353.7734777228384</v>
      </c>
      <c r="AF110" s="5">
        <f t="shared" si="47"/>
        <v>1392.4781916395871</v>
      </c>
      <c r="AG110" s="5">
        <f t="shared" si="47"/>
        <v>1464.9135809989723</v>
      </c>
      <c r="AH110" s="5"/>
      <c r="AI110" s="5"/>
      <c r="AJ110" s="5"/>
      <c r="AK110" s="5"/>
      <c r="AL110" s="48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48"/>
      <c r="AY110" s="5"/>
      <c r="AZ110" s="5"/>
      <c r="BA110" s="5"/>
      <c r="BB110" s="5"/>
      <c r="BC110" s="5"/>
      <c r="BD110" s="5"/>
      <c r="BE110" s="5"/>
      <c r="BF110" s="58"/>
      <c r="BG110" s="5"/>
    </row>
    <row r="111" spans="1:59" ht="15.75" hidden="1" customHeight="1" outlineLevel="1">
      <c r="A111" s="27" t="s">
        <v>45</v>
      </c>
      <c r="B111" s="27" t="s">
        <v>47</v>
      </c>
      <c r="C111" s="27">
        <v>2</v>
      </c>
      <c r="D111" s="51" t="s">
        <v>31</v>
      </c>
      <c r="E111" s="52"/>
      <c r="F111" s="53"/>
      <c r="G111" s="53"/>
      <c r="H111" s="53"/>
      <c r="I111" s="53"/>
      <c r="J111" s="53"/>
      <c r="K111" s="53"/>
      <c r="L111" s="53"/>
      <c r="M111" s="53"/>
      <c r="N111" s="54"/>
      <c r="O111" s="5">
        <f>SUM(O109:O110)</f>
        <v>28019.320639873167</v>
      </c>
      <c r="P111" s="5">
        <f>O111+SUM(P109:P110)</f>
        <v>53358.677840079872</v>
      </c>
      <c r="Q111" s="5">
        <f t="shared" ref="Q111" si="48">P111+SUM(Q109:Q110)</f>
        <v>81990.464585123758</v>
      </c>
      <c r="R111" s="5">
        <f t="shared" ref="R111:Z111" si="49">Q111+SUM(R109:R110)</f>
        <v>112801.73749863449</v>
      </c>
      <c r="S111" s="5">
        <f t="shared" si="49"/>
        <v>143621.86049037726</v>
      </c>
      <c r="T111" s="5">
        <f t="shared" si="49"/>
        <v>167625.15185776338</v>
      </c>
      <c r="U111" s="5">
        <f t="shared" si="49"/>
        <v>192959.08588052361</v>
      </c>
      <c r="V111" s="5">
        <f t="shared" si="49"/>
        <v>232785.47186791038</v>
      </c>
      <c r="W111" s="5">
        <f t="shared" si="49"/>
        <v>260614.57352268125</v>
      </c>
      <c r="X111" s="5">
        <f t="shared" si="49"/>
        <v>270741.52047027647</v>
      </c>
      <c r="Y111" s="5">
        <f t="shared" si="49"/>
        <v>299535.25573233073</v>
      </c>
      <c r="Z111" s="48">
        <f t="shared" si="49"/>
        <v>324925.68846662546</v>
      </c>
      <c r="AA111" s="5">
        <f>Z111+AA110</f>
        <v>326225.39122049196</v>
      </c>
      <c r="AB111" s="5">
        <f t="shared" ref="AB111:AE111" si="50">AA111+AB110</f>
        <v>327530.29278537392</v>
      </c>
      <c r="AC111" s="5">
        <f t="shared" si="50"/>
        <v>328807.6609272369</v>
      </c>
      <c r="AD111" s="5">
        <f t="shared" si="50"/>
        <v>330188.65310313128</v>
      </c>
      <c r="AE111" s="5">
        <f t="shared" si="50"/>
        <v>331542.42658085411</v>
      </c>
      <c r="AF111" s="5">
        <f>AE111+AF110</f>
        <v>332934.9047724937</v>
      </c>
      <c r="AG111" s="5">
        <f>AF111+AG110</f>
        <v>334399.81835349265</v>
      </c>
      <c r="AH111" s="5">
        <f>AG111</f>
        <v>334399.81835349265</v>
      </c>
      <c r="AI111" s="5"/>
      <c r="AJ111" s="5"/>
      <c r="AK111" s="5"/>
      <c r="AL111" s="48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48"/>
      <c r="AY111" s="5"/>
      <c r="AZ111" s="5"/>
      <c r="BA111" s="5"/>
      <c r="BB111" s="5"/>
      <c r="BC111" s="5"/>
      <c r="BD111" s="5"/>
      <c r="BE111" s="5"/>
      <c r="BF111" s="58"/>
      <c r="BG111" s="5"/>
    </row>
    <row r="112" spans="1:59" ht="15.75" hidden="1" customHeight="1" outlineLevel="1">
      <c r="A112" s="27" t="s">
        <v>45</v>
      </c>
      <c r="B112" s="27" t="s">
        <v>47</v>
      </c>
      <c r="C112" s="27">
        <v>2</v>
      </c>
      <c r="D112" s="55" t="s">
        <v>32</v>
      </c>
      <c r="E112" s="52"/>
      <c r="F112" s="53"/>
      <c r="G112" s="53"/>
      <c r="H112" s="53"/>
      <c r="I112" s="53"/>
      <c r="J112" s="53"/>
      <c r="K112" s="53"/>
      <c r="L112" s="53"/>
      <c r="M112" s="53"/>
      <c r="N112" s="54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48"/>
      <c r="AA112" s="5"/>
      <c r="AB112" s="5"/>
      <c r="AC112" s="5"/>
      <c r="AD112" s="5"/>
      <c r="AE112" s="5"/>
      <c r="AF112" s="5"/>
      <c r="AG112" s="5"/>
      <c r="AH112" s="56">
        <f>AH414</f>
        <v>12277.440881472756</v>
      </c>
      <c r="AI112" s="5"/>
      <c r="AJ112" s="5"/>
      <c r="AK112" s="5"/>
      <c r="AL112" s="48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48"/>
      <c r="AY112" s="5"/>
      <c r="AZ112" s="5"/>
      <c r="BA112" s="5"/>
      <c r="BB112" s="5"/>
      <c r="BC112" s="5"/>
      <c r="BD112" s="5"/>
      <c r="BE112" s="5"/>
      <c r="BF112" s="58"/>
      <c r="BG112" s="5"/>
    </row>
    <row r="113" spans="1:59" ht="15.75" hidden="1" customHeight="1" outlineLevel="1">
      <c r="A113" s="27" t="s">
        <v>45</v>
      </c>
      <c r="B113" s="27" t="s">
        <v>47</v>
      </c>
      <c r="C113" s="27">
        <v>2</v>
      </c>
      <c r="D113" s="55" t="s">
        <v>34</v>
      </c>
      <c r="E113" s="52"/>
      <c r="F113" s="53"/>
      <c r="G113" s="53"/>
      <c r="H113" s="53"/>
      <c r="I113" s="53"/>
      <c r="J113" s="53"/>
      <c r="K113" s="53"/>
      <c r="L113" s="53"/>
      <c r="M113" s="53"/>
      <c r="N113" s="54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48"/>
      <c r="AA113" s="5"/>
      <c r="AB113" s="5"/>
      <c r="AC113" s="5"/>
      <c r="AD113" s="5"/>
      <c r="AE113" s="5"/>
      <c r="AF113" s="5"/>
      <c r="AG113" s="5"/>
      <c r="AH113" s="5">
        <f>SUM(AH111:AH112)</f>
        <v>346677.25923496543</v>
      </c>
      <c r="AI113" s="5"/>
      <c r="AJ113" s="5"/>
      <c r="AK113" s="5"/>
      <c r="AL113" s="48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48"/>
      <c r="AY113" s="5"/>
      <c r="AZ113" s="5"/>
      <c r="BA113" s="5"/>
      <c r="BB113" s="5"/>
      <c r="BC113" s="5"/>
      <c r="BD113" s="5"/>
      <c r="BE113" s="5"/>
      <c r="BF113" s="58"/>
      <c r="BG113" s="5"/>
    </row>
    <row r="114" spans="1:59" ht="15.75" hidden="1" customHeight="1" outlineLevel="1">
      <c r="A114" s="27"/>
      <c r="B114" s="27"/>
      <c r="C114" s="57"/>
      <c r="D114" s="55"/>
      <c r="E114" s="52"/>
      <c r="F114" s="53"/>
      <c r="G114" s="53"/>
      <c r="H114" s="53"/>
      <c r="I114" s="53"/>
      <c r="J114" s="53"/>
      <c r="K114" s="53"/>
      <c r="L114" s="53"/>
      <c r="M114" s="53"/>
      <c r="N114" s="5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48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48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48"/>
      <c r="AY114" s="5"/>
      <c r="AZ114" s="5"/>
      <c r="BA114" s="5"/>
      <c r="BB114" s="5"/>
      <c r="BC114" s="5"/>
      <c r="BD114" s="5"/>
      <c r="BE114" s="5"/>
      <c r="BF114" s="58"/>
      <c r="BG114" s="5"/>
    </row>
    <row r="115" spans="1:59" ht="15.75" hidden="1" customHeight="1" outlineLevel="1">
      <c r="A115" s="27" t="s">
        <v>45</v>
      </c>
      <c r="B115" s="27" t="s">
        <v>47</v>
      </c>
      <c r="C115" s="27">
        <v>3</v>
      </c>
      <c r="D115" s="51" t="s">
        <v>29</v>
      </c>
      <c r="E115" s="52"/>
      <c r="F115" s="53"/>
      <c r="G115" s="53"/>
      <c r="H115" s="53"/>
      <c r="I115" s="53"/>
      <c r="J115" s="53"/>
      <c r="K115" s="53"/>
      <c r="L115" s="53"/>
      <c r="M115" s="53"/>
      <c r="N115" s="54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48"/>
      <c r="AA115" s="5">
        <f>Deferral!AE82</f>
        <v>24917.797236334991</v>
      </c>
      <c r="AB115" s="5">
        <f>Deferral!AF82</f>
        <v>23805.210955683542</v>
      </c>
      <c r="AC115" s="5">
        <f>Deferral!AG82</f>
        <v>27513.737434971772</v>
      </c>
      <c r="AD115" s="5">
        <f>Deferral!AH82</f>
        <v>30523.691356049581</v>
      </c>
      <c r="AE115" s="5">
        <f>Deferral!AI82</f>
        <v>28489.872292317377</v>
      </c>
      <c r="AF115" s="5">
        <f>Deferral!AJ82</f>
        <v>24367.252151677269</v>
      </c>
      <c r="AG115" s="5">
        <f>Deferral!AK82</f>
        <v>26634.4802545079</v>
      </c>
      <c r="AH115" s="5">
        <f>Deferral!AL82</f>
        <v>31064.932125855688</v>
      </c>
      <c r="AI115" s="5">
        <f>Deferral!AM82</f>
        <v>34053.221441363472</v>
      </c>
      <c r="AJ115" s="5">
        <f>Deferral!AN82</f>
        <v>27298.363790228876</v>
      </c>
      <c r="AK115" s="5">
        <f>Deferral!AO82</f>
        <v>16200.350811002703</v>
      </c>
      <c r="AL115" s="48">
        <f>Deferral!AP82</f>
        <v>16197.346785189497</v>
      </c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48"/>
      <c r="AY115" s="5"/>
      <c r="AZ115" s="5"/>
      <c r="BA115" s="5"/>
      <c r="BB115" s="5"/>
      <c r="BC115" s="5"/>
      <c r="BD115" s="5"/>
      <c r="BE115" s="5"/>
      <c r="BF115" s="58"/>
      <c r="BG115" s="5"/>
    </row>
    <row r="116" spans="1:59" ht="15.75" hidden="1" customHeight="1" outlineLevel="1">
      <c r="A116" s="27" t="s">
        <v>45</v>
      </c>
      <c r="B116" s="27" t="s">
        <v>47</v>
      </c>
      <c r="C116" s="27">
        <v>3</v>
      </c>
      <c r="D116" s="55" t="s">
        <v>30</v>
      </c>
      <c r="E116" s="52"/>
      <c r="F116" s="53"/>
      <c r="G116" s="53"/>
      <c r="H116" s="53"/>
      <c r="I116" s="53"/>
      <c r="J116" s="53"/>
      <c r="K116" s="53"/>
      <c r="L116" s="53"/>
      <c r="M116" s="53"/>
      <c r="N116" s="54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48"/>
      <c r="AA116" s="5">
        <f>AA115/2*AA$399</f>
        <v>49.835594472669982</v>
      </c>
      <c r="AB116" s="5">
        <f t="shared" ref="AB116:AL116" si="51">(AA117+AB115/2)*AB$399</f>
        <v>147.48095323459776</v>
      </c>
      <c r="AC116" s="5">
        <f t="shared" si="51"/>
        <v>244.44105448312558</v>
      </c>
      <c r="AD116" s="5">
        <f t="shared" si="51"/>
        <v>386.14946541026308</v>
      </c>
      <c r="AE116" s="5">
        <f t="shared" si="51"/>
        <v>499.51644880687689</v>
      </c>
      <c r="AF116" s="5">
        <f t="shared" si="51"/>
        <v>624.79770724393438</v>
      </c>
      <c r="AG116" s="5">
        <f t="shared" si="51"/>
        <v>769.50290022293598</v>
      </c>
      <c r="AH116" s="5">
        <f t="shared" si="51"/>
        <v>818.02492747337885</v>
      </c>
      <c r="AI116" s="5">
        <f t="shared" si="51"/>
        <v>1046.6866677494818</v>
      </c>
      <c r="AJ116" s="5">
        <f t="shared" si="51"/>
        <v>1213.2261578833798</v>
      </c>
      <c r="AK116" s="5">
        <f t="shared" si="51"/>
        <v>1345.8146230787734</v>
      </c>
      <c r="AL116" s="48">
        <f t="shared" si="51"/>
        <v>1395.508768841913</v>
      </c>
      <c r="AM116" s="5">
        <f t="shared" ref="AM116:AS116" si="52">AL117*AM$399</f>
        <v>1502.1540369491947</v>
      </c>
      <c r="AN116" s="5">
        <f t="shared" si="52"/>
        <v>1509.2141609228561</v>
      </c>
      <c r="AO116" s="5">
        <f t="shared" si="52"/>
        <v>1451.7837454588021</v>
      </c>
      <c r="AP116" s="5">
        <f t="shared" si="52"/>
        <v>1490.7238116981084</v>
      </c>
      <c r="AQ116" s="5">
        <f t="shared" si="52"/>
        <v>1465.0250294660082</v>
      </c>
      <c r="AR116" s="5">
        <f t="shared" si="52"/>
        <v>1504.3202563674633</v>
      </c>
      <c r="AS116" s="5">
        <f t="shared" si="52"/>
        <v>1379.827944368775</v>
      </c>
      <c r="AT116" s="5"/>
      <c r="AU116" s="5"/>
      <c r="AV116" s="5"/>
      <c r="AW116" s="5"/>
      <c r="AX116" s="48"/>
      <c r="AY116" s="5"/>
      <c r="AZ116" s="5"/>
      <c r="BA116" s="5"/>
      <c r="BB116" s="5"/>
      <c r="BC116" s="5"/>
      <c r="BD116" s="5"/>
      <c r="BE116" s="5"/>
      <c r="BF116" s="58"/>
      <c r="BG116" s="5"/>
    </row>
    <row r="117" spans="1:59" ht="15.75" hidden="1" customHeight="1" outlineLevel="1">
      <c r="A117" s="27" t="s">
        <v>45</v>
      </c>
      <c r="B117" s="27" t="s">
        <v>47</v>
      </c>
      <c r="C117" s="27">
        <v>3</v>
      </c>
      <c r="D117" s="51" t="s">
        <v>31</v>
      </c>
      <c r="E117" s="52"/>
      <c r="F117" s="53"/>
      <c r="G117" s="53"/>
      <c r="H117" s="53"/>
      <c r="I117" s="53"/>
      <c r="J117" s="53"/>
      <c r="K117" s="53"/>
      <c r="L117" s="53"/>
      <c r="M117" s="53"/>
      <c r="N117" s="5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48"/>
      <c r="AA117" s="5">
        <f>SUM(AA115:AA116)</f>
        <v>24967.632830807663</v>
      </c>
      <c r="AB117" s="5">
        <f>AA117+SUM(AB115:AB116)</f>
        <v>48920.324739725802</v>
      </c>
      <c r="AC117" s="5">
        <f t="shared" ref="AC117" si="53">AB117+SUM(AC115:AC116)</f>
        <v>76678.5032291807</v>
      </c>
      <c r="AD117" s="5">
        <f t="shared" ref="AD117:AL117" si="54">AC117+SUM(AD115:AD116)</f>
        <v>107588.34405064055</v>
      </c>
      <c r="AE117" s="5">
        <f t="shared" si="54"/>
        <v>136577.73279176481</v>
      </c>
      <c r="AF117" s="5">
        <f t="shared" si="54"/>
        <v>161569.78265068601</v>
      </c>
      <c r="AG117" s="5">
        <f t="shared" si="54"/>
        <v>188973.76580541686</v>
      </c>
      <c r="AH117" s="5">
        <f t="shared" si="54"/>
        <v>220856.72285874592</v>
      </c>
      <c r="AI117" s="5">
        <f t="shared" si="54"/>
        <v>255956.63096785889</v>
      </c>
      <c r="AJ117" s="5">
        <f t="shared" si="54"/>
        <v>284468.22091597115</v>
      </c>
      <c r="AK117" s="5">
        <f t="shared" si="54"/>
        <v>302014.38635005261</v>
      </c>
      <c r="AL117" s="48">
        <f t="shared" si="54"/>
        <v>319607.24190408399</v>
      </c>
      <c r="AM117" s="5">
        <f>AL117+AM116</f>
        <v>321109.3959410332</v>
      </c>
      <c r="AN117" s="5">
        <f t="shared" ref="AN117:AQ117" si="55">AM117+AN116</f>
        <v>322618.61010195606</v>
      </c>
      <c r="AO117" s="5">
        <f t="shared" si="55"/>
        <v>324070.39384741487</v>
      </c>
      <c r="AP117" s="5">
        <f t="shared" si="55"/>
        <v>325561.11765911296</v>
      </c>
      <c r="AQ117" s="5">
        <f t="shared" si="55"/>
        <v>327026.14268857898</v>
      </c>
      <c r="AR117" s="5">
        <f>AQ117+AR116</f>
        <v>328530.46294494643</v>
      </c>
      <c r="AS117" s="5">
        <f>AR117+AS116</f>
        <v>329910.29088931519</v>
      </c>
      <c r="AT117" s="5">
        <f>AS117</f>
        <v>329910.29088931519</v>
      </c>
      <c r="AU117" s="5"/>
      <c r="AV117" s="5"/>
      <c r="AW117" s="5"/>
      <c r="AX117" s="48"/>
      <c r="AY117" s="5"/>
      <c r="AZ117" s="5"/>
      <c r="BA117" s="5"/>
      <c r="BB117" s="5"/>
      <c r="BC117" s="5"/>
      <c r="BD117" s="5"/>
      <c r="BE117" s="5"/>
      <c r="BF117" s="58"/>
      <c r="BG117" s="5"/>
    </row>
    <row r="118" spans="1:59" ht="15.75" hidden="1" customHeight="1" outlineLevel="1">
      <c r="A118" s="27" t="s">
        <v>45</v>
      </c>
      <c r="B118" s="27" t="s">
        <v>47</v>
      </c>
      <c r="C118" s="27">
        <v>3</v>
      </c>
      <c r="D118" s="55" t="s">
        <v>32</v>
      </c>
      <c r="E118" s="52"/>
      <c r="F118" s="53"/>
      <c r="G118" s="53"/>
      <c r="H118" s="53"/>
      <c r="I118" s="53"/>
      <c r="J118" s="53"/>
      <c r="K118" s="53"/>
      <c r="L118" s="53"/>
      <c r="M118" s="53"/>
      <c r="N118" s="5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48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48"/>
      <c r="AM118" s="5"/>
      <c r="AN118" s="5"/>
      <c r="AO118" s="5"/>
      <c r="AP118" s="5"/>
      <c r="AQ118" s="5"/>
      <c r="AR118" s="5"/>
      <c r="AS118" s="5"/>
      <c r="AT118" s="56">
        <f>AT422</f>
        <v>41334.494899686848</v>
      </c>
      <c r="AU118" s="5"/>
      <c r="AV118" s="5"/>
      <c r="AW118" s="5"/>
      <c r="AX118" s="48"/>
      <c r="AY118" s="5"/>
      <c r="AZ118" s="5"/>
      <c r="BA118" s="5"/>
      <c r="BB118" s="5"/>
      <c r="BC118" s="5"/>
      <c r="BD118" s="5"/>
      <c r="BE118" s="5"/>
      <c r="BF118" s="58"/>
      <c r="BG118" s="5"/>
    </row>
    <row r="119" spans="1:59" ht="15.75" hidden="1" customHeight="1" outlineLevel="1">
      <c r="A119" s="27" t="s">
        <v>45</v>
      </c>
      <c r="B119" s="27" t="s">
        <v>47</v>
      </c>
      <c r="C119" s="27">
        <v>3</v>
      </c>
      <c r="D119" s="55" t="s">
        <v>35</v>
      </c>
      <c r="E119" s="52"/>
      <c r="F119" s="53"/>
      <c r="G119" s="53"/>
      <c r="H119" s="53"/>
      <c r="I119" s="53"/>
      <c r="J119" s="53"/>
      <c r="K119" s="53"/>
      <c r="L119" s="53"/>
      <c r="M119" s="53"/>
      <c r="N119" s="5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48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48"/>
      <c r="AM119" s="5"/>
      <c r="AN119" s="5"/>
      <c r="AO119" s="5"/>
      <c r="AP119" s="5"/>
      <c r="AQ119" s="5"/>
      <c r="AR119" s="5"/>
      <c r="AS119" s="5"/>
      <c r="AT119" s="5">
        <f>SUM(AT117:AT118)</f>
        <v>371244.78578900202</v>
      </c>
      <c r="AU119" s="5"/>
      <c r="AV119" s="5"/>
      <c r="AW119" s="5"/>
      <c r="AX119" s="48"/>
      <c r="AY119" s="5"/>
      <c r="AZ119" s="5"/>
      <c r="BA119" s="5"/>
      <c r="BB119" s="5"/>
      <c r="BC119" s="5"/>
      <c r="BD119" s="5"/>
      <c r="BE119" s="5"/>
      <c r="BF119" s="58"/>
      <c r="BG119" s="5"/>
    </row>
    <row r="120" spans="1:59" ht="15.75" hidden="1" customHeight="1" outlineLevel="1">
      <c r="A120" s="27"/>
      <c r="B120" s="27"/>
      <c r="C120" s="57"/>
      <c r="D120" s="55"/>
      <c r="E120" s="52"/>
      <c r="F120" s="53"/>
      <c r="G120" s="53"/>
      <c r="H120" s="53"/>
      <c r="I120" s="53"/>
      <c r="J120" s="53"/>
      <c r="K120" s="53"/>
      <c r="L120" s="53"/>
      <c r="M120" s="53"/>
      <c r="N120" s="54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48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48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48"/>
      <c r="AY120" s="5"/>
      <c r="AZ120" s="5"/>
      <c r="BA120" s="5"/>
      <c r="BB120" s="5"/>
      <c r="BC120" s="5"/>
      <c r="BD120" s="5"/>
      <c r="BE120" s="5"/>
      <c r="BF120" s="58"/>
      <c r="BG120" s="5"/>
    </row>
    <row r="121" spans="1:59" ht="15.75" hidden="1" customHeight="1" outlineLevel="1">
      <c r="A121" s="27" t="s">
        <v>45</v>
      </c>
      <c r="B121" s="27" t="s">
        <v>47</v>
      </c>
      <c r="C121" s="27">
        <v>4</v>
      </c>
      <c r="D121" s="51" t="s">
        <v>29</v>
      </c>
      <c r="E121" s="52"/>
      <c r="F121" s="53"/>
      <c r="G121" s="53"/>
      <c r="H121" s="53"/>
      <c r="I121" s="53"/>
      <c r="J121" s="53"/>
      <c r="K121" s="53"/>
      <c r="L121" s="53"/>
      <c r="M121" s="53"/>
      <c r="N121" s="54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48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48"/>
      <c r="AM121" s="5">
        <f>Deferral!AQ82</f>
        <v>27159.352652423193</v>
      </c>
      <c r="AN121" s="5">
        <f>Deferral!AR82</f>
        <v>20413.988920976466</v>
      </c>
      <c r="AO121" s="5">
        <f>Deferral!AS82</f>
        <v>24104.121669807231</v>
      </c>
      <c r="AP121" s="5">
        <f>Deferral!AT82</f>
        <v>22726.688177009026</v>
      </c>
      <c r="AQ121" s="5">
        <f>Deferral!AU82</f>
        <v>26537.99128453045</v>
      </c>
      <c r="AR121" s="5">
        <f>Deferral!AV82</f>
        <v>22174.28064147957</v>
      </c>
      <c r="AS121" s="5">
        <f>Deferral!AW82</f>
        <v>21313.113298782395</v>
      </c>
      <c r="AT121" s="5">
        <f>Deferral!AX82</f>
        <v>23638.379474097244</v>
      </c>
      <c r="AU121" s="5">
        <f>Deferral!AY82</f>
        <v>23333.55419125504</v>
      </c>
      <c r="AV121" s="5">
        <f>Deferral!AZ82</f>
        <v>17845.42428111656</v>
      </c>
      <c r="AW121" s="5">
        <f>Deferral!BA82</f>
        <v>17065.377638512982</v>
      </c>
      <c r="AX121" s="48">
        <f>Deferral!BB82</f>
        <v>17114.987818441747</v>
      </c>
      <c r="AY121" s="5"/>
      <c r="AZ121" s="5"/>
      <c r="BA121" s="5"/>
      <c r="BB121" s="5"/>
      <c r="BC121" s="5"/>
      <c r="BD121" s="5"/>
      <c r="BE121" s="5"/>
      <c r="BF121" s="58"/>
      <c r="BG121" s="5"/>
    </row>
    <row r="122" spans="1:59" ht="15.75" hidden="1" customHeight="1" outlineLevel="1">
      <c r="A122" s="27" t="s">
        <v>45</v>
      </c>
      <c r="B122" s="27" t="s">
        <v>47</v>
      </c>
      <c r="C122" s="27">
        <v>4</v>
      </c>
      <c r="D122" s="55" t="s">
        <v>30</v>
      </c>
      <c r="E122" s="52"/>
      <c r="F122" s="53"/>
      <c r="G122" s="53"/>
      <c r="H122" s="53"/>
      <c r="I122" s="53"/>
      <c r="J122" s="53"/>
      <c r="K122" s="53"/>
      <c r="L122" s="53"/>
      <c r="M122" s="53"/>
      <c r="N122" s="5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48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48"/>
      <c r="AM122" s="5">
        <f>AM121/2*AM$399</f>
        <v>63.824478733194503</v>
      </c>
      <c r="AN122" s="5">
        <f t="shared" ref="AN122:AX122" si="56">(AM123+AN121/2)*AN$399</f>
        <v>175.92180648072971</v>
      </c>
      <c r="AO122" s="5">
        <f t="shared" si="56"/>
        <v>269.39316912082739</v>
      </c>
      <c r="AP122" s="5">
        <f t="shared" si="56"/>
        <v>384.32975521581233</v>
      </c>
      <c r="AQ122" s="5">
        <f t="shared" si="56"/>
        <v>488.54977322414265</v>
      </c>
      <c r="AR122" s="5">
        <f t="shared" si="56"/>
        <v>613.69198923800002</v>
      </c>
      <c r="AS122" s="5">
        <f t="shared" si="56"/>
        <v>654.2285020640453</v>
      </c>
      <c r="AT122" s="5">
        <f t="shared" si="56"/>
        <v>697.70479683892142</v>
      </c>
      <c r="AU122" s="5">
        <f t="shared" si="56"/>
        <v>852.94581743972492</v>
      </c>
      <c r="AV122" s="5">
        <f t="shared" si="56"/>
        <v>875.64661290316985</v>
      </c>
      <c r="AW122" s="5">
        <f t="shared" si="56"/>
        <v>971.42328044796909</v>
      </c>
      <c r="AX122" s="48">
        <f t="shared" si="56"/>
        <v>1017.5779618715786</v>
      </c>
      <c r="AY122" s="5">
        <f t="shared" ref="AY122:BE122" si="57">AX123*AY$399</f>
        <v>784.42824417682903</v>
      </c>
      <c r="AZ122" s="5">
        <f t="shared" si="57"/>
        <v>786.7030860849419</v>
      </c>
      <c r="BA122" s="5">
        <f t="shared" si="57"/>
        <v>761.77816210236097</v>
      </c>
      <c r="BB122" s="5">
        <f t="shared" si="57"/>
        <v>763.91114095624766</v>
      </c>
      <c r="BC122" s="5">
        <f t="shared" si="57"/>
        <v>738.69116028839233</v>
      </c>
      <c r="BD122" s="5">
        <f t="shared" si="57"/>
        <v>768.11842739973281</v>
      </c>
      <c r="BE122" s="5">
        <f t="shared" si="57"/>
        <v>770.26915899645201</v>
      </c>
      <c r="BF122" s="58"/>
      <c r="BG122" s="5"/>
    </row>
    <row r="123" spans="1:59" ht="15.75" hidden="1" customHeight="1" outlineLevel="1">
      <c r="A123" s="27" t="s">
        <v>45</v>
      </c>
      <c r="B123" s="27" t="s">
        <v>47</v>
      </c>
      <c r="C123" s="27">
        <v>4</v>
      </c>
      <c r="D123" s="51" t="s">
        <v>31</v>
      </c>
      <c r="E123" s="52"/>
      <c r="F123" s="53"/>
      <c r="G123" s="53"/>
      <c r="H123" s="53"/>
      <c r="I123" s="53"/>
      <c r="J123" s="53"/>
      <c r="K123" s="53"/>
      <c r="L123" s="53"/>
      <c r="M123" s="53"/>
      <c r="N123" s="54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48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48"/>
      <c r="AM123" s="5">
        <f>SUM(AM121:AM122)</f>
        <v>27223.177131156386</v>
      </c>
      <c r="AN123" s="5">
        <f>AM123+SUM(AN121:AN122)</f>
        <v>47813.08785861358</v>
      </c>
      <c r="AO123" s="5">
        <f t="shared" ref="AO123" si="58">AN123+SUM(AO121:AO122)</f>
        <v>72186.602697541646</v>
      </c>
      <c r="AP123" s="5">
        <f t="shared" ref="AP123:AX123" si="59">AO123+SUM(AP121:AP122)</f>
        <v>95297.62062976649</v>
      </c>
      <c r="AQ123" s="5">
        <f t="shared" si="59"/>
        <v>122324.16168752109</v>
      </c>
      <c r="AR123" s="5">
        <f t="shared" si="59"/>
        <v>145112.13431823865</v>
      </c>
      <c r="AS123" s="5">
        <f t="shared" si="59"/>
        <v>167079.4761190851</v>
      </c>
      <c r="AT123" s="5">
        <f t="shared" si="59"/>
        <v>191415.56039002127</v>
      </c>
      <c r="AU123" s="5">
        <f t="shared" si="59"/>
        <v>215602.06039871604</v>
      </c>
      <c r="AV123" s="5">
        <f t="shared" si="59"/>
        <v>234323.13129273578</v>
      </c>
      <c r="AW123" s="5">
        <f t="shared" si="59"/>
        <v>252359.93221169672</v>
      </c>
      <c r="AX123" s="48">
        <f t="shared" si="59"/>
        <v>270492.49799201003</v>
      </c>
      <c r="AY123" s="5">
        <f>AX123+AY122</f>
        <v>271276.92623618688</v>
      </c>
      <c r="AZ123" s="5">
        <f t="shared" ref="AZ123:BC123" si="60">AY123+AZ122</f>
        <v>272063.62932227179</v>
      </c>
      <c r="BA123" s="5">
        <f t="shared" si="60"/>
        <v>272825.40748437418</v>
      </c>
      <c r="BB123" s="5">
        <f t="shared" si="60"/>
        <v>273589.31862533046</v>
      </c>
      <c r="BC123" s="5">
        <f t="shared" si="60"/>
        <v>274328.00978561887</v>
      </c>
      <c r="BD123" s="5">
        <f>BC123+BD122</f>
        <v>275096.12821301859</v>
      </c>
      <c r="BE123" s="5">
        <f>BD123+BE122</f>
        <v>275866.39737201505</v>
      </c>
      <c r="BF123" s="58">
        <f>BE123</f>
        <v>275866.39737201505</v>
      </c>
      <c r="BG123" s="5"/>
    </row>
    <row r="124" spans="1:59" ht="15.75" hidden="1" customHeight="1" outlineLevel="1">
      <c r="A124" s="27" t="s">
        <v>45</v>
      </c>
      <c r="B124" s="27" t="s">
        <v>47</v>
      </c>
      <c r="C124" s="27">
        <v>4</v>
      </c>
      <c r="D124" s="55" t="s">
        <v>36</v>
      </c>
      <c r="E124" s="52"/>
      <c r="F124" s="53"/>
      <c r="G124" s="53"/>
      <c r="H124" s="53"/>
      <c r="I124" s="53"/>
      <c r="J124" s="53"/>
      <c r="K124" s="53"/>
      <c r="L124" s="53"/>
      <c r="M124" s="53"/>
      <c r="N124" s="54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48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48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48"/>
      <c r="AY124" s="5"/>
      <c r="AZ124" s="5"/>
      <c r="BA124" s="5"/>
      <c r="BB124" s="5"/>
      <c r="BC124" s="5"/>
      <c r="BD124" s="5"/>
      <c r="BE124" s="5"/>
      <c r="BF124" s="59">
        <f>BF430</f>
        <v>45.724044456271507</v>
      </c>
      <c r="BG124" s="5"/>
    </row>
    <row r="125" spans="1:59" ht="15.75" hidden="1" customHeight="1" outlineLevel="1">
      <c r="A125" s="27" t="s">
        <v>45</v>
      </c>
      <c r="B125" s="27" t="s">
        <v>47</v>
      </c>
      <c r="C125" s="27">
        <v>4</v>
      </c>
      <c r="D125" s="55" t="s">
        <v>37</v>
      </c>
      <c r="E125" s="52"/>
      <c r="F125" s="53"/>
      <c r="G125" s="53"/>
      <c r="H125" s="53"/>
      <c r="I125" s="53"/>
      <c r="J125" s="53"/>
      <c r="K125" s="53"/>
      <c r="L125" s="53"/>
      <c r="M125" s="53"/>
      <c r="N125" s="54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48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48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48"/>
      <c r="AY125" s="5"/>
      <c r="AZ125" s="5"/>
      <c r="BA125" s="5"/>
      <c r="BB125" s="5"/>
      <c r="BC125" s="5"/>
      <c r="BD125" s="5"/>
      <c r="BE125" s="5"/>
      <c r="BF125" s="58">
        <f>SUM(BF123:BF124)</f>
        <v>275912.12141647132</v>
      </c>
      <c r="BG125" s="5"/>
    </row>
    <row r="126" spans="1:59" ht="15.75" hidden="1" customHeight="1" collapsed="1">
      <c r="A126" s="27"/>
      <c r="B126" s="27"/>
      <c r="C126" s="57"/>
      <c r="D126" s="55"/>
      <c r="E126" s="52"/>
      <c r="F126" s="53"/>
      <c r="G126" s="53"/>
      <c r="H126" s="53"/>
      <c r="I126" s="53"/>
      <c r="J126" s="53"/>
      <c r="K126" s="53"/>
      <c r="L126" s="53"/>
      <c r="M126" s="53"/>
      <c r="N126" s="54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48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48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48"/>
      <c r="AY126" s="5"/>
      <c r="AZ126" s="5"/>
      <c r="BA126" s="5"/>
      <c r="BB126" s="5"/>
      <c r="BC126" s="5"/>
      <c r="BD126" s="5"/>
      <c r="BE126" s="5"/>
      <c r="BF126" s="58"/>
      <c r="BG126" s="5"/>
    </row>
    <row r="127" spans="1:59" ht="15.75" hidden="1" customHeight="1">
      <c r="A127" s="27" t="s">
        <v>45</v>
      </c>
      <c r="B127" s="27" t="s">
        <v>47</v>
      </c>
      <c r="C127" s="27">
        <v>5</v>
      </c>
      <c r="D127" s="51" t="s">
        <v>29</v>
      </c>
      <c r="E127" s="52"/>
      <c r="F127" s="53"/>
      <c r="G127" s="53"/>
      <c r="H127" s="53"/>
      <c r="I127" s="53"/>
      <c r="J127" s="53"/>
      <c r="K127" s="53"/>
      <c r="L127" s="53"/>
      <c r="M127" s="53"/>
      <c r="N127" s="54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48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48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48"/>
      <c r="AY127" s="5">
        <f>Deferral!BC82</f>
        <v>23775.189991276908</v>
      </c>
      <c r="AZ127" s="5">
        <f>Deferral!BD82</f>
        <v>24987.125738426126</v>
      </c>
      <c r="BA127" s="5">
        <f>Deferral!BE82</f>
        <v>26791.250322300075</v>
      </c>
      <c r="BB127" s="5">
        <f>Deferral!BF82</f>
        <v>23094.032825390539</v>
      </c>
      <c r="BC127" s="5">
        <f>Deferral!BG82</f>
        <v>27446.126304415891</v>
      </c>
      <c r="BD127" s="5">
        <f>Deferral!BH82</f>
        <v>25354.128212422489</v>
      </c>
      <c r="BE127" s="5">
        <f>Deferral!BI82+Deferral!BJ82</f>
        <v>23039.433721032961</v>
      </c>
      <c r="BF127" s="58">
        <f>Deferral!BK82+Deferral!BL82</f>
        <v>37401.720173437461</v>
      </c>
      <c r="BG127" s="5">
        <f>Deferral!BM82</f>
        <v>25668.039369250801</v>
      </c>
    </row>
    <row r="128" spans="1:59" ht="15.75" hidden="1" customHeight="1">
      <c r="A128" s="27" t="s">
        <v>45</v>
      </c>
      <c r="B128" s="27" t="s">
        <v>47</v>
      </c>
      <c r="C128" s="27">
        <v>5</v>
      </c>
      <c r="D128" s="55" t="s">
        <v>30</v>
      </c>
      <c r="E128" s="52"/>
      <c r="F128" s="53"/>
      <c r="G128" s="53"/>
      <c r="H128" s="53"/>
      <c r="I128" s="53"/>
      <c r="J128" s="53"/>
      <c r="K128" s="53"/>
      <c r="L128" s="53"/>
      <c r="M128" s="53"/>
      <c r="N128" s="54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48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48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48"/>
      <c r="AY128" s="5">
        <f>AY127/2*AY$399</f>
        <v>34.474025487351511</v>
      </c>
      <c r="AZ128" s="5">
        <f t="shared" ref="AZ128:BG128" si="61">(AY129+AZ127/2)*AZ$399</f>
        <v>105.27935796933421</v>
      </c>
      <c r="BA128" s="5">
        <f t="shared" si="61"/>
        <v>174.43354396806734</v>
      </c>
      <c r="BB128" s="5">
        <f t="shared" si="61"/>
        <v>244.76135429794479</v>
      </c>
      <c r="BC128" s="5">
        <f t="shared" si="61"/>
        <v>304.90994784057563</v>
      </c>
      <c r="BD128" s="5">
        <f t="shared" si="61"/>
        <v>390.97701304923538</v>
      </c>
      <c r="BE128" s="5">
        <f t="shared" si="61"/>
        <v>459.82273539261087</v>
      </c>
      <c r="BF128" s="58">
        <f t="shared" si="61"/>
        <v>487.25701294997208</v>
      </c>
      <c r="BG128" s="5">
        <f t="shared" si="61"/>
        <v>635.38983749999227</v>
      </c>
    </row>
    <row r="129" spans="1:59" ht="15.75" hidden="1" customHeight="1">
      <c r="A129" s="27" t="s">
        <v>45</v>
      </c>
      <c r="B129" s="27" t="s">
        <v>47</v>
      </c>
      <c r="C129" s="27">
        <v>5</v>
      </c>
      <c r="D129" s="51" t="s">
        <v>31</v>
      </c>
      <c r="E129" s="52"/>
      <c r="F129" s="53"/>
      <c r="G129" s="53"/>
      <c r="H129" s="53"/>
      <c r="I129" s="53"/>
      <c r="J129" s="53"/>
      <c r="K129" s="53"/>
      <c r="L129" s="53"/>
      <c r="M129" s="53"/>
      <c r="N129" s="54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48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48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48"/>
      <c r="AY129" s="5">
        <f>SUM(AY127:AY128)</f>
        <v>23809.664016764258</v>
      </c>
      <c r="AZ129" s="5">
        <f>AY129+SUM(AZ127:AZ128)</f>
        <v>48902.06911315972</v>
      </c>
      <c r="BA129" s="5">
        <f t="shared" ref="BA129" si="62">AZ129+SUM(BA127:BA128)</f>
        <v>75867.752979427867</v>
      </c>
      <c r="BB129" s="5">
        <f t="shared" ref="BB129:BG129" si="63">BA129+SUM(BB127:BB128)</f>
        <v>99206.547159116351</v>
      </c>
      <c r="BC129" s="5">
        <f t="shared" si="63"/>
        <v>126957.58341137282</v>
      </c>
      <c r="BD129" s="5">
        <f t="shared" si="63"/>
        <v>152702.68863684454</v>
      </c>
      <c r="BE129" s="5">
        <f t="shared" si="63"/>
        <v>176201.9450932701</v>
      </c>
      <c r="BF129" s="58">
        <f t="shared" si="63"/>
        <v>214090.92227965753</v>
      </c>
      <c r="BG129" s="5">
        <f t="shared" si="63"/>
        <v>240394.35148640833</v>
      </c>
    </row>
    <row r="130" spans="1:59" ht="15.75" hidden="1" customHeight="1" outlineLevel="1">
      <c r="A130" s="27" t="s">
        <v>45</v>
      </c>
      <c r="B130" s="27" t="s">
        <v>47</v>
      </c>
      <c r="C130" s="27">
        <v>5</v>
      </c>
      <c r="D130" s="55" t="s">
        <v>38</v>
      </c>
      <c r="E130" s="52"/>
      <c r="F130" s="53"/>
      <c r="G130" s="53"/>
      <c r="H130" s="53"/>
      <c r="I130" s="53"/>
      <c r="J130" s="53"/>
      <c r="K130" s="53"/>
      <c r="L130" s="53"/>
      <c r="M130" s="53"/>
      <c r="N130" s="54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48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48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48"/>
      <c r="AY130" s="5"/>
      <c r="AZ130" s="5"/>
      <c r="BA130" s="5"/>
      <c r="BB130" s="5"/>
      <c r="BC130" s="5"/>
      <c r="BD130" s="5"/>
      <c r="BE130" s="5"/>
      <c r="BF130" s="58"/>
      <c r="BG130" s="5"/>
    </row>
    <row r="131" spans="1:59" ht="15.75" hidden="1" customHeight="1" outlineLevel="1">
      <c r="A131" s="27" t="s">
        <v>45</v>
      </c>
      <c r="B131" s="27" t="s">
        <v>47</v>
      </c>
      <c r="C131" s="27">
        <v>5</v>
      </c>
      <c r="D131" s="55" t="s">
        <v>39</v>
      </c>
      <c r="E131" s="52"/>
      <c r="F131" s="53"/>
      <c r="G131" s="53"/>
      <c r="H131" s="53"/>
      <c r="I131" s="53"/>
      <c r="J131" s="53"/>
      <c r="K131" s="53"/>
      <c r="L131" s="53"/>
      <c r="M131" s="53"/>
      <c r="N131" s="54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48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8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48"/>
      <c r="AY131" s="5"/>
      <c r="AZ131" s="5"/>
      <c r="BA131" s="5"/>
      <c r="BB131" s="5"/>
      <c r="BC131" s="5"/>
      <c r="BD131" s="5"/>
      <c r="BE131" s="5"/>
      <c r="BF131" s="58"/>
      <c r="BG131" s="5"/>
    </row>
    <row r="132" spans="1:59" ht="15.75" hidden="1" customHeight="1" outlineLevel="1">
      <c r="A132" s="27"/>
      <c r="B132" s="27"/>
      <c r="C132" s="27"/>
      <c r="D132" s="55"/>
      <c r="E132" s="52"/>
      <c r="F132" s="53"/>
      <c r="G132" s="53"/>
      <c r="H132" s="53"/>
      <c r="I132" s="53"/>
      <c r="J132" s="53"/>
      <c r="K132" s="53"/>
      <c r="L132" s="53"/>
      <c r="M132" s="53"/>
      <c r="N132" s="54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48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48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48"/>
      <c r="AY132" s="5"/>
      <c r="AZ132" s="5"/>
      <c r="BA132" s="5"/>
      <c r="BB132" s="5"/>
      <c r="BC132" s="5"/>
      <c r="BD132" s="5"/>
      <c r="BE132" s="5"/>
      <c r="BF132" s="58"/>
      <c r="BG132" s="5"/>
    </row>
    <row r="133" spans="1:59" ht="15.75" hidden="1" customHeight="1" outlineLevel="1">
      <c r="A133" s="27" t="s">
        <v>45</v>
      </c>
      <c r="B133" s="27" t="s">
        <v>47</v>
      </c>
      <c r="C133" s="27">
        <v>6</v>
      </c>
      <c r="D133" s="51" t="s">
        <v>29</v>
      </c>
      <c r="E133" s="52"/>
      <c r="F133" s="53"/>
      <c r="G133" s="53"/>
      <c r="H133" s="53"/>
      <c r="I133" s="53"/>
      <c r="J133" s="53"/>
      <c r="K133" s="53"/>
      <c r="L133" s="53"/>
      <c r="M133" s="53"/>
      <c r="N133" s="54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48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48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48"/>
      <c r="AY133" s="5"/>
      <c r="AZ133" s="5"/>
      <c r="BA133" s="5"/>
      <c r="BB133" s="5"/>
      <c r="BC133" s="5"/>
      <c r="BD133" s="5"/>
      <c r="BE133" s="5"/>
      <c r="BF133" s="58"/>
      <c r="BG133" s="5"/>
    </row>
    <row r="134" spans="1:59" ht="15.75" hidden="1" customHeight="1" outlineLevel="1">
      <c r="A134" s="27" t="s">
        <v>45</v>
      </c>
      <c r="B134" s="27" t="s">
        <v>47</v>
      </c>
      <c r="C134" s="27">
        <v>6</v>
      </c>
      <c r="D134" s="55" t="s">
        <v>30</v>
      </c>
      <c r="E134" s="52"/>
      <c r="F134" s="53"/>
      <c r="G134" s="53"/>
      <c r="H134" s="53"/>
      <c r="I134" s="53"/>
      <c r="J134" s="53"/>
      <c r="K134" s="53"/>
      <c r="L134" s="53"/>
      <c r="M134" s="53"/>
      <c r="N134" s="54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48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48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48"/>
      <c r="AY134" s="5"/>
      <c r="AZ134" s="5"/>
      <c r="BA134" s="5"/>
      <c r="BB134" s="5"/>
      <c r="BC134" s="5"/>
      <c r="BD134" s="5"/>
      <c r="BE134" s="5"/>
      <c r="BF134" s="58"/>
      <c r="BG134" s="5"/>
    </row>
    <row r="135" spans="1:59" ht="15.75" hidden="1" customHeight="1" outlineLevel="1">
      <c r="A135" s="27" t="s">
        <v>45</v>
      </c>
      <c r="B135" s="27" t="s">
        <v>47</v>
      </c>
      <c r="C135" s="27">
        <v>6</v>
      </c>
      <c r="D135" s="51" t="s">
        <v>31</v>
      </c>
      <c r="E135" s="52"/>
      <c r="F135" s="53"/>
      <c r="G135" s="53"/>
      <c r="H135" s="53"/>
      <c r="I135" s="53"/>
      <c r="J135" s="53"/>
      <c r="K135" s="53"/>
      <c r="L135" s="53"/>
      <c r="M135" s="53"/>
      <c r="N135" s="54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48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8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48"/>
      <c r="AY135" s="5"/>
      <c r="AZ135" s="5"/>
      <c r="BA135" s="5"/>
      <c r="BB135" s="5"/>
      <c r="BC135" s="5"/>
      <c r="BD135" s="5"/>
      <c r="BE135" s="5"/>
      <c r="BF135" s="58"/>
      <c r="BG135" s="5"/>
    </row>
    <row r="136" spans="1:59" ht="15.75" hidden="1" customHeight="1" outlineLevel="1">
      <c r="A136" s="27" t="s">
        <v>45</v>
      </c>
      <c r="B136" s="27" t="s">
        <v>47</v>
      </c>
      <c r="C136" s="27">
        <v>6</v>
      </c>
      <c r="D136" s="55" t="s">
        <v>38</v>
      </c>
      <c r="E136" s="52"/>
      <c r="F136" s="53"/>
      <c r="G136" s="53"/>
      <c r="H136" s="53"/>
      <c r="I136" s="53"/>
      <c r="J136" s="53"/>
      <c r="K136" s="53"/>
      <c r="L136" s="53"/>
      <c r="M136" s="53"/>
      <c r="N136" s="54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48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48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48"/>
      <c r="AY136" s="5"/>
      <c r="AZ136" s="5"/>
      <c r="BA136" s="5"/>
      <c r="BB136" s="5"/>
      <c r="BC136" s="5"/>
      <c r="BD136" s="5"/>
      <c r="BE136" s="5"/>
      <c r="BF136" s="58"/>
      <c r="BG136" s="5"/>
    </row>
    <row r="137" spans="1:59" ht="15.75" hidden="1" customHeight="1" outlineLevel="1">
      <c r="A137" s="27" t="s">
        <v>45</v>
      </c>
      <c r="B137" s="27" t="s">
        <v>47</v>
      </c>
      <c r="C137" s="27">
        <v>6</v>
      </c>
      <c r="D137" s="55" t="s">
        <v>40</v>
      </c>
      <c r="E137" s="52"/>
      <c r="F137" s="53"/>
      <c r="G137" s="53"/>
      <c r="H137" s="53"/>
      <c r="I137" s="53"/>
      <c r="J137" s="53"/>
      <c r="K137" s="53"/>
      <c r="L137" s="53"/>
      <c r="M137" s="53"/>
      <c r="N137" s="54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48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48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48"/>
      <c r="AY137" s="5"/>
      <c r="AZ137" s="5"/>
      <c r="BA137" s="5"/>
      <c r="BB137" s="5"/>
      <c r="BC137" s="5"/>
      <c r="BD137" s="5"/>
      <c r="BE137" s="5"/>
      <c r="BF137" s="58"/>
      <c r="BG137" s="5"/>
    </row>
    <row r="138" spans="1:59" ht="15.75" hidden="1" customHeight="1" outlineLevel="1">
      <c r="A138" s="27"/>
      <c r="B138" s="27"/>
      <c r="C138" s="27"/>
      <c r="D138" s="55"/>
      <c r="E138" s="52"/>
      <c r="F138" s="53"/>
      <c r="G138" s="53"/>
      <c r="H138" s="53"/>
      <c r="I138" s="53"/>
      <c r="J138" s="53"/>
      <c r="K138" s="53"/>
      <c r="L138" s="53"/>
      <c r="M138" s="53"/>
      <c r="N138" s="54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48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48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48"/>
      <c r="AY138" s="5"/>
      <c r="AZ138" s="5"/>
      <c r="BA138" s="5"/>
      <c r="BB138" s="5"/>
      <c r="BC138" s="5"/>
      <c r="BD138" s="5"/>
      <c r="BE138" s="5"/>
      <c r="BF138" s="58"/>
      <c r="BG138" s="5"/>
    </row>
    <row r="139" spans="1:59" ht="15.75" hidden="1" customHeight="1" outlineLevel="1">
      <c r="A139" s="27" t="s">
        <v>45</v>
      </c>
      <c r="B139" s="27" t="s">
        <v>47</v>
      </c>
      <c r="C139" s="27">
        <v>7</v>
      </c>
      <c r="D139" s="51" t="s">
        <v>29</v>
      </c>
      <c r="E139" s="52"/>
      <c r="F139" s="53"/>
      <c r="G139" s="53"/>
      <c r="H139" s="53"/>
      <c r="I139" s="53"/>
      <c r="J139" s="53"/>
      <c r="K139" s="53"/>
      <c r="L139" s="53"/>
      <c r="M139" s="53"/>
      <c r="N139" s="54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48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8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48"/>
      <c r="AY139" s="5"/>
      <c r="AZ139" s="5"/>
      <c r="BA139" s="5"/>
      <c r="BB139" s="5"/>
      <c r="BC139" s="5"/>
      <c r="BD139" s="5"/>
      <c r="BE139" s="5"/>
      <c r="BF139" s="58"/>
      <c r="BG139" s="5"/>
    </row>
    <row r="140" spans="1:59" ht="15.75" hidden="1" customHeight="1" outlineLevel="1">
      <c r="A140" s="27" t="s">
        <v>45</v>
      </c>
      <c r="B140" s="27" t="s">
        <v>47</v>
      </c>
      <c r="C140" s="27">
        <v>7</v>
      </c>
      <c r="D140" s="55" t="s">
        <v>30</v>
      </c>
      <c r="E140" s="52"/>
      <c r="F140" s="53"/>
      <c r="G140" s="53"/>
      <c r="H140" s="53"/>
      <c r="I140" s="53"/>
      <c r="J140" s="53"/>
      <c r="K140" s="53"/>
      <c r="L140" s="53"/>
      <c r="M140" s="53"/>
      <c r="N140" s="54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48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48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48"/>
      <c r="AY140" s="5"/>
      <c r="AZ140" s="5"/>
      <c r="BA140" s="5"/>
      <c r="BB140" s="5"/>
      <c r="BC140" s="5"/>
      <c r="BD140" s="5"/>
      <c r="BE140" s="5"/>
      <c r="BF140" s="58"/>
      <c r="BG140" s="5"/>
    </row>
    <row r="141" spans="1:59" ht="15.75" hidden="1" customHeight="1" outlineLevel="1">
      <c r="A141" s="27" t="s">
        <v>45</v>
      </c>
      <c r="B141" s="27" t="s">
        <v>47</v>
      </c>
      <c r="C141" s="27">
        <v>7</v>
      </c>
      <c r="D141" s="51" t="s">
        <v>31</v>
      </c>
      <c r="E141" s="52"/>
      <c r="F141" s="53"/>
      <c r="G141" s="53"/>
      <c r="H141" s="53"/>
      <c r="I141" s="53"/>
      <c r="J141" s="53"/>
      <c r="K141" s="53"/>
      <c r="L141" s="53"/>
      <c r="M141" s="53"/>
      <c r="N141" s="54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48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48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48"/>
      <c r="AY141" s="5"/>
      <c r="AZ141" s="5"/>
      <c r="BA141" s="5"/>
      <c r="BB141" s="5"/>
      <c r="BC141" s="5"/>
      <c r="BD141" s="5"/>
      <c r="BE141" s="5"/>
      <c r="BF141" s="58"/>
      <c r="BG141" s="5"/>
    </row>
    <row r="142" spans="1:59" ht="15.75" hidden="1" customHeight="1" outlineLevel="1">
      <c r="A142" s="27" t="s">
        <v>45</v>
      </c>
      <c r="B142" s="27" t="s">
        <v>47</v>
      </c>
      <c r="C142" s="27">
        <v>7</v>
      </c>
      <c r="D142" s="55" t="s">
        <v>38</v>
      </c>
      <c r="E142" s="52"/>
      <c r="F142" s="53"/>
      <c r="G142" s="53"/>
      <c r="H142" s="53"/>
      <c r="I142" s="53"/>
      <c r="J142" s="53"/>
      <c r="K142" s="53"/>
      <c r="L142" s="53"/>
      <c r="M142" s="53"/>
      <c r="N142" s="54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48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48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48"/>
      <c r="AY142" s="5"/>
      <c r="AZ142" s="5"/>
      <c r="BA142" s="5"/>
      <c r="BB142" s="5"/>
      <c r="BC142" s="5"/>
      <c r="BD142" s="5"/>
      <c r="BE142" s="5"/>
      <c r="BF142" s="58"/>
      <c r="BG142" s="5"/>
    </row>
    <row r="143" spans="1:59" ht="15.75" hidden="1" customHeight="1" outlineLevel="1">
      <c r="A143" s="27" t="s">
        <v>45</v>
      </c>
      <c r="B143" s="27" t="s">
        <v>47</v>
      </c>
      <c r="C143" s="27">
        <v>7</v>
      </c>
      <c r="D143" s="55" t="s">
        <v>41</v>
      </c>
      <c r="E143" s="52"/>
      <c r="F143" s="53"/>
      <c r="G143" s="53"/>
      <c r="H143" s="53"/>
      <c r="I143" s="53"/>
      <c r="J143" s="53"/>
      <c r="K143" s="53"/>
      <c r="L143" s="53"/>
      <c r="M143" s="53"/>
      <c r="N143" s="54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48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8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48"/>
      <c r="AY143" s="5"/>
      <c r="AZ143" s="5"/>
      <c r="BA143" s="5"/>
      <c r="BB143" s="5"/>
      <c r="BC143" s="5"/>
      <c r="BD143" s="5"/>
      <c r="BE143" s="5"/>
      <c r="BF143" s="58"/>
      <c r="BG143" s="5"/>
    </row>
    <row r="144" spans="1:59" ht="15.75" hidden="1" customHeight="1" outlineLevel="1">
      <c r="A144" s="27"/>
      <c r="B144" s="27"/>
      <c r="C144" s="57"/>
      <c r="D144" s="55"/>
      <c r="E144" s="52"/>
      <c r="F144" s="53"/>
      <c r="G144" s="53"/>
      <c r="H144" s="53"/>
      <c r="I144" s="53"/>
      <c r="J144" s="53"/>
      <c r="K144" s="53"/>
      <c r="L144" s="53"/>
      <c r="M144" s="53"/>
      <c r="N144" s="54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48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48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48"/>
      <c r="AY144" s="5"/>
      <c r="AZ144" s="5"/>
      <c r="BA144" s="5"/>
      <c r="BB144" s="5"/>
      <c r="BC144" s="5"/>
      <c r="BD144" s="5"/>
      <c r="BE144" s="5"/>
      <c r="BF144" s="58"/>
      <c r="BG144" s="5"/>
    </row>
    <row r="145" spans="1:59" ht="15.75" hidden="1" customHeight="1" collapsed="1">
      <c r="A145" s="27"/>
      <c r="B145" s="27"/>
      <c r="C145" s="57"/>
      <c r="D145" s="55"/>
      <c r="E145" s="52"/>
      <c r="F145" s="53"/>
      <c r="G145" s="53"/>
      <c r="H145" s="53"/>
      <c r="I145" s="53"/>
      <c r="J145" s="53"/>
      <c r="K145" s="53"/>
      <c r="L145" s="53"/>
      <c r="M145" s="53"/>
      <c r="N145" s="54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48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48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48"/>
      <c r="AY145" s="5"/>
      <c r="AZ145" s="5"/>
      <c r="BA145" s="5"/>
      <c r="BB145" s="5"/>
      <c r="BC145" s="5"/>
      <c r="BD145" s="5"/>
      <c r="BE145" s="5"/>
      <c r="BF145" s="58"/>
      <c r="BG145" s="5"/>
    </row>
    <row r="146" spans="1:59" ht="15.75" hidden="1" customHeight="1">
      <c r="A146" s="27" t="s">
        <v>45</v>
      </c>
      <c r="B146" s="27" t="s">
        <v>47</v>
      </c>
      <c r="C146" s="60"/>
      <c r="D146" s="55" t="s">
        <v>42</v>
      </c>
      <c r="E146" s="49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48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48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-1266.38157</v>
      </c>
      <c r="AI146" s="5">
        <v>-2721.5418100000002</v>
      </c>
      <c r="AJ146" s="5">
        <v>-2397.5370499999999</v>
      </c>
      <c r="AK146" s="5">
        <v>-1972.77215</v>
      </c>
      <c r="AL146" s="48">
        <v>-2107.48254</v>
      </c>
      <c r="AM146" s="5">
        <v>-2582.1557400000002</v>
      </c>
      <c r="AN146" s="5">
        <v>-2606.71261</v>
      </c>
      <c r="AO146" s="5">
        <v>-2574.3362000000002</v>
      </c>
      <c r="AP146" s="5">
        <v>-2351.5729000000001</v>
      </c>
      <c r="AQ146" s="5">
        <v>-2426.13166</v>
      </c>
      <c r="AR146" s="5">
        <v>-2734.4954299999999</v>
      </c>
      <c r="AS146" s="5">
        <v>-2628.1389899999999</v>
      </c>
      <c r="AT146" s="5">
        <v>-3392.4310089903383</v>
      </c>
      <c r="AU146" s="5">
        <v>-4107.0149148090713</v>
      </c>
      <c r="AV146" s="5">
        <v>-3557.3592162005898</v>
      </c>
      <c r="AW146" s="5">
        <v>-3464.8413500000001</v>
      </c>
      <c r="AX146" s="48">
        <v>-3707.0731500000002</v>
      </c>
      <c r="AY146" s="5">
        <v>-4275.5949499999997</v>
      </c>
      <c r="AZ146" s="5">
        <v>-4778.7482</v>
      </c>
      <c r="BA146" s="5">
        <v>-4648.527</v>
      </c>
      <c r="BB146" s="5">
        <v>-4131.1261999999997</v>
      </c>
      <c r="BC146" s="5">
        <v>-4323.2687999999998</v>
      </c>
      <c r="BD146" s="5">
        <v>-4964.5057000000006</v>
      </c>
      <c r="BE146" s="5">
        <v>-4487.9146000000001</v>
      </c>
      <c r="BF146" s="58">
        <v>-1669.3367300000004</v>
      </c>
      <c r="BG146" s="58">
        <v>2142.4529699999998</v>
      </c>
    </row>
    <row r="147" spans="1:59" ht="15.75" hidden="1" customHeight="1">
      <c r="A147" s="27" t="s">
        <v>45</v>
      </c>
      <c r="B147" s="27" t="s">
        <v>47</v>
      </c>
      <c r="C147" s="60"/>
      <c r="D147" s="55" t="s">
        <v>43</v>
      </c>
      <c r="E147" s="49">
        <v>0</v>
      </c>
      <c r="F147" s="5">
        <f>(E148+F107+F113+F119+F125+F131+F137+F143+F146/2)*F$399</f>
        <v>0</v>
      </c>
      <c r="G147" s="5">
        <f t="shared" ref="G147:BG147" si="64">(F148+G107+G113+G119+G125+G131+G137+G143+G146/2)*G$399</f>
        <v>0</v>
      </c>
      <c r="H147" s="5">
        <f t="shared" si="64"/>
        <v>0</v>
      </c>
      <c r="I147" s="5">
        <f t="shared" si="64"/>
        <v>0</v>
      </c>
      <c r="J147" s="5">
        <f t="shared" si="64"/>
        <v>0</v>
      </c>
      <c r="K147" s="5">
        <f t="shared" si="64"/>
        <v>0</v>
      </c>
      <c r="L147" s="5">
        <f t="shared" si="64"/>
        <v>0</v>
      </c>
      <c r="M147" s="5">
        <f t="shared" si="64"/>
        <v>0</v>
      </c>
      <c r="N147" s="48">
        <f t="shared" si="64"/>
        <v>0</v>
      </c>
      <c r="O147" s="5">
        <f t="shared" si="64"/>
        <v>3731.0435952715679</v>
      </c>
      <c r="P147" s="5">
        <f t="shared" si="64"/>
        <v>3743.7291434954914</v>
      </c>
      <c r="Q147" s="5">
        <f t="shared" si="64"/>
        <v>3645.9737689779827</v>
      </c>
      <c r="R147" s="5">
        <f t="shared" si="64"/>
        <v>3990.5514353624831</v>
      </c>
      <c r="S147" s="5">
        <f t="shared" si="64"/>
        <v>3893.6697144039613</v>
      </c>
      <c r="T147" s="5">
        <f t="shared" si="64"/>
        <v>4018.9346315016428</v>
      </c>
      <c r="U147" s="5">
        <f t="shared" si="64"/>
        <v>4033.4027961750485</v>
      </c>
      <c r="V147" s="5">
        <f t="shared" si="64"/>
        <v>3710.5961257211725</v>
      </c>
      <c r="W147" s="5">
        <f t="shared" si="64"/>
        <v>4061.2811922938754</v>
      </c>
      <c r="X147" s="5">
        <f t="shared" si="64"/>
        <v>4189.1212991579705</v>
      </c>
      <c r="Y147" s="5">
        <f t="shared" si="64"/>
        <v>4318.2594546666078</v>
      </c>
      <c r="Z147" s="48">
        <f t="shared" si="64"/>
        <v>4220.5986079471222</v>
      </c>
      <c r="AA147" s="5">
        <f t="shared" si="64"/>
        <v>4579.691700320569</v>
      </c>
      <c r="AB147" s="5">
        <f t="shared" si="64"/>
        <v>4598.0104671218505</v>
      </c>
      <c r="AC147" s="5">
        <f t="shared" si="64"/>
        <v>4500.992446265579</v>
      </c>
      <c r="AD147" s="5">
        <f t="shared" si="64"/>
        <v>4866.1268027141705</v>
      </c>
      <c r="AE147" s="5">
        <f t="shared" si="64"/>
        <v>4770.2177606359137</v>
      </c>
      <c r="AF147" s="5">
        <f t="shared" si="64"/>
        <v>4906.5994498802411</v>
      </c>
      <c r="AG147" s="5">
        <f t="shared" si="64"/>
        <v>5161.8360803111545</v>
      </c>
      <c r="AH147" s="5">
        <f t="shared" si="64"/>
        <v>6097.4018729494273</v>
      </c>
      <c r="AI147" s="5">
        <f t="shared" si="64"/>
        <v>6725.1971970493487</v>
      </c>
      <c r="AJ147" s="5">
        <f t="shared" si="64"/>
        <v>6896.7880478430998</v>
      </c>
      <c r="AK147" s="5">
        <f t="shared" si="64"/>
        <v>7071.7235183219145</v>
      </c>
      <c r="AL147" s="48">
        <f t="shared" si="64"/>
        <v>6940.6325811383422</v>
      </c>
      <c r="AM147" s="5">
        <f t="shared" si="64"/>
        <v>7270.7054634733977</v>
      </c>
      <c r="AN147" s="5">
        <f t="shared" si="64"/>
        <v>7292.6839385292233</v>
      </c>
      <c r="AO147" s="5">
        <f t="shared" si="64"/>
        <v>7003.5166803224765</v>
      </c>
      <c r="AP147" s="5">
        <f t="shared" si="64"/>
        <v>7180.0369701291265</v>
      </c>
      <c r="AQ147" s="5">
        <f t="shared" si="64"/>
        <v>7045.5095410145095</v>
      </c>
      <c r="AR147" s="5">
        <f t="shared" si="64"/>
        <v>7222.6163212853871</v>
      </c>
      <c r="AS147" s="5">
        <f t="shared" si="64"/>
        <v>6613.6361843975355</v>
      </c>
      <c r="AT147" s="5">
        <f t="shared" si="64"/>
        <v>7603.141333995939</v>
      </c>
      <c r="AU147" s="5">
        <f t="shared" si="64"/>
        <v>8204.1827168507371</v>
      </c>
      <c r="AV147" s="5">
        <f t="shared" si="64"/>
        <v>7635.2204486873625</v>
      </c>
      <c r="AW147" s="5">
        <f t="shared" si="64"/>
        <v>7847.4918126493876</v>
      </c>
      <c r="AX147" s="48">
        <f t="shared" si="64"/>
        <v>7667.9245021274855</v>
      </c>
      <c r="AY147" s="5">
        <f t="shared" si="64"/>
        <v>5712.4521267136597</v>
      </c>
      <c r="AZ147" s="5">
        <f t="shared" si="64"/>
        <v>5715.8894403136292</v>
      </c>
      <c r="BA147" s="5">
        <f t="shared" si="64"/>
        <v>5521.5961095936236</v>
      </c>
      <c r="BB147" s="5">
        <f t="shared" si="64"/>
        <v>5524.7650642204853</v>
      </c>
      <c r="BC147" s="5">
        <f t="shared" si="64"/>
        <v>5330.9554586360055</v>
      </c>
      <c r="BD147" s="5">
        <f t="shared" si="64"/>
        <v>5530.322044384483</v>
      </c>
      <c r="BE147" s="5">
        <f t="shared" si="64"/>
        <v>5532.5735576887591</v>
      </c>
      <c r="BF147" s="58">
        <f t="shared" si="64"/>
        <v>5635.7129926378639</v>
      </c>
      <c r="BG147" s="5">
        <f t="shared" si="64"/>
        <v>6328.4409108697928</v>
      </c>
    </row>
    <row r="148" spans="1:59" ht="15.75" hidden="1" customHeight="1">
      <c r="A148" s="38" t="s">
        <v>45</v>
      </c>
      <c r="B148" s="38" t="s">
        <v>47</v>
      </c>
      <c r="C148" s="61"/>
      <c r="D148" s="62" t="s">
        <v>44</v>
      </c>
      <c r="E148" s="63">
        <v>0</v>
      </c>
      <c r="F148" s="56">
        <f>E148+F107+F113+F119+F125+F131+F146+F147+F137+F143</f>
        <v>0</v>
      </c>
      <c r="G148" s="56">
        <f t="shared" ref="G148:BG148" si="65">F148+G107+G113+G119+G125+G131+G146+G147+G137+G143</f>
        <v>0</v>
      </c>
      <c r="H148" s="56">
        <f t="shared" si="65"/>
        <v>0</v>
      </c>
      <c r="I148" s="56">
        <f t="shared" si="65"/>
        <v>0</v>
      </c>
      <c r="J148" s="56">
        <f t="shared" si="65"/>
        <v>0</v>
      </c>
      <c r="K148" s="56">
        <f t="shared" si="65"/>
        <v>0</v>
      </c>
      <c r="L148" s="56">
        <f t="shared" si="65"/>
        <v>0</v>
      </c>
      <c r="M148" s="56">
        <f t="shared" si="65"/>
        <v>0</v>
      </c>
      <c r="N148" s="64">
        <f t="shared" si="65"/>
        <v>0</v>
      </c>
      <c r="O148" s="56">
        <f t="shared" si="65"/>
        <v>1101096.8069104387</v>
      </c>
      <c r="P148" s="56">
        <f t="shared" si="65"/>
        <v>1104840.5360539341</v>
      </c>
      <c r="Q148" s="56">
        <f t="shared" si="65"/>
        <v>1108486.509822912</v>
      </c>
      <c r="R148" s="56">
        <f t="shared" si="65"/>
        <v>1112477.0612582746</v>
      </c>
      <c r="S148" s="56">
        <f t="shared" si="65"/>
        <v>1116370.7309726786</v>
      </c>
      <c r="T148" s="56">
        <f t="shared" si="65"/>
        <v>1120389.6656041802</v>
      </c>
      <c r="U148" s="56">
        <f t="shared" si="65"/>
        <v>1124423.0684003553</v>
      </c>
      <c r="V148" s="56">
        <f t="shared" si="65"/>
        <v>1128133.6645260765</v>
      </c>
      <c r="W148" s="56">
        <f t="shared" si="65"/>
        <v>1132194.9457183704</v>
      </c>
      <c r="X148" s="56">
        <f t="shared" si="65"/>
        <v>1136384.0670175285</v>
      </c>
      <c r="Y148" s="56">
        <f t="shared" si="65"/>
        <v>1140702.3264721951</v>
      </c>
      <c r="Z148" s="64">
        <f t="shared" si="65"/>
        <v>1144922.9250801422</v>
      </c>
      <c r="AA148" s="56">
        <f t="shared" si="65"/>
        <v>1149502.6167804627</v>
      </c>
      <c r="AB148" s="56">
        <f t="shared" si="65"/>
        <v>1154100.6272475845</v>
      </c>
      <c r="AC148" s="56">
        <f t="shared" si="65"/>
        <v>1158601.6196938502</v>
      </c>
      <c r="AD148" s="56">
        <f t="shared" si="65"/>
        <v>1163467.7464965642</v>
      </c>
      <c r="AE148" s="56">
        <f t="shared" si="65"/>
        <v>1168237.9642572002</v>
      </c>
      <c r="AF148" s="56">
        <f t="shared" si="65"/>
        <v>1173144.5637070804</v>
      </c>
      <c r="AG148" s="56">
        <f t="shared" si="65"/>
        <v>1178306.3997873915</v>
      </c>
      <c r="AH148" s="56">
        <f t="shared" si="65"/>
        <v>1529814.6793253063</v>
      </c>
      <c r="AI148" s="56">
        <f t="shared" si="65"/>
        <v>1533818.3347123556</v>
      </c>
      <c r="AJ148" s="56">
        <f t="shared" si="65"/>
        <v>1538317.5857101989</v>
      </c>
      <c r="AK148" s="56">
        <f t="shared" si="65"/>
        <v>1543416.5370785207</v>
      </c>
      <c r="AL148" s="64">
        <f t="shared" si="65"/>
        <v>1548249.687119659</v>
      </c>
      <c r="AM148" s="56">
        <f t="shared" si="65"/>
        <v>1552938.2368431324</v>
      </c>
      <c r="AN148" s="56">
        <f t="shared" si="65"/>
        <v>1557624.2081716615</v>
      </c>
      <c r="AO148" s="56">
        <f t="shared" si="65"/>
        <v>1562053.388651984</v>
      </c>
      <c r="AP148" s="56">
        <f t="shared" si="65"/>
        <v>1566881.8527221133</v>
      </c>
      <c r="AQ148" s="56">
        <f t="shared" si="65"/>
        <v>1571501.2306031277</v>
      </c>
      <c r="AR148" s="56">
        <f t="shared" si="65"/>
        <v>1575989.3514944133</v>
      </c>
      <c r="AS148" s="56">
        <f t="shared" si="65"/>
        <v>1579974.8486888111</v>
      </c>
      <c r="AT148" s="56">
        <f t="shared" si="65"/>
        <v>1955430.3448028185</v>
      </c>
      <c r="AU148" s="56">
        <f t="shared" si="65"/>
        <v>1959527.5126048601</v>
      </c>
      <c r="AV148" s="56">
        <f t="shared" si="65"/>
        <v>1963605.3738373469</v>
      </c>
      <c r="AW148" s="56">
        <f t="shared" si="65"/>
        <v>1967988.0242999964</v>
      </c>
      <c r="AX148" s="64">
        <f t="shared" si="65"/>
        <v>1971948.8756521239</v>
      </c>
      <c r="AY148" s="56">
        <f t="shared" si="65"/>
        <v>1973385.7328288376</v>
      </c>
      <c r="AZ148" s="56">
        <f t="shared" si="65"/>
        <v>1974322.8740691512</v>
      </c>
      <c r="BA148" s="56">
        <f t="shared" si="65"/>
        <v>1975195.9431787448</v>
      </c>
      <c r="BB148" s="56">
        <f t="shared" si="65"/>
        <v>1976589.5820429651</v>
      </c>
      <c r="BC148" s="56">
        <f t="shared" si="65"/>
        <v>1977597.2687016011</v>
      </c>
      <c r="BD148" s="56">
        <f t="shared" si="65"/>
        <v>1978163.0850459854</v>
      </c>
      <c r="BE148" s="56">
        <f t="shared" si="65"/>
        <v>1979207.7440036742</v>
      </c>
      <c r="BF148" s="59">
        <f t="shared" si="65"/>
        <v>2259086.2416827832</v>
      </c>
      <c r="BG148" s="56">
        <f t="shared" si="65"/>
        <v>2267557.135563653</v>
      </c>
    </row>
    <row r="149" spans="1:59" hidden="1" outlineLevel="1">
      <c r="E149" s="52"/>
      <c r="F149" s="53"/>
      <c r="G149" s="53"/>
      <c r="H149" s="53"/>
      <c r="I149" s="53"/>
      <c r="J149" s="53"/>
      <c r="K149" s="53"/>
      <c r="L149" s="53"/>
      <c r="M149" s="53"/>
      <c r="N149" s="54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48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48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48"/>
      <c r="AY149" s="5"/>
      <c r="AZ149" s="5"/>
      <c r="BA149" s="5"/>
      <c r="BB149" s="5"/>
      <c r="BC149" s="5"/>
      <c r="BD149" s="5"/>
      <c r="BE149" s="5"/>
      <c r="BF149" s="58"/>
      <c r="BG149" s="5"/>
    </row>
    <row r="150" spans="1:59" hidden="1" outlineLevel="1">
      <c r="A150" s="27" t="s">
        <v>45</v>
      </c>
      <c r="B150" s="27" t="s">
        <v>48</v>
      </c>
      <c r="C150" s="27">
        <v>1</v>
      </c>
      <c r="D150" s="51" t="s">
        <v>29</v>
      </c>
      <c r="E150" s="49">
        <f>Deferral!G85</f>
        <v>-35833.010958652951</v>
      </c>
      <c r="F150" s="5">
        <f>Deferral!H85</f>
        <v>-87792.603342546907</v>
      </c>
      <c r="G150" s="5">
        <f>Deferral!I85</f>
        <v>-127739.1617738663</v>
      </c>
      <c r="H150" s="5">
        <f>Deferral!J85</f>
        <v>-280284.63231715158</v>
      </c>
      <c r="I150" s="5">
        <f>Deferral!K85</f>
        <v>360059.52956643113</v>
      </c>
      <c r="J150" s="5">
        <f>Deferral!L85</f>
        <v>249466.59316818707</v>
      </c>
      <c r="K150" s="5">
        <f>Deferral!M85</f>
        <v>136350.978816496</v>
      </c>
      <c r="L150" s="5">
        <f>Deferral!N85</f>
        <v>-52821.730689236298</v>
      </c>
      <c r="M150" s="5">
        <f>Deferral!O85</f>
        <v>-21377.04497973773</v>
      </c>
      <c r="N150" s="48">
        <f>Deferral!P85</f>
        <v>19835.375537410684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48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48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48"/>
      <c r="AY150" s="5"/>
      <c r="AZ150" s="5"/>
      <c r="BA150" s="5"/>
      <c r="BB150" s="5"/>
      <c r="BC150" s="5"/>
      <c r="BD150" s="5"/>
      <c r="BE150" s="5"/>
      <c r="BF150" s="58"/>
      <c r="BG150" s="5"/>
    </row>
    <row r="151" spans="1:59" hidden="1" outlineLevel="1">
      <c r="A151" s="27" t="s">
        <v>45</v>
      </c>
      <c r="B151" s="27" t="s">
        <v>48</v>
      </c>
      <c r="C151" s="27">
        <v>1</v>
      </c>
      <c r="D151" s="55" t="s">
        <v>30</v>
      </c>
      <c r="E151" s="52">
        <f>E150/2*E$399</f>
        <v>-52.256474314702224</v>
      </c>
      <c r="F151" s="53">
        <f>(E152+F150/2)*F$399</f>
        <v>-232.69624322070322</v>
      </c>
      <c r="G151" s="53">
        <f t="shared" ref="G151:N151" si="66">(F152+G150/2)*G$399</f>
        <v>-547.69209805819958</v>
      </c>
      <c r="H151" s="53">
        <f t="shared" si="66"/>
        <v>-1144.3242330602704</v>
      </c>
      <c r="I151" s="53">
        <f t="shared" si="66"/>
        <v>-1060.7898379729681</v>
      </c>
      <c r="J151" s="53">
        <f t="shared" si="66"/>
        <v>-134.71472104646392</v>
      </c>
      <c r="K151" s="53">
        <f t="shared" si="66"/>
        <v>428.63919042892536</v>
      </c>
      <c r="L151" s="53">
        <f t="shared" si="66"/>
        <v>555.21898019110165</v>
      </c>
      <c r="M151" s="53">
        <f t="shared" si="66"/>
        <v>475.29223853676154</v>
      </c>
      <c r="N151" s="54">
        <f t="shared" si="66"/>
        <v>444.69984618033362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48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48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48"/>
      <c r="AY151" s="5"/>
      <c r="AZ151" s="5"/>
      <c r="BA151" s="5"/>
      <c r="BB151" s="5"/>
      <c r="BC151" s="5"/>
      <c r="BD151" s="5"/>
      <c r="BE151" s="5"/>
      <c r="BF151" s="58"/>
      <c r="BG151" s="5"/>
    </row>
    <row r="152" spans="1:59" hidden="1" outlineLevel="1">
      <c r="A152" s="27" t="s">
        <v>45</v>
      </c>
      <c r="B152" s="27" t="s">
        <v>48</v>
      </c>
      <c r="C152" s="27">
        <v>1</v>
      </c>
      <c r="D152" s="51" t="s">
        <v>31</v>
      </c>
      <c r="E152" s="52">
        <f>E150+E151</f>
        <v>-35885.267432967652</v>
      </c>
      <c r="F152" s="53">
        <f>E152+SUM(F150:F151)</f>
        <v>-123910.56701873527</v>
      </c>
      <c r="G152" s="53">
        <f t="shared" ref="G152" si="67">F152+SUM(G150:G151)</f>
        <v>-252197.42089065976</v>
      </c>
      <c r="H152" s="53">
        <f t="shared" ref="H152:N152" si="68">G152+SUM(H150:H151)</f>
        <v>-533626.37744087167</v>
      </c>
      <c r="I152" s="53">
        <f t="shared" si="68"/>
        <v>-174627.6377124135</v>
      </c>
      <c r="J152" s="53">
        <f t="shared" si="68"/>
        <v>74704.240734727093</v>
      </c>
      <c r="K152" s="53">
        <f t="shared" si="68"/>
        <v>211483.85874165202</v>
      </c>
      <c r="L152" s="53">
        <f t="shared" si="68"/>
        <v>159217.34703260683</v>
      </c>
      <c r="M152" s="53">
        <f t="shared" si="68"/>
        <v>138315.59429140587</v>
      </c>
      <c r="N152" s="54">
        <f t="shared" si="68"/>
        <v>158595.6696749969</v>
      </c>
      <c r="O152" s="5">
        <f>N152</f>
        <v>158595.6696749969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48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48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48"/>
      <c r="AY152" s="5"/>
      <c r="AZ152" s="5"/>
      <c r="BA152" s="5"/>
      <c r="BB152" s="5"/>
      <c r="BC152" s="5"/>
      <c r="BD152" s="5"/>
      <c r="BE152" s="5"/>
      <c r="BF152" s="58"/>
      <c r="BG152" s="5"/>
    </row>
    <row r="153" spans="1:59" hidden="1" outlineLevel="1">
      <c r="A153" s="27" t="s">
        <v>45</v>
      </c>
      <c r="B153" s="27" t="s">
        <v>48</v>
      </c>
      <c r="C153" s="27">
        <v>1</v>
      </c>
      <c r="D153" s="55" t="s">
        <v>32</v>
      </c>
      <c r="E153" s="52"/>
      <c r="F153" s="53"/>
      <c r="G153" s="53"/>
      <c r="H153" s="53"/>
      <c r="I153" s="53"/>
      <c r="J153" s="53"/>
      <c r="K153" s="53"/>
      <c r="L153" s="53"/>
      <c r="M153" s="53"/>
      <c r="N153" s="54"/>
      <c r="O153" s="56">
        <f>SUM(O405:O406)</f>
        <v>459154.11159834533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48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48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48"/>
      <c r="AY153" s="5"/>
      <c r="AZ153" s="5"/>
      <c r="BA153" s="5"/>
      <c r="BB153" s="5"/>
      <c r="BC153" s="5"/>
      <c r="BD153" s="5"/>
      <c r="BE153" s="5"/>
      <c r="BF153" s="58"/>
      <c r="BG153" s="5"/>
    </row>
    <row r="154" spans="1:59" ht="15.75" hidden="1" customHeight="1" outlineLevel="1">
      <c r="A154" s="27" t="s">
        <v>45</v>
      </c>
      <c r="B154" s="27" t="s">
        <v>48</v>
      </c>
      <c r="C154" s="27">
        <v>1</v>
      </c>
      <c r="D154" s="55" t="s">
        <v>33</v>
      </c>
      <c r="E154" s="52"/>
      <c r="F154" s="53"/>
      <c r="G154" s="53"/>
      <c r="H154" s="53"/>
      <c r="I154" s="53"/>
      <c r="J154" s="53"/>
      <c r="K154" s="53"/>
      <c r="L154" s="53"/>
      <c r="M154" s="53"/>
      <c r="N154" s="54"/>
      <c r="O154" s="5">
        <f>SUM(O152:O153)</f>
        <v>617749.7812733422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48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48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48"/>
      <c r="AY154" s="5"/>
      <c r="AZ154" s="5"/>
      <c r="BA154" s="5"/>
      <c r="BB154" s="5"/>
      <c r="BC154" s="5"/>
      <c r="BD154" s="5"/>
      <c r="BE154" s="5"/>
      <c r="BF154" s="58"/>
      <c r="BG154" s="5"/>
    </row>
    <row r="155" spans="1:59" ht="15.75" hidden="1" customHeight="1" outlineLevel="1">
      <c r="A155" s="27"/>
      <c r="B155" s="27"/>
      <c r="C155" s="27"/>
      <c r="D155" s="55"/>
      <c r="E155" s="52"/>
      <c r="F155" s="53"/>
      <c r="G155" s="53"/>
      <c r="H155" s="53"/>
      <c r="I155" s="53"/>
      <c r="J155" s="53"/>
      <c r="K155" s="53"/>
      <c r="L155" s="53"/>
      <c r="M155" s="53"/>
      <c r="N155" s="54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48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48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48"/>
      <c r="AY155" s="5"/>
      <c r="AZ155" s="5"/>
      <c r="BA155" s="5"/>
      <c r="BB155" s="5"/>
      <c r="BC155" s="5"/>
      <c r="BD155" s="5"/>
      <c r="BE155" s="5"/>
      <c r="BF155" s="58"/>
      <c r="BG155" s="5"/>
    </row>
    <row r="156" spans="1:59" ht="15.75" hidden="1" customHeight="1" outlineLevel="1">
      <c r="A156" s="27" t="s">
        <v>45</v>
      </c>
      <c r="B156" s="27" t="s">
        <v>48</v>
      </c>
      <c r="C156" s="27">
        <v>2</v>
      </c>
      <c r="D156" s="51" t="s">
        <v>29</v>
      </c>
      <c r="E156" s="52"/>
      <c r="F156" s="53"/>
      <c r="G156" s="53"/>
      <c r="H156" s="53"/>
      <c r="I156" s="53"/>
      <c r="J156" s="53"/>
      <c r="K156" s="53"/>
      <c r="L156" s="53"/>
      <c r="M156" s="53"/>
      <c r="N156" s="50"/>
      <c r="O156" s="5">
        <f>Deferral!Q85</f>
        <v>144469.19483064298</v>
      </c>
      <c r="P156" s="5">
        <f>Deferral!R85</f>
        <v>68117.172282896616</v>
      </c>
      <c r="Q156" s="5">
        <f>Deferral!S85+Deferral!T85</f>
        <v>71134.787308165134</v>
      </c>
      <c r="R156" s="5">
        <f>Deferral!U85+Deferral!V85</f>
        <v>-111893.87244328248</v>
      </c>
      <c r="S156" s="5">
        <f>Deferral!W85</f>
        <v>-13179.182511963474</v>
      </c>
      <c r="T156" s="5">
        <f>Deferral!X85</f>
        <v>-313555.22786816722</v>
      </c>
      <c r="U156" s="5">
        <f>Deferral!Y85</f>
        <v>-65717.360299907537</v>
      </c>
      <c r="V156" s="5">
        <f>Deferral!Z85</f>
        <v>-170594.83298358473</v>
      </c>
      <c r="W156" s="5">
        <f>Deferral!AA85</f>
        <v>33160.068956856201</v>
      </c>
      <c r="X156" s="5">
        <f>Deferral!AB85</f>
        <v>-106572.3461567518</v>
      </c>
      <c r="Y156" s="5">
        <f>Deferral!AC85</f>
        <v>103973.90477977131</v>
      </c>
      <c r="Z156" s="48">
        <f>Deferral!AD85</f>
        <v>92380.669188133033</v>
      </c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48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48"/>
      <c r="AY156" s="5"/>
      <c r="AZ156" s="5"/>
      <c r="BA156" s="5"/>
      <c r="BB156" s="5"/>
      <c r="BC156" s="5"/>
      <c r="BD156" s="5"/>
      <c r="BE156" s="5"/>
      <c r="BF156" s="58"/>
      <c r="BG156" s="5"/>
    </row>
    <row r="157" spans="1:59" ht="15.75" hidden="1" customHeight="1" outlineLevel="1">
      <c r="A157" s="27" t="s">
        <v>45</v>
      </c>
      <c r="B157" s="27" t="s">
        <v>48</v>
      </c>
      <c r="C157" s="27">
        <v>2</v>
      </c>
      <c r="D157" s="55" t="s">
        <v>30</v>
      </c>
      <c r="E157" s="52"/>
      <c r="F157" s="53"/>
      <c r="G157" s="53"/>
      <c r="H157" s="53"/>
      <c r="I157" s="53"/>
      <c r="J157" s="53"/>
      <c r="K157" s="53"/>
      <c r="L157" s="53"/>
      <c r="M157" s="53"/>
      <c r="N157" s="54"/>
      <c r="O157" s="5">
        <f>O156/2*O$399</f>
        <v>245.59763121209306</v>
      </c>
      <c r="P157" s="5">
        <f t="shared" ref="P157:Z157" si="69">(O158+P156/2)*P$399</f>
        <v>607.82948725123151</v>
      </c>
      <c r="Q157" s="5">
        <f t="shared" si="69"/>
        <v>821.72372002408213</v>
      </c>
      <c r="R157" s="5">
        <f t="shared" si="69"/>
        <v>826.0177285387831</v>
      </c>
      <c r="S157" s="5">
        <f t="shared" si="69"/>
        <v>587.0860075131335</v>
      </c>
      <c r="T157" s="5">
        <f t="shared" si="69"/>
        <v>17.851464384892139</v>
      </c>
      <c r="U157" s="5">
        <f t="shared" si="69"/>
        <v>-664.77492904585677</v>
      </c>
      <c r="V157" s="5">
        <f t="shared" si="69"/>
        <v>-1001.4858944756489</v>
      </c>
      <c r="W157" s="5">
        <f t="shared" si="69"/>
        <v>-1343.5179911689318</v>
      </c>
      <c r="X157" s="5">
        <f t="shared" si="69"/>
        <v>-1521.6216647552005</v>
      </c>
      <c r="Y157" s="5">
        <f t="shared" si="69"/>
        <v>-1573.4657755557819</v>
      </c>
      <c r="Z157" s="48">
        <f t="shared" si="69"/>
        <v>-1174.6246429911423</v>
      </c>
      <c r="AA157" s="5">
        <f t="shared" ref="AA157:AG157" si="70">Z158*AA$399</f>
        <v>-1089.8016391050414</v>
      </c>
      <c r="AB157" s="5">
        <f t="shared" si="70"/>
        <v>-1094.1608456614615</v>
      </c>
      <c r="AC157" s="5">
        <f t="shared" si="70"/>
        <v>-1071.0740518180048</v>
      </c>
      <c r="AD157" s="5">
        <f t="shared" si="70"/>
        <v>-1157.9628745139485</v>
      </c>
      <c r="AE157" s="5">
        <f t="shared" si="70"/>
        <v>-1135.1399776681712</v>
      </c>
      <c r="AF157" s="5">
        <f t="shared" si="70"/>
        <v>-1167.5939064931133</v>
      </c>
      <c r="AG157" s="5">
        <f t="shared" si="70"/>
        <v>-1228.3310295146885</v>
      </c>
      <c r="AH157" s="5"/>
      <c r="AI157" s="5"/>
      <c r="AJ157" s="5"/>
      <c r="AK157" s="5"/>
      <c r="AL157" s="48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48"/>
      <c r="AY157" s="5"/>
      <c r="AZ157" s="5"/>
      <c r="BA157" s="5"/>
      <c r="BB157" s="5"/>
      <c r="BC157" s="5"/>
      <c r="BD157" s="5"/>
      <c r="BE157" s="5"/>
      <c r="BF157" s="58"/>
      <c r="BG157" s="5"/>
    </row>
    <row r="158" spans="1:59" ht="15.75" hidden="1" customHeight="1" outlineLevel="1">
      <c r="A158" s="27" t="s">
        <v>45</v>
      </c>
      <c r="B158" s="27" t="s">
        <v>48</v>
      </c>
      <c r="C158" s="27">
        <v>2</v>
      </c>
      <c r="D158" s="51" t="s">
        <v>31</v>
      </c>
      <c r="E158" s="52"/>
      <c r="F158" s="53"/>
      <c r="G158" s="53"/>
      <c r="H158" s="53"/>
      <c r="I158" s="53"/>
      <c r="J158" s="53"/>
      <c r="K158" s="53"/>
      <c r="L158" s="53"/>
      <c r="M158" s="53"/>
      <c r="N158" s="54"/>
      <c r="O158" s="5">
        <f>SUM(O156:O157)</f>
        <v>144714.79246185508</v>
      </c>
      <c r="P158" s="5">
        <f>O158+SUM(P156:P157)</f>
        <v>213439.79423200293</v>
      </c>
      <c r="Q158" s="5">
        <f t="shared" ref="Q158" si="71">P158+SUM(Q156:Q157)</f>
        <v>285396.30526019214</v>
      </c>
      <c r="R158" s="5">
        <f t="shared" ref="R158:Z158" si="72">Q158+SUM(R156:R157)</f>
        <v>174328.45054544843</v>
      </c>
      <c r="S158" s="5">
        <f t="shared" si="72"/>
        <v>161736.35404099809</v>
      </c>
      <c r="T158" s="5">
        <f t="shared" si="72"/>
        <v>-151801.02236278425</v>
      </c>
      <c r="U158" s="5">
        <f t="shared" si="72"/>
        <v>-218183.15759173763</v>
      </c>
      <c r="V158" s="5">
        <f t="shared" si="72"/>
        <v>-389779.47646979801</v>
      </c>
      <c r="W158" s="5">
        <f t="shared" si="72"/>
        <v>-357962.92550411075</v>
      </c>
      <c r="X158" s="5">
        <f t="shared" si="72"/>
        <v>-466056.89332561777</v>
      </c>
      <c r="Y158" s="5">
        <f t="shared" si="72"/>
        <v>-363656.45432140224</v>
      </c>
      <c r="Z158" s="48">
        <f t="shared" si="72"/>
        <v>-272450.40977626038</v>
      </c>
      <c r="AA158" s="5">
        <f>Z158+AA157</f>
        <v>-273540.2114153654</v>
      </c>
      <c r="AB158" s="5">
        <f t="shared" ref="AB158:AE158" si="73">AA158+AB157</f>
        <v>-274634.37226102687</v>
      </c>
      <c r="AC158" s="5">
        <f t="shared" si="73"/>
        <v>-275705.44631284487</v>
      </c>
      <c r="AD158" s="5">
        <f t="shared" si="73"/>
        <v>-276863.4091873588</v>
      </c>
      <c r="AE158" s="5">
        <f t="shared" si="73"/>
        <v>-277998.54916502698</v>
      </c>
      <c r="AF158" s="5">
        <f>AE158+AF157</f>
        <v>-279166.14307152008</v>
      </c>
      <c r="AG158" s="5">
        <f>AF158+AG157</f>
        <v>-280394.47410103475</v>
      </c>
      <c r="AH158" s="5">
        <f>AG158</f>
        <v>-280394.47410103475</v>
      </c>
      <c r="AI158" s="5"/>
      <c r="AJ158" s="5"/>
      <c r="AK158" s="5"/>
      <c r="AL158" s="48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48"/>
      <c r="AY158" s="5"/>
      <c r="AZ158" s="5"/>
      <c r="BA158" s="5"/>
      <c r="BB158" s="5"/>
      <c r="BC158" s="5"/>
      <c r="BD158" s="5"/>
      <c r="BE158" s="5"/>
      <c r="BF158" s="58"/>
      <c r="BG158" s="5"/>
    </row>
    <row r="159" spans="1:59" ht="15.75" hidden="1" customHeight="1" outlineLevel="1">
      <c r="A159" s="27" t="s">
        <v>45</v>
      </c>
      <c r="B159" s="27" t="s">
        <v>48</v>
      </c>
      <c r="C159" s="27">
        <v>2</v>
      </c>
      <c r="D159" s="55" t="s">
        <v>32</v>
      </c>
      <c r="E159" s="52"/>
      <c r="F159" s="53"/>
      <c r="G159" s="53"/>
      <c r="H159" s="53"/>
      <c r="I159" s="53"/>
      <c r="J159" s="53"/>
      <c r="K159" s="53"/>
      <c r="L159" s="53"/>
      <c r="M159" s="53"/>
      <c r="N159" s="54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48"/>
      <c r="AA159" s="5"/>
      <c r="AB159" s="5"/>
      <c r="AC159" s="5"/>
      <c r="AD159" s="5"/>
      <c r="AE159" s="5"/>
      <c r="AF159" s="5"/>
      <c r="AG159" s="5"/>
      <c r="AH159" s="56">
        <f>AH413+AH414</f>
        <v>643853.21364025283</v>
      </c>
      <c r="AI159" s="5"/>
      <c r="AJ159" s="5"/>
      <c r="AK159" s="5"/>
      <c r="AL159" s="48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48"/>
      <c r="AY159" s="5"/>
      <c r="AZ159" s="5"/>
      <c r="BA159" s="5"/>
      <c r="BB159" s="5"/>
      <c r="BC159" s="5"/>
      <c r="BD159" s="5"/>
      <c r="BE159" s="5"/>
      <c r="BF159" s="58"/>
      <c r="BG159" s="5"/>
    </row>
    <row r="160" spans="1:59" ht="15.75" hidden="1" customHeight="1" outlineLevel="1">
      <c r="A160" s="27" t="s">
        <v>45</v>
      </c>
      <c r="B160" s="27" t="s">
        <v>48</v>
      </c>
      <c r="C160" s="27">
        <v>2</v>
      </c>
      <c r="D160" s="55" t="s">
        <v>34</v>
      </c>
      <c r="E160" s="52"/>
      <c r="F160" s="53"/>
      <c r="G160" s="53"/>
      <c r="H160" s="53"/>
      <c r="I160" s="53"/>
      <c r="J160" s="53"/>
      <c r="K160" s="53"/>
      <c r="L160" s="53"/>
      <c r="M160" s="53"/>
      <c r="N160" s="54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48"/>
      <c r="AA160" s="5"/>
      <c r="AB160" s="5"/>
      <c r="AC160" s="5"/>
      <c r="AD160" s="5"/>
      <c r="AE160" s="5"/>
      <c r="AF160" s="5"/>
      <c r="AG160" s="5"/>
      <c r="AH160" s="5">
        <f>SUM(AH158:AH159)</f>
        <v>363458.73953921808</v>
      </c>
      <c r="AI160" s="5"/>
      <c r="AJ160" s="5"/>
      <c r="AK160" s="5"/>
      <c r="AL160" s="48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48"/>
      <c r="AY160" s="5"/>
      <c r="AZ160" s="5"/>
      <c r="BA160" s="5"/>
      <c r="BB160" s="5"/>
      <c r="BC160" s="5"/>
      <c r="BD160" s="5"/>
      <c r="BE160" s="5"/>
      <c r="BF160" s="58"/>
      <c r="BG160" s="5"/>
    </row>
    <row r="161" spans="1:59" ht="15.75" hidden="1" customHeight="1" outlineLevel="1">
      <c r="A161" s="27"/>
      <c r="B161" s="27"/>
      <c r="C161" s="57"/>
      <c r="D161" s="55"/>
      <c r="E161" s="52"/>
      <c r="F161" s="53"/>
      <c r="G161" s="53"/>
      <c r="H161" s="53"/>
      <c r="I161" s="53"/>
      <c r="J161" s="53"/>
      <c r="K161" s="53"/>
      <c r="L161" s="53"/>
      <c r="M161" s="53"/>
      <c r="N161" s="54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48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48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48"/>
      <c r="AY161" s="5"/>
      <c r="AZ161" s="5"/>
      <c r="BA161" s="5"/>
      <c r="BB161" s="5"/>
      <c r="BC161" s="5"/>
      <c r="BD161" s="5"/>
      <c r="BE161" s="5"/>
      <c r="BF161" s="58"/>
      <c r="BG161" s="5"/>
    </row>
    <row r="162" spans="1:59" ht="15.75" hidden="1" customHeight="1" outlineLevel="1">
      <c r="A162" s="27" t="s">
        <v>45</v>
      </c>
      <c r="B162" s="27" t="s">
        <v>48</v>
      </c>
      <c r="C162" s="27">
        <v>3</v>
      </c>
      <c r="D162" s="51" t="s">
        <v>29</v>
      </c>
      <c r="E162" s="52"/>
      <c r="F162" s="53"/>
      <c r="G162" s="53"/>
      <c r="H162" s="53"/>
      <c r="I162" s="53"/>
      <c r="J162" s="53"/>
      <c r="K162" s="53"/>
      <c r="L162" s="53"/>
      <c r="M162" s="53"/>
      <c r="N162" s="54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48"/>
      <c r="AA162" s="5">
        <f>Deferral!AE85</f>
        <v>89615.123701811768</v>
      </c>
      <c r="AB162" s="5">
        <f>Deferral!AF85</f>
        <v>96996.679749753035</v>
      </c>
      <c r="AC162" s="5">
        <f>Deferral!AG85</f>
        <v>-68617.294888552118</v>
      </c>
      <c r="AD162" s="5">
        <f>Deferral!AH85</f>
        <v>-192821.83577509338</v>
      </c>
      <c r="AE162" s="5">
        <f>Deferral!AI85</f>
        <v>-83415.784477543217</v>
      </c>
      <c r="AF162" s="5">
        <f>Deferral!AJ85</f>
        <v>-257499.75396397902</v>
      </c>
      <c r="AG162" s="5">
        <f>Deferral!AK85</f>
        <v>-266437.19006591156</v>
      </c>
      <c r="AH162" s="5">
        <f>Deferral!AL85</f>
        <v>17970.890682415906</v>
      </c>
      <c r="AI162" s="5">
        <f>Deferral!AM85</f>
        <v>360052.8992424272</v>
      </c>
      <c r="AJ162" s="5">
        <f>Deferral!AN85</f>
        <v>-40855.022568855988</v>
      </c>
      <c r="AK162" s="5">
        <f>Deferral!AO85</f>
        <v>-44812.489251570732</v>
      </c>
      <c r="AL162" s="48">
        <f>Deferral!AP85</f>
        <v>-33461.210103691352</v>
      </c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48"/>
      <c r="AY162" s="5"/>
      <c r="AZ162" s="5"/>
      <c r="BA162" s="5"/>
      <c r="BB162" s="5"/>
      <c r="BC162" s="5"/>
      <c r="BD162" s="5"/>
      <c r="BE162" s="5"/>
      <c r="BF162" s="58"/>
      <c r="BG162" s="5"/>
    </row>
    <row r="163" spans="1:59" ht="15.75" hidden="1" customHeight="1" outlineLevel="1">
      <c r="A163" s="27" t="s">
        <v>45</v>
      </c>
      <c r="B163" s="27" t="s">
        <v>48</v>
      </c>
      <c r="C163" s="27">
        <v>3</v>
      </c>
      <c r="D163" s="55" t="s">
        <v>30</v>
      </c>
      <c r="E163" s="52"/>
      <c r="F163" s="53"/>
      <c r="G163" s="53"/>
      <c r="H163" s="53"/>
      <c r="I163" s="53"/>
      <c r="J163" s="53"/>
      <c r="K163" s="53"/>
      <c r="L163" s="53"/>
      <c r="M163" s="53"/>
      <c r="N163" s="54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48"/>
      <c r="AA163" s="5">
        <f>AA162/2*AA$399</f>
        <v>179.23024740362354</v>
      </c>
      <c r="AB163" s="5">
        <f t="shared" ref="AB163:AL163" si="74">(AA164+AB162/2)*AB$399</f>
        <v>553.17077529636776</v>
      </c>
      <c r="AC163" s="5">
        <f t="shared" si="74"/>
        <v>596.83867241695611</v>
      </c>
      <c r="AD163" s="5">
        <f t="shared" si="74"/>
        <v>96.233887556448423</v>
      </c>
      <c r="AE163" s="5">
        <f t="shared" si="74"/>
        <v>-471.94995805953351</v>
      </c>
      <c r="AF163" s="5">
        <f t="shared" si="74"/>
        <v>-1201.3657531973979</v>
      </c>
      <c r="AG163" s="5">
        <f t="shared" si="74"/>
        <v>-2416.5209323866256</v>
      </c>
      <c r="AH163" s="5">
        <f t="shared" si="74"/>
        <v>-2703.4358937571074</v>
      </c>
      <c r="AI163" s="5">
        <f t="shared" si="74"/>
        <v>-2154.0222632306945</v>
      </c>
      <c r="AJ163" s="5">
        <f t="shared" si="74"/>
        <v>-1494.4751923367585</v>
      </c>
      <c r="AK163" s="5">
        <f t="shared" si="74"/>
        <v>-1731.5956152381948</v>
      </c>
      <c r="AL163" s="48">
        <f t="shared" si="74"/>
        <v>-1877.8602361161452</v>
      </c>
      <c r="AM163" s="5">
        <f t="shared" ref="AM163:AS163" si="75">AL164*AM$399</f>
        <v>-2048.7804779080611</v>
      </c>
      <c r="AN163" s="5">
        <f t="shared" si="75"/>
        <v>-2058.4097461542292</v>
      </c>
      <c r="AO163" s="5">
        <f t="shared" si="75"/>
        <v>-1980.0806859202535</v>
      </c>
      <c r="AP163" s="5">
        <f t="shared" si="75"/>
        <v>-2033.1908500959369</v>
      </c>
      <c r="AQ163" s="5">
        <f t="shared" si="75"/>
        <v>-1998.1404078323262</v>
      </c>
      <c r="AR163" s="5">
        <f t="shared" si="75"/>
        <v>-2051.7349738824068</v>
      </c>
      <c r="AS163" s="5">
        <f t="shared" si="75"/>
        <v>-1881.940523913373</v>
      </c>
      <c r="AT163" s="5"/>
      <c r="AU163" s="5"/>
      <c r="AV163" s="5"/>
      <c r="AW163" s="5"/>
      <c r="AX163" s="48"/>
      <c r="AY163" s="5"/>
      <c r="AZ163" s="5"/>
      <c r="BA163" s="5"/>
      <c r="BB163" s="5"/>
      <c r="BC163" s="5"/>
      <c r="BD163" s="5"/>
      <c r="BE163" s="5"/>
      <c r="BF163" s="58"/>
      <c r="BG163" s="5"/>
    </row>
    <row r="164" spans="1:59" ht="15.75" hidden="1" customHeight="1" outlineLevel="1">
      <c r="A164" s="27" t="s">
        <v>45</v>
      </c>
      <c r="B164" s="27" t="s">
        <v>48</v>
      </c>
      <c r="C164" s="27">
        <v>3</v>
      </c>
      <c r="D164" s="51" t="s">
        <v>31</v>
      </c>
      <c r="E164" s="52"/>
      <c r="F164" s="53"/>
      <c r="G164" s="53"/>
      <c r="H164" s="53"/>
      <c r="I164" s="53"/>
      <c r="J164" s="53"/>
      <c r="K164" s="53"/>
      <c r="L164" s="53"/>
      <c r="M164" s="53"/>
      <c r="N164" s="5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48"/>
      <c r="AA164" s="5">
        <f>SUM(AA162:AA163)</f>
        <v>89794.353949215394</v>
      </c>
      <c r="AB164" s="5">
        <f>AA164+SUM(AB162:AB163)</f>
        <v>187344.20447426481</v>
      </c>
      <c r="AC164" s="5">
        <f t="shared" ref="AC164" si="76">AB164+SUM(AC162:AC163)</f>
        <v>119323.74825812965</v>
      </c>
      <c r="AD164" s="5">
        <f t="shared" ref="AD164:AL164" si="77">AC164+SUM(AD162:AD163)</f>
        <v>-73401.853629407284</v>
      </c>
      <c r="AE164" s="5">
        <f t="shared" si="77"/>
        <v>-157289.58806501003</v>
      </c>
      <c r="AF164" s="5">
        <f t="shared" si="77"/>
        <v>-415990.70778218645</v>
      </c>
      <c r="AG164" s="5">
        <f t="shared" si="77"/>
        <v>-684844.4187804847</v>
      </c>
      <c r="AH164" s="5">
        <f t="shared" si="77"/>
        <v>-669576.96399182593</v>
      </c>
      <c r="AI164" s="5">
        <f t="shared" si="77"/>
        <v>-311678.08701262943</v>
      </c>
      <c r="AJ164" s="5">
        <f t="shared" si="77"/>
        <v>-354027.58477382216</v>
      </c>
      <c r="AK164" s="5">
        <f t="shared" si="77"/>
        <v>-400571.66964063107</v>
      </c>
      <c r="AL164" s="48">
        <f t="shared" si="77"/>
        <v>-435910.73998043855</v>
      </c>
      <c r="AM164" s="5">
        <f>AL164+AM163</f>
        <v>-437959.52045834658</v>
      </c>
      <c r="AN164" s="5">
        <f t="shared" ref="AN164:AQ164" si="78">AM164+AN163</f>
        <v>-440017.93020450079</v>
      </c>
      <c r="AO164" s="5">
        <f t="shared" si="78"/>
        <v>-441998.01089042105</v>
      </c>
      <c r="AP164" s="5">
        <f t="shared" si="78"/>
        <v>-444031.20174051699</v>
      </c>
      <c r="AQ164" s="5">
        <f t="shared" si="78"/>
        <v>-446029.34214834933</v>
      </c>
      <c r="AR164" s="5">
        <f>AQ164+AR163</f>
        <v>-448081.07712223171</v>
      </c>
      <c r="AS164" s="5">
        <f>AR164+AS163</f>
        <v>-449963.01764614508</v>
      </c>
      <c r="AT164" s="5">
        <f>AS164</f>
        <v>-449963.01764614508</v>
      </c>
      <c r="AU164" s="5"/>
      <c r="AV164" s="5"/>
      <c r="AW164" s="5"/>
      <c r="AX164" s="48"/>
      <c r="AY164" s="5"/>
      <c r="AZ164" s="5"/>
      <c r="BA164" s="5"/>
      <c r="BB164" s="5"/>
      <c r="BC164" s="5"/>
      <c r="BD164" s="5"/>
      <c r="BE164" s="5"/>
      <c r="BF164" s="58"/>
      <c r="BG164" s="5"/>
    </row>
    <row r="165" spans="1:59" ht="15.75" hidden="1" customHeight="1" outlineLevel="1">
      <c r="A165" s="27" t="s">
        <v>45</v>
      </c>
      <c r="B165" s="27" t="s">
        <v>48</v>
      </c>
      <c r="C165" s="27">
        <v>3</v>
      </c>
      <c r="D165" s="55" t="s">
        <v>32</v>
      </c>
      <c r="E165" s="52"/>
      <c r="F165" s="53"/>
      <c r="G165" s="53"/>
      <c r="H165" s="53"/>
      <c r="I165" s="53"/>
      <c r="J165" s="53"/>
      <c r="K165" s="53"/>
      <c r="L165" s="53"/>
      <c r="M165" s="53"/>
      <c r="N165" s="54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48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48"/>
      <c r="AM165" s="5"/>
      <c r="AN165" s="5"/>
      <c r="AO165" s="5"/>
      <c r="AP165" s="5"/>
      <c r="AQ165" s="5"/>
      <c r="AR165" s="5"/>
      <c r="AS165" s="5"/>
      <c r="AT165" s="56">
        <f>AT421+AT422</f>
        <v>2186682.8165388918</v>
      </c>
      <c r="AU165" s="5"/>
      <c r="AV165" s="5"/>
      <c r="AW165" s="5"/>
      <c r="AX165" s="48"/>
      <c r="AY165" s="5"/>
      <c r="AZ165" s="5"/>
      <c r="BA165" s="5"/>
      <c r="BB165" s="5"/>
      <c r="BC165" s="5"/>
      <c r="BD165" s="5"/>
      <c r="BE165" s="5"/>
      <c r="BF165" s="58"/>
      <c r="BG165" s="5"/>
    </row>
    <row r="166" spans="1:59" ht="15.75" hidden="1" customHeight="1" outlineLevel="1">
      <c r="A166" s="27" t="s">
        <v>45</v>
      </c>
      <c r="B166" s="27" t="s">
        <v>48</v>
      </c>
      <c r="C166" s="27">
        <v>3</v>
      </c>
      <c r="D166" s="55" t="s">
        <v>35</v>
      </c>
      <c r="E166" s="52"/>
      <c r="F166" s="53"/>
      <c r="G166" s="53"/>
      <c r="H166" s="53"/>
      <c r="I166" s="53"/>
      <c r="J166" s="53"/>
      <c r="K166" s="53"/>
      <c r="L166" s="53"/>
      <c r="M166" s="53"/>
      <c r="N166" s="54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48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48"/>
      <c r="AM166" s="5"/>
      <c r="AN166" s="5"/>
      <c r="AO166" s="5"/>
      <c r="AP166" s="5"/>
      <c r="AQ166" s="5"/>
      <c r="AR166" s="5"/>
      <c r="AS166" s="5"/>
      <c r="AT166" s="5">
        <f>SUM(AT164:AT165)</f>
        <v>1736719.7988927467</v>
      </c>
      <c r="AU166" s="5"/>
      <c r="AV166" s="5"/>
      <c r="AW166" s="5"/>
      <c r="AX166" s="48"/>
      <c r="AY166" s="5"/>
      <c r="AZ166" s="5"/>
      <c r="BA166" s="5"/>
      <c r="BB166" s="5"/>
      <c r="BC166" s="5"/>
      <c r="BD166" s="5"/>
      <c r="BE166" s="5"/>
      <c r="BF166" s="58"/>
      <c r="BG166" s="5"/>
    </row>
    <row r="167" spans="1:59" ht="15.75" hidden="1" customHeight="1" outlineLevel="1">
      <c r="A167" s="27"/>
      <c r="B167" s="27"/>
      <c r="C167" s="57"/>
      <c r="D167" s="55"/>
      <c r="E167" s="52"/>
      <c r="F167" s="53"/>
      <c r="G167" s="53"/>
      <c r="H167" s="53"/>
      <c r="I167" s="53"/>
      <c r="J167" s="53"/>
      <c r="K167" s="53"/>
      <c r="L167" s="53"/>
      <c r="M167" s="53"/>
      <c r="N167" s="54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48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48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48"/>
      <c r="AY167" s="5"/>
      <c r="AZ167" s="5"/>
      <c r="BA167" s="5"/>
      <c r="BB167" s="5"/>
      <c r="BC167" s="5"/>
      <c r="BD167" s="5"/>
      <c r="BE167" s="5"/>
      <c r="BF167" s="58"/>
      <c r="BG167" s="5"/>
    </row>
    <row r="168" spans="1:59" ht="15.75" hidden="1" customHeight="1" outlineLevel="1">
      <c r="A168" s="27" t="s">
        <v>45</v>
      </c>
      <c r="B168" s="27" t="s">
        <v>48</v>
      </c>
      <c r="C168" s="27">
        <v>4</v>
      </c>
      <c r="D168" s="51" t="s">
        <v>29</v>
      </c>
      <c r="E168" s="52"/>
      <c r="F168" s="53"/>
      <c r="G168" s="53"/>
      <c r="H168" s="53"/>
      <c r="I168" s="53"/>
      <c r="J168" s="53"/>
      <c r="K168" s="53"/>
      <c r="L168" s="53"/>
      <c r="M168" s="53"/>
      <c r="N168" s="54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48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48"/>
      <c r="AM168" s="5">
        <f>Deferral!AQ85</f>
        <v>13720.811526740894</v>
      </c>
      <c r="AN168" s="5">
        <f>Deferral!AR85</f>
        <v>-194827.50438180135</v>
      </c>
      <c r="AO168" s="5">
        <f>Deferral!AS85</f>
        <v>-25305.86946256052</v>
      </c>
      <c r="AP168" s="5">
        <f>Deferral!AT85</f>
        <v>-205161.64165032821</v>
      </c>
      <c r="AQ168" s="5">
        <f>Deferral!AU85</f>
        <v>-51988.755755625592</v>
      </c>
      <c r="AR168" s="5">
        <f>Deferral!AV85</f>
        <v>-248838.68834051272</v>
      </c>
      <c r="AS168" s="5">
        <f>Deferral!AW85</f>
        <v>-201417.35642304784</v>
      </c>
      <c r="AT168" s="5">
        <f>Deferral!AX85</f>
        <v>-173056.06115226829</v>
      </c>
      <c r="AU168" s="5">
        <f>Deferral!AY85</f>
        <v>-98890.019221728347</v>
      </c>
      <c r="AV168" s="5">
        <f>Deferral!AZ85</f>
        <v>-237225.47335967177</v>
      </c>
      <c r="AW168" s="5">
        <f>Deferral!BA85</f>
        <v>-273073.54273459932</v>
      </c>
      <c r="AX168" s="48">
        <f>Deferral!BB85</f>
        <v>-316625.72416264022</v>
      </c>
      <c r="AY168" s="5"/>
      <c r="AZ168" s="5"/>
      <c r="BA168" s="5"/>
      <c r="BB168" s="5"/>
      <c r="BC168" s="5"/>
      <c r="BD168" s="5"/>
      <c r="BE168" s="5"/>
      <c r="BF168" s="58"/>
      <c r="BG168" s="5"/>
    </row>
    <row r="169" spans="1:59" ht="15.75" hidden="1" customHeight="1" outlineLevel="1">
      <c r="A169" s="27" t="s">
        <v>45</v>
      </c>
      <c r="B169" s="27" t="s">
        <v>48</v>
      </c>
      <c r="C169" s="27">
        <v>4</v>
      </c>
      <c r="D169" s="55" t="s">
        <v>30</v>
      </c>
      <c r="E169" s="52"/>
      <c r="F169" s="53"/>
      <c r="G169" s="53"/>
      <c r="H169" s="53"/>
      <c r="I169" s="53"/>
      <c r="J169" s="53"/>
      <c r="K169" s="53"/>
      <c r="L169" s="53"/>
      <c r="M169" s="53"/>
      <c r="N169" s="54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48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48"/>
      <c r="AM169" s="5">
        <f>AM168/2*AM$399</f>
        <v>32.243907087841102</v>
      </c>
      <c r="AN169" s="5">
        <f t="shared" ref="AN169:AX169" si="79">(AM170+AN168/2)*AN$399</f>
        <v>-393.20527475823815</v>
      </c>
      <c r="AO169" s="5">
        <f t="shared" si="79"/>
        <v>-873.54265029304997</v>
      </c>
      <c r="AP169" s="5">
        <f t="shared" si="79"/>
        <v>-1427.0482809394432</v>
      </c>
      <c r="AQ169" s="5">
        <f t="shared" si="79"/>
        <v>-1981.0356036509918</v>
      </c>
      <c r="AR169" s="5">
        <f t="shared" si="79"/>
        <v>-2726.0745022633714</v>
      </c>
      <c r="AS169" s="5">
        <f t="shared" si="79"/>
        <v>-3446.0117524578</v>
      </c>
      <c r="AT169" s="5">
        <f t="shared" si="79"/>
        <v>-3943.5306659601233</v>
      </c>
      <c r="AU169" s="5">
        <f t="shared" si="79"/>
        <v>-4834.5287763087117</v>
      </c>
      <c r="AV169" s="5">
        <f t="shared" si="79"/>
        <v>-5163.485165047995</v>
      </c>
      <c r="AW169" s="5">
        <f t="shared" si="79"/>
        <v>-6337.1341934107804</v>
      </c>
      <c r="AX169" s="48">
        <f t="shared" si="79"/>
        <v>-7353.3342323794295</v>
      </c>
      <c r="AY169" s="5">
        <f t="shared" ref="AY169:BE169" si="80">AX170*AY$399</f>
        <v>-5948.2958856944333</v>
      </c>
      <c r="AZ169" s="5">
        <f t="shared" si="80"/>
        <v>-5965.545943762947</v>
      </c>
      <c r="BA169" s="5">
        <f t="shared" si="80"/>
        <v>-5776.540991586071</v>
      </c>
      <c r="BB169" s="5">
        <f t="shared" si="80"/>
        <v>-5792.7153063625128</v>
      </c>
      <c r="BC169" s="5">
        <f t="shared" si="80"/>
        <v>-5601.4729481767454</v>
      </c>
      <c r="BD169" s="5">
        <f t="shared" si="80"/>
        <v>-5824.6190334752227</v>
      </c>
      <c r="BE169" s="5">
        <f t="shared" si="80"/>
        <v>-5840.9279667689534</v>
      </c>
      <c r="BF169" s="58"/>
      <c r="BG169" s="5"/>
    </row>
    <row r="170" spans="1:59" ht="15.75" hidden="1" customHeight="1" outlineLevel="1">
      <c r="A170" s="27" t="s">
        <v>45</v>
      </c>
      <c r="B170" s="27" t="s">
        <v>48</v>
      </c>
      <c r="C170" s="27">
        <v>4</v>
      </c>
      <c r="D170" s="51" t="s">
        <v>31</v>
      </c>
      <c r="E170" s="52"/>
      <c r="F170" s="53"/>
      <c r="G170" s="53"/>
      <c r="H170" s="53"/>
      <c r="I170" s="53"/>
      <c r="J170" s="53"/>
      <c r="K170" s="53"/>
      <c r="L170" s="53"/>
      <c r="M170" s="53"/>
      <c r="N170" s="5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48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48"/>
      <c r="AM170" s="5">
        <f>SUM(AM168:AM169)</f>
        <v>13753.055433828735</v>
      </c>
      <c r="AN170" s="5">
        <f>AM170+SUM(AN168:AN169)</f>
        <v>-181467.65422273087</v>
      </c>
      <c r="AO170" s="5">
        <f t="shared" ref="AO170" si="81">AN170+SUM(AO168:AO169)</f>
        <v>-207647.06633558444</v>
      </c>
      <c r="AP170" s="5">
        <f t="shared" ref="AP170:AX170" si="82">AO170+SUM(AP168:AP169)</f>
        <v>-414235.75626685208</v>
      </c>
      <c r="AQ170" s="5">
        <f t="shared" si="82"/>
        <v>-468205.54762612865</v>
      </c>
      <c r="AR170" s="5">
        <f t="shared" si="82"/>
        <v>-719770.31046890467</v>
      </c>
      <c r="AS170" s="5">
        <f t="shared" si="82"/>
        <v>-924633.67864441033</v>
      </c>
      <c r="AT170" s="5">
        <f t="shared" si="82"/>
        <v>-1101633.2704626387</v>
      </c>
      <c r="AU170" s="5">
        <f t="shared" si="82"/>
        <v>-1205357.8184606757</v>
      </c>
      <c r="AV170" s="5">
        <f t="shared" si="82"/>
        <v>-1447746.7769853955</v>
      </c>
      <c r="AW170" s="5">
        <f t="shared" si="82"/>
        <v>-1727157.4539134055</v>
      </c>
      <c r="AX170" s="48">
        <f t="shared" si="82"/>
        <v>-2051136.5123084253</v>
      </c>
      <c r="AY170" s="5">
        <f>AX170+AY169</f>
        <v>-2057084.8081941197</v>
      </c>
      <c r="AZ170" s="5">
        <f t="shared" ref="AZ170:BC170" si="83">AY170+AZ169</f>
        <v>-2063050.3541378826</v>
      </c>
      <c r="BA170" s="5">
        <f t="shared" si="83"/>
        <v>-2068826.8951294688</v>
      </c>
      <c r="BB170" s="5">
        <f t="shared" si="83"/>
        <v>-2074619.6104358314</v>
      </c>
      <c r="BC170" s="5">
        <f t="shared" si="83"/>
        <v>-2080221.0833840081</v>
      </c>
      <c r="BD170" s="5">
        <f>BC170+BD169</f>
        <v>-2086045.7024174833</v>
      </c>
      <c r="BE170" s="5">
        <f>BD170+BE169</f>
        <v>-2091886.6303842522</v>
      </c>
      <c r="BF170" s="58">
        <f>BE170</f>
        <v>-2091886.6303842522</v>
      </c>
      <c r="BG170" s="5"/>
    </row>
    <row r="171" spans="1:59" ht="15.75" hidden="1" customHeight="1" outlineLevel="1">
      <c r="A171" s="27" t="s">
        <v>45</v>
      </c>
      <c r="B171" s="27" t="s">
        <v>48</v>
      </c>
      <c r="C171" s="27">
        <v>4</v>
      </c>
      <c r="D171" s="55" t="s">
        <v>36</v>
      </c>
      <c r="E171" s="52"/>
      <c r="F171" s="53"/>
      <c r="G171" s="53"/>
      <c r="H171" s="53"/>
      <c r="I171" s="53"/>
      <c r="J171" s="53"/>
      <c r="K171" s="53"/>
      <c r="L171" s="53"/>
      <c r="M171" s="53"/>
      <c r="N171" s="5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48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48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48"/>
      <c r="AY171" s="5"/>
      <c r="AZ171" s="5"/>
      <c r="BA171" s="5"/>
      <c r="BB171" s="5"/>
      <c r="BC171" s="5"/>
      <c r="BD171" s="5"/>
      <c r="BE171" s="5"/>
      <c r="BF171" s="59">
        <f>BF429+BF430</f>
        <v>2470.1919443197448</v>
      </c>
      <c r="BG171" s="5"/>
    </row>
    <row r="172" spans="1:59" ht="15.75" hidden="1" customHeight="1" outlineLevel="1">
      <c r="A172" s="27" t="s">
        <v>45</v>
      </c>
      <c r="B172" s="27" t="s">
        <v>48</v>
      </c>
      <c r="C172" s="27">
        <v>4</v>
      </c>
      <c r="D172" s="55" t="s">
        <v>37</v>
      </c>
      <c r="E172" s="52"/>
      <c r="F172" s="53"/>
      <c r="G172" s="53"/>
      <c r="H172" s="53"/>
      <c r="I172" s="53"/>
      <c r="J172" s="53"/>
      <c r="K172" s="53"/>
      <c r="L172" s="53"/>
      <c r="M172" s="53"/>
      <c r="N172" s="54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48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48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48"/>
      <c r="AY172" s="5"/>
      <c r="AZ172" s="5"/>
      <c r="BA172" s="5"/>
      <c r="BB172" s="5"/>
      <c r="BC172" s="5"/>
      <c r="BD172" s="5"/>
      <c r="BE172" s="5"/>
      <c r="BF172" s="58">
        <f>SUM(BF170:BF171)</f>
        <v>-2089416.4384399324</v>
      </c>
      <c r="BG172" s="5"/>
    </row>
    <row r="173" spans="1:59" ht="15.75" customHeight="1" collapsed="1">
      <c r="A173" s="27"/>
      <c r="B173" s="27"/>
      <c r="C173" s="57"/>
      <c r="D173" s="55"/>
      <c r="E173" s="52"/>
      <c r="F173" s="53"/>
      <c r="G173" s="53"/>
      <c r="H173" s="53"/>
      <c r="I173" s="53"/>
      <c r="J173" s="53"/>
      <c r="K173" s="53"/>
      <c r="L173" s="53"/>
      <c r="M173" s="53"/>
      <c r="N173" s="54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48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48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48"/>
      <c r="AY173" s="5"/>
      <c r="AZ173" s="5"/>
      <c r="BA173" s="5"/>
      <c r="BB173" s="5"/>
      <c r="BC173" s="5"/>
      <c r="BD173" s="5"/>
      <c r="BE173" s="5"/>
      <c r="BF173" s="58"/>
      <c r="BG173" s="5"/>
    </row>
    <row r="174" spans="1:59" ht="15.75" customHeight="1">
      <c r="A174" s="27" t="s">
        <v>45</v>
      </c>
      <c r="B174" s="27" t="s">
        <v>48</v>
      </c>
      <c r="C174" s="27">
        <v>5</v>
      </c>
      <c r="D174" s="51" t="s">
        <v>29</v>
      </c>
      <c r="E174" s="52"/>
      <c r="F174" s="53"/>
      <c r="G174" s="53"/>
      <c r="H174" s="53"/>
      <c r="I174" s="53"/>
      <c r="J174" s="53"/>
      <c r="K174" s="53"/>
      <c r="L174" s="53"/>
      <c r="M174" s="53"/>
      <c r="N174" s="54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48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48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48"/>
      <c r="AY174" s="5">
        <f>Deferral!BC85</f>
        <v>-225921.77646297481</v>
      </c>
      <c r="AZ174" s="5">
        <f>Deferral!BD85</f>
        <v>-272357.30862767523</v>
      </c>
      <c r="BA174" s="5">
        <f>Deferral!BE85</f>
        <v>-165771.52193129499</v>
      </c>
      <c r="BB174" s="5">
        <f>Deferral!BF85</f>
        <v>-239278.69259705537</v>
      </c>
      <c r="BC174" s="5">
        <f>Deferral!BG85</f>
        <v>-104951.13718374984</v>
      </c>
      <c r="BD174" s="5">
        <f>Deferral!BH85</f>
        <v>-385138.64736455597</v>
      </c>
      <c r="BE174" s="5">
        <f>Deferral!BI85+Deferral!BJ85</f>
        <v>-237822.22368892678</v>
      </c>
      <c r="BF174" s="58">
        <f>Deferral!BK85+Deferral!BL85</f>
        <v>-67005.429985652299</v>
      </c>
      <c r="BG174" s="5">
        <f>Deferral!BM85</f>
        <v>-329435.33661956794</v>
      </c>
    </row>
    <row r="175" spans="1:59" ht="15.75" customHeight="1">
      <c r="A175" s="27" t="s">
        <v>45</v>
      </c>
      <c r="B175" s="27" t="s">
        <v>48</v>
      </c>
      <c r="C175" s="27">
        <v>5</v>
      </c>
      <c r="D175" s="55" t="s">
        <v>30</v>
      </c>
      <c r="E175" s="52"/>
      <c r="F175" s="53"/>
      <c r="G175" s="53"/>
      <c r="H175" s="53"/>
      <c r="I175" s="53"/>
      <c r="J175" s="53"/>
      <c r="K175" s="53"/>
      <c r="L175" s="53"/>
      <c r="M175" s="53"/>
      <c r="N175" s="54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48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48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48"/>
      <c r="AY175" s="5">
        <f>AY174/2*AY$399</f>
        <v>-327.58657587131347</v>
      </c>
      <c r="AZ175" s="5">
        <f t="shared" ref="AZ175:BG175" si="84">(AY176+AZ174/2)*AZ$399</f>
        <v>-1051.0412503227826</v>
      </c>
      <c r="BA175" s="5">
        <f t="shared" si="84"/>
        <v>-1631.1217268709763</v>
      </c>
      <c r="BB175" s="5">
        <f t="shared" si="84"/>
        <v>-2202.7591680459059</v>
      </c>
      <c r="BC175" s="5">
        <f t="shared" si="84"/>
        <v>-2594.746917716363</v>
      </c>
      <c r="BD175" s="5">
        <f t="shared" si="84"/>
        <v>-3384.2396451467953</v>
      </c>
      <c r="BE175" s="5">
        <f t="shared" si="84"/>
        <v>-4265.8607356280827</v>
      </c>
      <c r="BF175" s="58">
        <f t="shared" si="84"/>
        <v>-4200.5034471716535</v>
      </c>
      <c r="BG175" s="5">
        <f t="shared" si="84"/>
        <v>-5271.3423437316414</v>
      </c>
    </row>
    <row r="176" spans="1:59" ht="15.75" customHeight="1">
      <c r="A176" s="27" t="s">
        <v>45</v>
      </c>
      <c r="B176" s="27" t="s">
        <v>48</v>
      </c>
      <c r="C176" s="27">
        <v>5</v>
      </c>
      <c r="D176" s="51" t="s">
        <v>31</v>
      </c>
      <c r="E176" s="52"/>
      <c r="F176" s="53"/>
      <c r="G176" s="53"/>
      <c r="H176" s="53"/>
      <c r="I176" s="53"/>
      <c r="J176" s="53"/>
      <c r="K176" s="53"/>
      <c r="L176" s="53"/>
      <c r="M176" s="53"/>
      <c r="N176" s="5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48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48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48"/>
      <c r="AY176" s="5">
        <f>SUM(AY174:AY175)</f>
        <v>-226249.36303884612</v>
      </c>
      <c r="AZ176" s="5">
        <f>AY176+SUM(AZ174:AZ175)</f>
        <v>-499657.71291684412</v>
      </c>
      <c r="BA176" s="5">
        <f t="shared" ref="BA176" si="85">AZ176+SUM(BA174:BA175)</f>
        <v>-667060.35657501011</v>
      </c>
      <c r="BB176" s="5">
        <f t="shared" ref="BB176:BG176" si="86">BA176+SUM(BB174:BB175)</f>
        <v>-908541.8083401114</v>
      </c>
      <c r="BC176" s="5">
        <f t="shared" si="86"/>
        <v>-1016087.6924415776</v>
      </c>
      <c r="BD176" s="5">
        <f t="shared" si="86"/>
        <v>-1404610.5794512804</v>
      </c>
      <c r="BE176" s="5">
        <f t="shared" si="86"/>
        <v>-1646698.6638758352</v>
      </c>
      <c r="BF176" s="58">
        <f t="shared" si="86"/>
        <v>-1717904.5973086592</v>
      </c>
      <c r="BG176" s="5">
        <f t="shared" si="86"/>
        <v>-2052611.2762719588</v>
      </c>
    </row>
    <row r="177" spans="1:59" ht="15.75" hidden="1" customHeight="1" outlineLevel="1">
      <c r="A177" s="27" t="s">
        <v>45</v>
      </c>
      <c r="B177" s="27" t="s">
        <v>48</v>
      </c>
      <c r="C177" s="27">
        <v>5</v>
      </c>
      <c r="D177" s="55" t="s">
        <v>38</v>
      </c>
      <c r="E177" s="52"/>
      <c r="F177" s="53"/>
      <c r="G177" s="53"/>
      <c r="H177" s="53"/>
      <c r="I177" s="53"/>
      <c r="J177" s="53"/>
      <c r="K177" s="53"/>
      <c r="L177" s="53"/>
      <c r="M177" s="53"/>
      <c r="N177" s="54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48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48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48"/>
      <c r="AY177" s="5"/>
      <c r="AZ177" s="5"/>
      <c r="BA177" s="5"/>
      <c r="BB177" s="5"/>
      <c r="BC177" s="5"/>
      <c r="BD177" s="5"/>
      <c r="BE177" s="5"/>
      <c r="BF177" s="58"/>
      <c r="BG177" s="5"/>
    </row>
    <row r="178" spans="1:59" ht="15.75" hidden="1" customHeight="1" outlineLevel="1">
      <c r="A178" s="27" t="s">
        <v>45</v>
      </c>
      <c r="B178" s="27" t="s">
        <v>48</v>
      </c>
      <c r="C178" s="27">
        <v>5</v>
      </c>
      <c r="D178" s="55" t="s">
        <v>39</v>
      </c>
      <c r="E178" s="52"/>
      <c r="F178" s="53"/>
      <c r="G178" s="53"/>
      <c r="H178" s="53"/>
      <c r="I178" s="53"/>
      <c r="J178" s="53"/>
      <c r="K178" s="53"/>
      <c r="L178" s="53"/>
      <c r="M178" s="53"/>
      <c r="N178" s="54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48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48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48"/>
      <c r="AY178" s="5"/>
      <c r="AZ178" s="5"/>
      <c r="BA178" s="5"/>
      <c r="BB178" s="5"/>
      <c r="BC178" s="5"/>
      <c r="BD178" s="5"/>
      <c r="BE178" s="5"/>
      <c r="BF178" s="58"/>
      <c r="BG178" s="5"/>
    </row>
    <row r="179" spans="1:59" ht="15.75" hidden="1" customHeight="1" outlineLevel="1">
      <c r="A179" s="27"/>
      <c r="B179" s="27"/>
      <c r="C179" s="27"/>
      <c r="D179" s="55"/>
      <c r="E179" s="52"/>
      <c r="F179" s="53"/>
      <c r="G179" s="53"/>
      <c r="H179" s="53"/>
      <c r="I179" s="53"/>
      <c r="J179" s="53"/>
      <c r="K179" s="53"/>
      <c r="L179" s="53"/>
      <c r="M179" s="53"/>
      <c r="N179" s="54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48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48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48"/>
      <c r="AY179" s="5"/>
      <c r="AZ179" s="5"/>
      <c r="BA179" s="5"/>
      <c r="BB179" s="5"/>
      <c r="BC179" s="5"/>
      <c r="BD179" s="5"/>
      <c r="BE179" s="5"/>
      <c r="BF179" s="58"/>
      <c r="BG179" s="5"/>
    </row>
    <row r="180" spans="1:59" ht="15.75" hidden="1" customHeight="1" outlineLevel="1">
      <c r="A180" s="27" t="s">
        <v>45</v>
      </c>
      <c r="B180" s="27" t="s">
        <v>48</v>
      </c>
      <c r="C180" s="27">
        <v>6</v>
      </c>
      <c r="D180" s="51" t="s">
        <v>29</v>
      </c>
      <c r="E180" s="52"/>
      <c r="F180" s="53"/>
      <c r="G180" s="53"/>
      <c r="H180" s="53"/>
      <c r="I180" s="53"/>
      <c r="J180" s="53"/>
      <c r="K180" s="53"/>
      <c r="L180" s="53"/>
      <c r="M180" s="53"/>
      <c r="N180" s="54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48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48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48"/>
      <c r="AY180" s="5"/>
      <c r="AZ180" s="5"/>
      <c r="BA180" s="5"/>
      <c r="BB180" s="5"/>
      <c r="BC180" s="5"/>
      <c r="BD180" s="5"/>
      <c r="BE180" s="5"/>
      <c r="BF180" s="58"/>
      <c r="BG180" s="5"/>
    </row>
    <row r="181" spans="1:59" ht="15.75" hidden="1" customHeight="1" outlineLevel="1">
      <c r="A181" s="27" t="s">
        <v>45</v>
      </c>
      <c r="B181" s="27" t="s">
        <v>48</v>
      </c>
      <c r="C181" s="27">
        <v>6</v>
      </c>
      <c r="D181" s="55" t="s">
        <v>30</v>
      </c>
      <c r="E181" s="52"/>
      <c r="F181" s="53"/>
      <c r="G181" s="53"/>
      <c r="H181" s="53"/>
      <c r="I181" s="53"/>
      <c r="J181" s="53"/>
      <c r="K181" s="53"/>
      <c r="L181" s="53"/>
      <c r="M181" s="53"/>
      <c r="N181" s="54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48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48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48"/>
      <c r="AY181" s="5"/>
      <c r="AZ181" s="5"/>
      <c r="BA181" s="5"/>
      <c r="BB181" s="5"/>
      <c r="BC181" s="5"/>
      <c r="BD181" s="5"/>
      <c r="BE181" s="5"/>
      <c r="BF181" s="58"/>
      <c r="BG181" s="5"/>
    </row>
    <row r="182" spans="1:59" ht="15.75" hidden="1" customHeight="1" outlineLevel="1">
      <c r="A182" s="27" t="s">
        <v>45</v>
      </c>
      <c r="B182" s="27" t="s">
        <v>48</v>
      </c>
      <c r="C182" s="27">
        <v>6</v>
      </c>
      <c r="D182" s="51" t="s">
        <v>31</v>
      </c>
      <c r="E182" s="52"/>
      <c r="F182" s="53"/>
      <c r="G182" s="53"/>
      <c r="H182" s="53"/>
      <c r="I182" s="53"/>
      <c r="J182" s="53"/>
      <c r="K182" s="53"/>
      <c r="L182" s="53"/>
      <c r="M182" s="53"/>
      <c r="N182" s="54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48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48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48"/>
      <c r="AY182" s="5"/>
      <c r="AZ182" s="5"/>
      <c r="BA182" s="5"/>
      <c r="BB182" s="5"/>
      <c r="BC182" s="5"/>
      <c r="BD182" s="5"/>
      <c r="BE182" s="5"/>
      <c r="BF182" s="58"/>
      <c r="BG182" s="5"/>
    </row>
    <row r="183" spans="1:59" ht="15.75" hidden="1" customHeight="1" outlineLevel="1">
      <c r="A183" s="27" t="s">
        <v>45</v>
      </c>
      <c r="B183" s="27" t="s">
        <v>48</v>
      </c>
      <c r="C183" s="27">
        <v>6</v>
      </c>
      <c r="D183" s="55" t="s">
        <v>38</v>
      </c>
      <c r="E183" s="52"/>
      <c r="F183" s="53"/>
      <c r="G183" s="53"/>
      <c r="H183" s="53"/>
      <c r="I183" s="53"/>
      <c r="J183" s="53"/>
      <c r="K183" s="53"/>
      <c r="L183" s="53"/>
      <c r="M183" s="53"/>
      <c r="N183" s="54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48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48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48"/>
      <c r="AY183" s="5"/>
      <c r="AZ183" s="5"/>
      <c r="BA183" s="5"/>
      <c r="BB183" s="5"/>
      <c r="BC183" s="5"/>
      <c r="BD183" s="5"/>
      <c r="BE183" s="5"/>
      <c r="BF183" s="58"/>
      <c r="BG183" s="5"/>
    </row>
    <row r="184" spans="1:59" ht="15.75" hidden="1" customHeight="1" outlineLevel="1">
      <c r="A184" s="27" t="s">
        <v>45</v>
      </c>
      <c r="B184" s="27" t="s">
        <v>48</v>
      </c>
      <c r="C184" s="27">
        <v>6</v>
      </c>
      <c r="D184" s="55" t="s">
        <v>40</v>
      </c>
      <c r="E184" s="52"/>
      <c r="F184" s="53"/>
      <c r="G184" s="53"/>
      <c r="H184" s="53"/>
      <c r="I184" s="53"/>
      <c r="J184" s="53"/>
      <c r="K184" s="53"/>
      <c r="L184" s="53"/>
      <c r="M184" s="53"/>
      <c r="N184" s="54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48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48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48"/>
      <c r="AY184" s="5"/>
      <c r="AZ184" s="5"/>
      <c r="BA184" s="5"/>
      <c r="BB184" s="5"/>
      <c r="BC184" s="5"/>
      <c r="BD184" s="5"/>
      <c r="BE184" s="5"/>
      <c r="BF184" s="58"/>
      <c r="BG184" s="5"/>
    </row>
    <row r="185" spans="1:59" ht="15.75" hidden="1" customHeight="1" outlineLevel="1">
      <c r="A185" s="27"/>
      <c r="B185" s="27"/>
      <c r="C185" s="27"/>
      <c r="D185" s="55"/>
      <c r="E185" s="52"/>
      <c r="F185" s="53"/>
      <c r="G185" s="53"/>
      <c r="H185" s="53"/>
      <c r="I185" s="53"/>
      <c r="J185" s="53"/>
      <c r="K185" s="53"/>
      <c r="L185" s="53"/>
      <c r="M185" s="53"/>
      <c r="N185" s="54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48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48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48"/>
      <c r="AY185" s="5"/>
      <c r="AZ185" s="5"/>
      <c r="BA185" s="5"/>
      <c r="BB185" s="5"/>
      <c r="BC185" s="5"/>
      <c r="BD185" s="5"/>
      <c r="BE185" s="5"/>
      <c r="BF185" s="58"/>
      <c r="BG185" s="5"/>
    </row>
    <row r="186" spans="1:59" ht="15.75" hidden="1" customHeight="1" outlineLevel="1">
      <c r="A186" s="27" t="s">
        <v>45</v>
      </c>
      <c r="B186" s="27" t="s">
        <v>48</v>
      </c>
      <c r="C186" s="27">
        <v>7</v>
      </c>
      <c r="D186" s="51" t="s">
        <v>29</v>
      </c>
      <c r="E186" s="52"/>
      <c r="F186" s="53"/>
      <c r="G186" s="53"/>
      <c r="H186" s="53"/>
      <c r="I186" s="53"/>
      <c r="J186" s="53"/>
      <c r="K186" s="53"/>
      <c r="L186" s="53"/>
      <c r="M186" s="53"/>
      <c r="N186" s="54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48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48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48"/>
      <c r="AY186" s="5"/>
      <c r="AZ186" s="5"/>
      <c r="BA186" s="5"/>
      <c r="BB186" s="5"/>
      <c r="BC186" s="5"/>
      <c r="BD186" s="5"/>
      <c r="BE186" s="5"/>
      <c r="BF186" s="58"/>
      <c r="BG186" s="5"/>
    </row>
    <row r="187" spans="1:59" ht="15.75" hidden="1" customHeight="1" outlineLevel="1">
      <c r="A187" s="27" t="s">
        <v>45</v>
      </c>
      <c r="B187" s="27" t="s">
        <v>48</v>
      </c>
      <c r="C187" s="27">
        <v>7</v>
      </c>
      <c r="D187" s="55" t="s">
        <v>30</v>
      </c>
      <c r="E187" s="52"/>
      <c r="F187" s="53"/>
      <c r="G187" s="53"/>
      <c r="H187" s="53"/>
      <c r="I187" s="53"/>
      <c r="J187" s="53"/>
      <c r="K187" s="53"/>
      <c r="L187" s="53"/>
      <c r="M187" s="53"/>
      <c r="N187" s="54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48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48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48"/>
      <c r="AY187" s="5"/>
      <c r="AZ187" s="5"/>
      <c r="BA187" s="5"/>
      <c r="BB187" s="5"/>
      <c r="BC187" s="5"/>
      <c r="BD187" s="5"/>
      <c r="BE187" s="5"/>
      <c r="BF187" s="58"/>
      <c r="BG187" s="5"/>
    </row>
    <row r="188" spans="1:59" ht="15.75" hidden="1" customHeight="1" outlineLevel="1">
      <c r="A188" s="27" t="s">
        <v>45</v>
      </c>
      <c r="B188" s="27" t="s">
        <v>48</v>
      </c>
      <c r="C188" s="27">
        <v>7</v>
      </c>
      <c r="D188" s="51" t="s">
        <v>31</v>
      </c>
      <c r="E188" s="52"/>
      <c r="F188" s="53"/>
      <c r="G188" s="53"/>
      <c r="H188" s="53"/>
      <c r="I188" s="53"/>
      <c r="J188" s="53"/>
      <c r="K188" s="53"/>
      <c r="L188" s="53"/>
      <c r="M188" s="53"/>
      <c r="N188" s="54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48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48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48"/>
      <c r="AY188" s="5"/>
      <c r="AZ188" s="5"/>
      <c r="BA188" s="5"/>
      <c r="BB188" s="5"/>
      <c r="BC188" s="5"/>
      <c r="BD188" s="5"/>
      <c r="BE188" s="5"/>
      <c r="BF188" s="58"/>
      <c r="BG188" s="5"/>
    </row>
    <row r="189" spans="1:59" ht="15.75" hidden="1" customHeight="1" outlineLevel="1">
      <c r="A189" s="27" t="s">
        <v>45</v>
      </c>
      <c r="B189" s="27" t="s">
        <v>48</v>
      </c>
      <c r="C189" s="27">
        <v>7</v>
      </c>
      <c r="D189" s="55" t="s">
        <v>38</v>
      </c>
      <c r="E189" s="52"/>
      <c r="F189" s="53"/>
      <c r="G189" s="53"/>
      <c r="H189" s="53"/>
      <c r="I189" s="53"/>
      <c r="J189" s="53"/>
      <c r="K189" s="53"/>
      <c r="L189" s="53"/>
      <c r="M189" s="53"/>
      <c r="N189" s="54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48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48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48"/>
      <c r="AY189" s="5"/>
      <c r="AZ189" s="5"/>
      <c r="BA189" s="5"/>
      <c r="BB189" s="5"/>
      <c r="BC189" s="5"/>
      <c r="BD189" s="5"/>
      <c r="BE189" s="5"/>
      <c r="BF189" s="58"/>
      <c r="BG189" s="5"/>
    </row>
    <row r="190" spans="1:59" ht="15.75" hidden="1" customHeight="1" outlineLevel="1">
      <c r="A190" s="27" t="s">
        <v>45</v>
      </c>
      <c r="B190" s="27" t="s">
        <v>48</v>
      </c>
      <c r="C190" s="27">
        <v>7</v>
      </c>
      <c r="D190" s="55" t="s">
        <v>41</v>
      </c>
      <c r="E190" s="52"/>
      <c r="F190" s="53"/>
      <c r="G190" s="53"/>
      <c r="H190" s="53"/>
      <c r="I190" s="53"/>
      <c r="J190" s="53"/>
      <c r="K190" s="53"/>
      <c r="L190" s="53"/>
      <c r="M190" s="53"/>
      <c r="N190" s="54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48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48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48"/>
      <c r="AY190" s="5"/>
      <c r="AZ190" s="5"/>
      <c r="BA190" s="5"/>
      <c r="BB190" s="5"/>
      <c r="BC190" s="5"/>
      <c r="BD190" s="5"/>
      <c r="BE190" s="5"/>
      <c r="BF190" s="58"/>
      <c r="BG190" s="5"/>
    </row>
    <row r="191" spans="1:59" ht="15.75" hidden="1" customHeight="1" outlineLevel="1">
      <c r="A191" s="27"/>
      <c r="B191" s="27"/>
      <c r="C191" s="57"/>
      <c r="D191" s="55"/>
      <c r="E191" s="52"/>
      <c r="F191" s="53"/>
      <c r="G191" s="53"/>
      <c r="H191" s="53"/>
      <c r="I191" s="53"/>
      <c r="J191" s="53"/>
      <c r="K191" s="53"/>
      <c r="L191" s="53"/>
      <c r="M191" s="53"/>
      <c r="N191" s="54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48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48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48"/>
      <c r="AY191" s="5"/>
      <c r="AZ191" s="5"/>
      <c r="BA191" s="5"/>
      <c r="BB191" s="5"/>
      <c r="BC191" s="5"/>
      <c r="BD191" s="5"/>
      <c r="BE191" s="5"/>
      <c r="BF191" s="58"/>
      <c r="BG191" s="5"/>
    </row>
    <row r="192" spans="1:59" ht="15.75" customHeight="1" collapsed="1">
      <c r="A192" s="27"/>
      <c r="B192" s="27"/>
      <c r="C192" s="57"/>
      <c r="D192" s="55"/>
      <c r="E192" s="52"/>
      <c r="F192" s="53"/>
      <c r="G192" s="53"/>
      <c r="H192" s="53"/>
      <c r="I192" s="53"/>
      <c r="J192" s="53"/>
      <c r="K192" s="53"/>
      <c r="L192" s="53"/>
      <c r="M192" s="53"/>
      <c r="N192" s="54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48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48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48"/>
      <c r="AY192" s="5"/>
      <c r="AZ192" s="5"/>
      <c r="BA192" s="5"/>
      <c r="BB192" s="5"/>
      <c r="BC192" s="5"/>
      <c r="BD192" s="5"/>
      <c r="BE192" s="5"/>
      <c r="BF192" s="58"/>
      <c r="BG192" s="5"/>
    </row>
    <row r="193" spans="1:59" ht="15.75" customHeight="1">
      <c r="A193" s="27" t="s">
        <v>45</v>
      </c>
      <c r="B193" s="27" t="s">
        <v>48</v>
      </c>
      <c r="C193" s="60"/>
      <c r="D193" s="55" t="s">
        <v>42</v>
      </c>
      <c r="E193" s="49">
        <f t="shared" ref="E193:BG193" si="87">E146+E99</f>
        <v>0</v>
      </c>
      <c r="F193" s="5">
        <f t="shared" si="87"/>
        <v>0</v>
      </c>
      <c r="G193" s="5">
        <f t="shared" si="87"/>
        <v>0</v>
      </c>
      <c r="H193" s="5">
        <f t="shared" si="87"/>
        <v>0</v>
      </c>
      <c r="I193" s="5">
        <f t="shared" si="87"/>
        <v>0</v>
      </c>
      <c r="J193" s="5">
        <f t="shared" si="87"/>
        <v>0</v>
      </c>
      <c r="K193" s="5">
        <f t="shared" si="87"/>
        <v>0</v>
      </c>
      <c r="L193" s="5">
        <f t="shared" si="87"/>
        <v>0</v>
      </c>
      <c r="M193" s="5">
        <f t="shared" si="87"/>
        <v>0</v>
      </c>
      <c r="N193" s="48">
        <f t="shared" si="87"/>
        <v>0</v>
      </c>
      <c r="O193" s="5">
        <f t="shared" si="87"/>
        <v>0</v>
      </c>
      <c r="P193" s="5">
        <f t="shared" si="87"/>
        <v>0</v>
      </c>
      <c r="Q193" s="5">
        <f t="shared" si="87"/>
        <v>0</v>
      </c>
      <c r="R193" s="5">
        <f t="shared" si="87"/>
        <v>0</v>
      </c>
      <c r="S193" s="5">
        <f t="shared" si="87"/>
        <v>0</v>
      </c>
      <c r="T193" s="5">
        <f t="shared" si="87"/>
        <v>0</v>
      </c>
      <c r="U193" s="5">
        <f t="shared" si="87"/>
        <v>0</v>
      </c>
      <c r="V193" s="5">
        <f t="shared" si="87"/>
        <v>0</v>
      </c>
      <c r="W193" s="5">
        <f t="shared" si="87"/>
        <v>0</v>
      </c>
      <c r="X193" s="5">
        <f t="shared" si="87"/>
        <v>0</v>
      </c>
      <c r="Y193" s="5">
        <f t="shared" si="87"/>
        <v>0</v>
      </c>
      <c r="Z193" s="48">
        <f t="shared" si="87"/>
        <v>0</v>
      </c>
      <c r="AA193" s="5">
        <f t="shared" si="87"/>
        <v>0</v>
      </c>
      <c r="AB193" s="5">
        <f t="shared" si="87"/>
        <v>0</v>
      </c>
      <c r="AC193" s="5">
        <f t="shared" si="87"/>
        <v>0</v>
      </c>
      <c r="AD193" s="5">
        <f t="shared" si="87"/>
        <v>0</v>
      </c>
      <c r="AE193" s="5">
        <f t="shared" si="87"/>
        <v>0</v>
      </c>
      <c r="AF193" s="5">
        <f t="shared" si="87"/>
        <v>0</v>
      </c>
      <c r="AG193" s="5">
        <f t="shared" si="87"/>
        <v>0</v>
      </c>
      <c r="AH193" s="5">
        <f t="shared" si="87"/>
        <v>-41487.688795017282</v>
      </c>
      <c r="AI193" s="5">
        <f t="shared" si="87"/>
        <v>-95417.541514687269</v>
      </c>
      <c r="AJ193" s="5">
        <f t="shared" si="87"/>
        <v>-76772.532129999992</v>
      </c>
      <c r="AK193" s="5">
        <f t="shared" si="87"/>
        <v>-73790.57710000001</v>
      </c>
      <c r="AL193" s="48">
        <f t="shared" si="87"/>
        <v>-81455.382270000002</v>
      </c>
      <c r="AM193" s="5">
        <f t="shared" si="87"/>
        <v>-88941.329310000001</v>
      </c>
      <c r="AN193" s="5">
        <f t="shared" si="87"/>
        <v>-95541.722040000008</v>
      </c>
      <c r="AO193" s="5">
        <f t="shared" si="87"/>
        <v>-94119.457730000009</v>
      </c>
      <c r="AP193" s="5">
        <f t="shared" si="87"/>
        <v>-79059.245250000007</v>
      </c>
      <c r="AQ193" s="5">
        <f t="shared" si="87"/>
        <v>-81870.916140000001</v>
      </c>
      <c r="AR193" s="5">
        <f t="shared" si="87"/>
        <v>-99543.850089999993</v>
      </c>
      <c r="AS193" s="5">
        <f t="shared" si="87"/>
        <v>-97517.752650000009</v>
      </c>
      <c r="AT193" s="5">
        <f t="shared" si="87"/>
        <v>-117791.7742282793</v>
      </c>
      <c r="AU193" s="5">
        <f t="shared" si="87"/>
        <v>-142596.59821220941</v>
      </c>
      <c r="AV193" s="5">
        <f t="shared" si="87"/>
        <v>-125071.10856750433</v>
      </c>
      <c r="AW193" s="5">
        <f t="shared" si="87"/>
        <v>-117544.2439</v>
      </c>
      <c r="AX193" s="48">
        <f t="shared" si="87"/>
        <v>-127426.50605</v>
      </c>
      <c r="AY193" s="5">
        <f t="shared" si="87"/>
        <v>-143530.0398</v>
      </c>
      <c r="AZ193" s="5">
        <f t="shared" si="87"/>
        <v>-165060.45295000001</v>
      </c>
      <c r="BA193" s="5">
        <f t="shared" si="87"/>
        <v>-158458.21265</v>
      </c>
      <c r="BB193" s="5">
        <f t="shared" si="87"/>
        <v>-138251.60225000003</v>
      </c>
      <c r="BC193" s="5">
        <f t="shared" si="87"/>
        <v>-142188.7065</v>
      </c>
      <c r="BD193" s="5">
        <f t="shared" si="87"/>
        <v>-169020.19315000001</v>
      </c>
      <c r="BE193" s="5">
        <f t="shared" si="87"/>
        <v>-167662.28405000002</v>
      </c>
      <c r="BF193" s="58">
        <f t="shared" si="87"/>
        <v>-51777.68150860977</v>
      </c>
      <c r="BG193" s="58">
        <f t="shared" si="87"/>
        <v>77689.143246674372</v>
      </c>
    </row>
    <row r="194" spans="1:59" ht="15.75" customHeight="1">
      <c r="A194" s="27" t="s">
        <v>45</v>
      </c>
      <c r="B194" s="27" t="s">
        <v>48</v>
      </c>
      <c r="C194" s="60"/>
      <c r="D194" s="55" t="s">
        <v>43</v>
      </c>
      <c r="E194" s="49">
        <v>0</v>
      </c>
      <c r="F194" s="5">
        <f>(E195+F154+F160+F166+F172+F178+F184+F190+F193/2)*F$399</f>
        <v>0</v>
      </c>
      <c r="G194" s="5">
        <f t="shared" ref="G194:BG194" si="88">(F195+G154+G160+G166+G172+G178+G184+G190+G193/2)*G$399</f>
        <v>0</v>
      </c>
      <c r="H194" s="5">
        <f t="shared" si="88"/>
        <v>0</v>
      </c>
      <c r="I194" s="5">
        <f t="shared" si="88"/>
        <v>0</v>
      </c>
      <c r="J194" s="5">
        <f t="shared" si="88"/>
        <v>0</v>
      </c>
      <c r="K194" s="5">
        <f t="shared" si="88"/>
        <v>0</v>
      </c>
      <c r="L194" s="5">
        <f t="shared" si="88"/>
        <v>0</v>
      </c>
      <c r="M194" s="5">
        <f t="shared" si="88"/>
        <v>0</v>
      </c>
      <c r="N194" s="48">
        <f t="shared" si="88"/>
        <v>0</v>
      </c>
      <c r="O194" s="5">
        <f t="shared" si="88"/>
        <v>2100.3492563293635</v>
      </c>
      <c r="P194" s="5">
        <f t="shared" si="88"/>
        <v>2107.490443800883</v>
      </c>
      <c r="Q194" s="5">
        <f t="shared" si="88"/>
        <v>2052.4601492124593</v>
      </c>
      <c r="R194" s="5">
        <f t="shared" si="88"/>
        <v>2246.4362920416661</v>
      </c>
      <c r="S194" s="5">
        <f t="shared" si="88"/>
        <v>2191.8978109515433</v>
      </c>
      <c r="T194" s="5">
        <f t="shared" si="88"/>
        <v>2262.4142948124418</v>
      </c>
      <c r="U194" s="5">
        <f t="shared" si="88"/>
        <v>2270.5589862737665</v>
      </c>
      <c r="V194" s="5">
        <f t="shared" si="88"/>
        <v>2088.8385820723224</v>
      </c>
      <c r="W194" s="5">
        <f t="shared" si="88"/>
        <v>2286.2528175198122</v>
      </c>
      <c r="X194" s="5">
        <f t="shared" si="88"/>
        <v>2358.2189756535195</v>
      </c>
      <c r="Y194" s="5">
        <f t="shared" si="88"/>
        <v>2430.9158557516384</v>
      </c>
      <c r="Z194" s="48">
        <f t="shared" si="88"/>
        <v>2375.9387745297181</v>
      </c>
      <c r="AA194" s="5">
        <f t="shared" si="88"/>
        <v>2578.0862140491658</v>
      </c>
      <c r="AB194" s="5">
        <f t="shared" si="88"/>
        <v>2588.3985589053623</v>
      </c>
      <c r="AC194" s="5">
        <f t="shared" si="88"/>
        <v>2533.783349312459</v>
      </c>
      <c r="AD194" s="5">
        <f t="shared" si="88"/>
        <v>2739.3316508651451</v>
      </c>
      <c r="AE194" s="5">
        <f t="shared" si="88"/>
        <v>2685.3407284702366</v>
      </c>
      <c r="AF194" s="5">
        <f t="shared" si="88"/>
        <v>2762.1152748583536</v>
      </c>
      <c r="AG194" s="5">
        <f t="shared" si="88"/>
        <v>2905.7978808705093</v>
      </c>
      <c r="AH194" s="5">
        <f t="shared" si="88"/>
        <v>4024.1172092453285</v>
      </c>
      <c r="AI194" s="5">
        <f t="shared" si="88"/>
        <v>4143.0435392091913</v>
      </c>
      <c r="AJ194" s="5">
        <f t="shared" si="88"/>
        <v>3868.4196498716578</v>
      </c>
      <c r="AK194" s="5">
        <f t="shared" si="88"/>
        <v>3625.8841101403268</v>
      </c>
      <c r="AL194" s="48">
        <f t="shared" si="88"/>
        <v>3214.0736124417126</v>
      </c>
      <c r="AM194" s="5">
        <f t="shared" si="88"/>
        <v>2971.5952023157092</v>
      </c>
      <c r="AN194" s="5">
        <f t="shared" si="88"/>
        <v>2552.0265290940929</v>
      </c>
      <c r="AO194" s="5">
        <f t="shared" si="88"/>
        <v>2028.1761204140437</v>
      </c>
      <c r="AP194" s="5">
        <f t="shared" si="88"/>
        <v>1684.2652941675938</v>
      </c>
      <c r="AQ194" s="5">
        <f t="shared" si="88"/>
        <v>1293.1371619471611</v>
      </c>
      <c r="AR194" s="5">
        <f t="shared" si="88"/>
        <v>910.56801193972183</v>
      </c>
      <c r="AS194" s="5">
        <f t="shared" si="88"/>
        <v>421.38320471067539</v>
      </c>
      <c r="AT194" s="5">
        <f t="shared" si="88"/>
        <v>6746.2814371416362</v>
      </c>
      <c r="AU194" s="5">
        <f t="shared" si="88"/>
        <v>6746.7449629865769</v>
      </c>
      <c r="AV194" s="5">
        <f t="shared" si="88"/>
        <v>5769.1948856227427</v>
      </c>
      <c r="AW194" s="5">
        <f t="shared" si="88"/>
        <v>5454.9690342205522</v>
      </c>
      <c r="AX194" s="48">
        <f t="shared" si="88"/>
        <v>4862.1762251959981</v>
      </c>
      <c r="AY194" s="5">
        <f t="shared" si="88"/>
        <v>3236.6776921522082</v>
      </c>
      <c r="AZ194" s="5">
        <f t="shared" si="88"/>
        <v>2798.6078429719496</v>
      </c>
      <c r="BA194" s="5">
        <f t="shared" si="88"/>
        <v>2257.0140943691003</v>
      </c>
      <c r="BB194" s="5">
        <f t="shared" si="88"/>
        <v>1847.9399929733338</v>
      </c>
      <c r="BC194" s="5">
        <f t="shared" si="88"/>
        <v>1408.3371572499573</v>
      </c>
      <c r="BD194" s="5">
        <f t="shared" si="88"/>
        <v>1028.7486772339591</v>
      </c>
      <c r="BE194" s="5">
        <f t="shared" si="88"/>
        <v>560.27370545021427</v>
      </c>
      <c r="BF194" s="58">
        <f t="shared" si="88"/>
        <v>-4996.1959889182044</v>
      </c>
      <c r="BG194" s="5">
        <f t="shared" si="88"/>
        <v>-5573.4528099240697</v>
      </c>
    </row>
    <row r="195" spans="1:59" ht="15.75" customHeight="1">
      <c r="A195" s="38" t="s">
        <v>45</v>
      </c>
      <c r="B195" s="38" t="s">
        <v>48</v>
      </c>
      <c r="C195" s="61"/>
      <c r="D195" s="62" t="s">
        <v>44</v>
      </c>
      <c r="E195" s="63">
        <v>0</v>
      </c>
      <c r="F195" s="56">
        <f>E195+F154+F160+F166+F172+F178+F193+F194+F184+F190</f>
        <v>0</v>
      </c>
      <c r="G195" s="56">
        <f t="shared" ref="G195:BG195" si="89">F195+G154+G160+G166+G172+G178+G193+G194+G184+G190</f>
        <v>0</v>
      </c>
      <c r="H195" s="56">
        <f t="shared" si="89"/>
        <v>0</v>
      </c>
      <c r="I195" s="56">
        <f t="shared" si="89"/>
        <v>0</v>
      </c>
      <c r="J195" s="56">
        <f t="shared" si="89"/>
        <v>0</v>
      </c>
      <c r="K195" s="56">
        <f t="shared" si="89"/>
        <v>0</v>
      </c>
      <c r="L195" s="56">
        <f t="shared" si="89"/>
        <v>0</v>
      </c>
      <c r="M195" s="56">
        <f t="shared" si="89"/>
        <v>0</v>
      </c>
      <c r="N195" s="64">
        <f t="shared" si="89"/>
        <v>0</v>
      </c>
      <c r="O195" s="56">
        <f t="shared" si="89"/>
        <v>619850.13052967156</v>
      </c>
      <c r="P195" s="56">
        <f t="shared" si="89"/>
        <v>621957.62097347248</v>
      </c>
      <c r="Q195" s="56">
        <f t="shared" si="89"/>
        <v>624010.08112268499</v>
      </c>
      <c r="R195" s="56">
        <f t="shared" si="89"/>
        <v>626256.51741472667</v>
      </c>
      <c r="S195" s="56">
        <f t="shared" si="89"/>
        <v>628448.41522567824</v>
      </c>
      <c r="T195" s="56">
        <f t="shared" si="89"/>
        <v>630710.82952049072</v>
      </c>
      <c r="U195" s="56">
        <f t="shared" si="89"/>
        <v>632981.38850676443</v>
      </c>
      <c r="V195" s="56">
        <f t="shared" si="89"/>
        <v>635070.22708883672</v>
      </c>
      <c r="W195" s="56">
        <f t="shared" si="89"/>
        <v>637356.47990635654</v>
      </c>
      <c r="X195" s="56">
        <f t="shared" si="89"/>
        <v>639714.69888201007</v>
      </c>
      <c r="Y195" s="56">
        <f t="shared" si="89"/>
        <v>642145.61473776167</v>
      </c>
      <c r="Z195" s="64">
        <f t="shared" si="89"/>
        <v>644521.5535122914</v>
      </c>
      <c r="AA195" s="56">
        <f t="shared" si="89"/>
        <v>647099.63972634054</v>
      </c>
      <c r="AB195" s="56">
        <f t="shared" si="89"/>
        <v>649688.03828524589</v>
      </c>
      <c r="AC195" s="56">
        <f t="shared" si="89"/>
        <v>652221.82163455838</v>
      </c>
      <c r="AD195" s="56">
        <f t="shared" si="89"/>
        <v>654961.15328542353</v>
      </c>
      <c r="AE195" s="56">
        <f t="shared" si="89"/>
        <v>657646.49401389377</v>
      </c>
      <c r="AF195" s="56">
        <f t="shared" si="89"/>
        <v>660408.60928875208</v>
      </c>
      <c r="AG195" s="56">
        <f t="shared" si="89"/>
        <v>663314.4071696226</v>
      </c>
      <c r="AH195" s="56">
        <f t="shared" si="89"/>
        <v>989309.57512306876</v>
      </c>
      <c r="AI195" s="56">
        <f t="shared" si="89"/>
        <v>898035.07714759069</v>
      </c>
      <c r="AJ195" s="56">
        <f t="shared" si="89"/>
        <v>825130.96466746239</v>
      </c>
      <c r="AK195" s="56">
        <f t="shared" si="89"/>
        <v>754966.27167760278</v>
      </c>
      <c r="AL195" s="64">
        <f t="shared" si="89"/>
        <v>676724.9630200445</v>
      </c>
      <c r="AM195" s="56">
        <f t="shared" si="89"/>
        <v>590755.22891236015</v>
      </c>
      <c r="AN195" s="56">
        <f t="shared" si="89"/>
        <v>497765.53340145422</v>
      </c>
      <c r="AO195" s="56">
        <f t="shared" si="89"/>
        <v>405674.25179186824</v>
      </c>
      <c r="AP195" s="56">
        <f t="shared" si="89"/>
        <v>328299.27183603583</v>
      </c>
      <c r="AQ195" s="56">
        <f t="shared" si="89"/>
        <v>247721.49285798299</v>
      </c>
      <c r="AR195" s="56">
        <f t="shared" si="89"/>
        <v>149088.21077992272</v>
      </c>
      <c r="AS195" s="56">
        <f t="shared" si="89"/>
        <v>51991.841334633391</v>
      </c>
      <c r="AT195" s="56">
        <f t="shared" si="89"/>
        <v>1677666.1474362423</v>
      </c>
      <c r="AU195" s="56">
        <f t="shared" si="89"/>
        <v>1541816.2941870196</v>
      </c>
      <c r="AV195" s="56">
        <f t="shared" si="89"/>
        <v>1422514.3805051381</v>
      </c>
      <c r="AW195" s="56">
        <f t="shared" si="89"/>
        <v>1310425.1056393585</v>
      </c>
      <c r="AX195" s="64">
        <f t="shared" si="89"/>
        <v>1187860.7758145547</v>
      </c>
      <c r="AY195" s="56">
        <f t="shared" si="89"/>
        <v>1047567.4137067068</v>
      </c>
      <c r="AZ195" s="56">
        <f t="shared" si="89"/>
        <v>885305.56859967869</v>
      </c>
      <c r="BA195" s="56">
        <f t="shared" si="89"/>
        <v>729104.37004404783</v>
      </c>
      <c r="BB195" s="56">
        <f t="shared" si="89"/>
        <v>592700.70778702118</v>
      </c>
      <c r="BC195" s="56">
        <f t="shared" si="89"/>
        <v>451920.33844427118</v>
      </c>
      <c r="BD195" s="56">
        <f t="shared" si="89"/>
        <v>283928.89397150511</v>
      </c>
      <c r="BE195" s="56">
        <f t="shared" si="89"/>
        <v>116826.88362695531</v>
      </c>
      <c r="BF195" s="59">
        <f t="shared" si="89"/>
        <v>-2029363.4323105051</v>
      </c>
      <c r="BG195" s="56">
        <f t="shared" si="89"/>
        <v>-1957247.7418737547</v>
      </c>
    </row>
    <row r="196" spans="1:59" ht="15.75" hidden="1" customHeight="1" outlineLevel="1">
      <c r="A196" s="27"/>
      <c r="B196" s="27"/>
      <c r="C196" s="60"/>
      <c r="D196" s="55"/>
      <c r="E196" s="52"/>
      <c r="F196" s="53"/>
      <c r="G196" s="53"/>
      <c r="H196" s="53"/>
      <c r="I196" s="53"/>
      <c r="J196" s="53"/>
      <c r="K196" s="53"/>
      <c r="L196" s="53"/>
      <c r="M196" s="53"/>
      <c r="N196" s="54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48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48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48"/>
      <c r="AY196" s="5"/>
      <c r="AZ196" s="5"/>
      <c r="BA196" s="5"/>
      <c r="BB196" s="5"/>
      <c r="BC196" s="5"/>
      <c r="BD196" s="5"/>
      <c r="BE196" s="5"/>
      <c r="BF196" s="58"/>
      <c r="BG196" s="5"/>
    </row>
    <row r="197" spans="1:59" ht="15.75" hidden="1" customHeight="1" outlineLevel="1">
      <c r="A197" s="27" t="s">
        <v>49</v>
      </c>
      <c r="B197" s="13" t="s">
        <v>46</v>
      </c>
      <c r="C197" s="27">
        <v>1</v>
      </c>
      <c r="D197" s="51" t="s">
        <v>29</v>
      </c>
      <c r="E197" s="49">
        <f>Deferral!G135</f>
        <v>41103.332846242411</v>
      </c>
      <c r="F197" s="5">
        <f>Deferral!H135</f>
        <v>-168896.63316467823</v>
      </c>
      <c r="G197" s="5">
        <f>Deferral!I135</f>
        <v>-275173.16125228256</v>
      </c>
      <c r="H197" s="5">
        <f>Deferral!J135</f>
        <v>-246874.73307603318</v>
      </c>
      <c r="I197" s="5">
        <f>Deferral!K135</f>
        <v>73520.940741320606</v>
      </c>
      <c r="J197" s="5">
        <f>Deferral!L135</f>
        <v>174641.21128268624</v>
      </c>
      <c r="K197" s="5">
        <f>Deferral!M135</f>
        <v>42205.401310578294</v>
      </c>
      <c r="L197" s="5">
        <f>Deferral!N135</f>
        <v>-405863.71429368469</v>
      </c>
      <c r="M197" s="5">
        <f>Deferral!O135</f>
        <v>144399.58705620875</v>
      </c>
      <c r="N197" s="48">
        <f>Deferral!P135</f>
        <v>-40849.733861820212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48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48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48"/>
      <c r="AY197" s="5"/>
      <c r="AZ197" s="5"/>
      <c r="BA197" s="5"/>
      <c r="BB197" s="5"/>
      <c r="BC197" s="5"/>
      <c r="BD197" s="5"/>
      <c r="BE197" s="5"/>
      <c r="BF197" s="58"/>
      <c r="BG197" s="5"/>
    </row>
    <row r="198" spans="1:59" ht="15.75" hidden="1" customHeight="1" outlineLevel="1">
      <c r="A198" s="27" t="s">
        <v>49</v>
      </c>
      <c r="B198" s="13" t="s">
        <v>46</v>
      </c>
      <c r="C198" s="27">
        <v>1</v>
      </c>
      <c r="D198" s="55" t="s">
        <v>30</v>
      </c>
      <c r="E198" s="52">
        <f>E197/2*E$399</f>
        <v>59.942360400770184</v>
      </c>
      <c r="F198" s="53">
        <f>(E199+F197/2)*F$399</f>
        <v>-126.24803734577982</v>
      </c>
      <c r="G198" s="53">
        <f t="shared" ref="G198:N198" si="90">(F199+G197/2)*G$399</f>
        <v>-774.21804431277269</v>
      </c>
      <c r="H198" s="53">
        <f t="shared" si="90"/>
        <v>-1537.7960261708122</v>
      </c>
      <c r="I198" s="53">
        <f t="shared" si="90"/>
        <v>-1846.3771320705596</v>
      </c>
      <c r="J198" s="53">
        <f t="shared" si="90"/>
        <v>-1331.705731887685</v>
      </c>
      <c r="K198" s="53">
        <f t="shared" si="90"/>
        <v>-1158.3982337365273</v>
      </c>
      <c r="L198" s="53">
        <f t="shared" si="90"/>
        <v>-1707.3608979123965</v>
      </c>
      <c r="M198" s="53">
        <f t="shared" si="90"/>
        <v>-2244.9911162265039</v>
      </c>
      <c r="N198" s="54">
        <f t="shared" si="90"/>
        <v>-1956.0893650194446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48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48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48"/>
      <c r="AY198" s="5"/>
      <c r="AZ198" s="5"/>
      <c r="BA198" s="5"/>
      <c r="BB198" s="5"/>
      <c r="BC198" s="5"/>
      <c r="BD198" s="5"/>
      <c r="BE198" s="5"/>
      <c r="BF198" s="58"/>
      <c r="BG198" s="5"/>
    </row>
    <row r="199" spans="1:59" ht="15.75" hidden="1" customHeight="1" outlineLevel="1">
      <c r="A199" s="27" t="s">
        <v>49</v>
      </c>
      <c r="B199" s="13" t="s">
        <v>46</v>
      </c>
      <c r="C199" s="27">
        <v>1</v>
      </c>
      <c r="D199" s="51" t="s">
        <v>31</v>
      </c>
      <c r="E199" s="52">
        <f>E197+E198</f>
        <v>41163.275206643179</v>
      </c>
      <c r="F199" s="53">
        <f>E199+SUM(F197:F198)</f>
        <v>-127859.60599538081</v>
      </c>
      <c r="G199" s="53">
        <f t="shared" ref="G199" si="91">F199+SUM(G197:G198)</f>
        <v>-403806.98529197613</v>
      </c>
      <c r="H199" s="53">
        <f t="shared" ref="H199:N199" si="92">G199+SUM(H197:H198)</f>
        <v>-652219.51439418015</v>
      </c>
      <c r="I199" s="53">
        <f t="shared" si="92"/>
        <v>-580544.95078493014</v>
      </c>
      <c r="J199" s="53">
        <f t="shared" si="92"/>
        <v>-407235.44523413159</v>
      </c>
      <c r="K199" s="53">
        <f t="shared" si="92"/>
        <v>-366188.44215728983</v>
      </c>
      <c r="L199" s="53">
        <f t="shared" si="92"/>
        <v>-773759.51734888693</v>
      </c>
      <c r="M199" s="53">
        <f t="shared" si="92"/>
        <v>-631604.92140890472</v>
      </c>
      <c r="N199" s="54">
        <f t="shared" si="92"/>
        <v>-674410.74463574437</v>
      </c>
      <c r="O199" s="5">
        <f>N199</f>
        <v>-674410.74463574437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48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48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48"/>
      <c r="AY199" s="5"/>
      <c r="AZ199" s="5"/>
      <c r="BA199" s="5"/>
      <c r="BB199" s="5"/>
      <c r="BC199" s="5"/>
      <c r="BD199" s="5"/>
      <c r="BE199" s="5"/>
      <c r="BF199" s="58"/>
      <c r="BG199" s="5"/>
    </row>
    <row r="200" spans="1:59" ht="15.75" hidden="1" customHeight="1" outlineLevel="1">
      <c r="A200" s="27" t="s">
        <v>49</v>
      </c>
      <c r="B200" s="13" t="s">
        <v>46</v>
      </c>
      <c r="C200" s="27">
        <v>1</v>
      </c>
      <c r="D200" s="55" t="s">
        <v>32</v>
      </c>
      <c r="E200" s="52"/>
      <c r="F200" s="53"/>
      <c r="G200" s="53"/>
      <c r="H200" s="53"/>
      <c r="I200" s="53"/>
      <c r="J200" s="53"/>
      <c r="K200" s="53"/>
      <c r="L200" s="53"/>
      <c r="M200" s="53"/>
      <c r="N200" s="54"/>
      <c r="O200" s="56">
        <f>O407</f>
        <v>1680388.4039125226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48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48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48"/>
      <c r="AY200" s="5"/>
      <c r="AZ200" s="5"/>
      <c r="BA200" s="5"/>
      <c r="BB200" s="5"/>
      <c r="BC200" s="5"/>
      <c r="BD200" s="5"/>
      <c r="BE200" s="5"/>
      <c r="BF200" s="58"/>
      <c r="BG200" s="5"/>
    </row>
    <row r="201" spans="1:59" ht="15.75" hidden="1" customHeight="1" outlineLevel="1">
      <c r="A201" s="27" t="s">
        <v>49</v>
      </c>
      <c r="B201" s="13" t="s">
        <v>46</v>
      </c>
      <c r="C201" s="27">
        <v>1</v>
      </c>
      <c r="D201" s="55" t="s">
        <v>33</v>
      </c>
      <c r="E201" s="52"/>
      <c r="F201" s="53"/>
      <c r="G201" s="53"/>
      <c r="H201" s="53"/>
      <c r="I201" s="53"/>
      <c r="J201" s="53"/>
      <c r="K201" s="53"/>
      <c r="L201" s="53"/>
      <c r="M201" s="53"/>
      <c r="N201" s="54"/>
      <c r="O201" s="5">
        <f>SUM(O199:O200)</f>
        <v>1005977.6592767782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48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48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48"/>
      <c r="AY201" s="5"/>
      <c r="AZ201" s="5"/>
      <c r="BA201" s="5"/>
      <c r="BB201" s="5"/>
      <c r="BC201" s="5"/>
      <c r="BD201" s="5"/>
      <c r="BE201" s="5"/>
      <c r="BF201" s="58"/>
      <c r="BG201" s="5"/>
    </row>
    <row r="202" spans="1:59" ht="15.75" hidden="1" customHeight="1" outlineLevel="1">
      <c r="A202" s="27"/>
      <c r="C202" s="27"/>
      <c r="D202" s="55"/>
      <c r="E202" s="52"/>
      <c r="F202" s="53"/>
      <c r="G202" s="53"/>
      <c r="H202" s="53"/>
      <c r="I202" s="53"/>
      <c r="J202" s="53"/>
      <c r="K202" s="53"/>
      <c r="L202" s="53"/>
      <c r="M202" s="53"/>
      <c r="N202" s="54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48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48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48"/>
      <c r="AY202" s="5"/>
      <c r="AZ202" s="5"/>
      <c r="BA202" s="5"/>
      <c r="BB202" s="5"/>
      <c r="BC202" s="5"/>
      <c r="BD202" s="5"/>
      <c r="BE202" s="5"/>
      <c r="BF202" s="58"/>
      <c r="BG202" s="5"/>
    </row>
    <row r="203" spans="1:59" ht="15.75" hidden="1" customHeight="1" outlineLevel="1">
      <c r="A203" s="27" t="s">
        <v>49</v>
      </c>
      <c r="B203" s="13" t="s">
        <v>46</v>
      </c>
      <c r="C203" s="27">
        <v>2</v>
      </c>
      <c r="D203" s="51" t="s">
        <v>29</v>
      </c>
      <c r="E203" s="52"/>
      <c r="F203" s="53"/>
      <c r="G203" s="53"/>
      <c r="H203" s="53"/>
      <c r="I203" s="53"/>
      <c r="J203" s="53"/>
      <c r="K203" s="53"/>
      <c r="L203" s="53"/>
      <c r="M203" s="53"/>
      <c r="N203" s="50"/>
      <c r="O203" s="5">
        <f>Deferral!Q135</f>
        <v>243900.96452073075</v>
      </c>
      <c r="P203" s="5">
        <f>Deferral!R135</f>
        <v>276883.36317039665</v>
      </c>
      <c r="Q203" s="5">
        <f>Deferral!S135+Deferral!T135</f>
        <v>-45831.204676705456</v>
      </c>
      <c r="R203" s="5">
        <f>Deferral!U135+Deferral!V135</f>
        <v>-389438.51826833107</v>
      </c>
      <c r="S203" s="5">
        <f>Deferral!W135</f>
        <v>-93189.986239694001</v>
      </c>
      <c r="T203" s="5">
        <f>Deferral!X135</f>
        <v>-136109.33884061643</v>
      </c>
      <c r="U203" s="5">
        <f>Deferral!Y135</f>
        <v>54347.447583586501</v>
      </c>
      <c r="V203" s="5">
        <f>Deferral!Z135</f>
        <v>-67590.468309706004</v>
      </c>
      <c r="W203" s="5">
        <f>Deferral!AA135</f>
        <v>-98132.17952447242</v>
      </c>
      <c r="X203" s="5">
        <f>Deferral!AB135</f>
        <v>-174033.52095877615</v>
      </c>
      <c r="Y203" s="5">
        <f>Deferral!AC135</f>
        <v>313579.2057995518</v>
      </c>
      <c r="Z203" s="48">
        <f>Deferral!AD135</f>
        <v>189684.80897167476</v>
      </c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48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48"/>
      <c r="AY203" s="5"/>
      <c r="AZ203" s="5"/>
      <c r="BA203" s="5"/>
      <c r="BB203" s="5"/>
      <c r="BC203" s="5"/>
      <c r="BD203" s="5"/>
      <c r="BE203" s="5"/>
      <c r="BF203" s="58"/>
      <c r="BG203" s="5"/>
    </row>
    <row r="204" spans="1:59" ht="15.75" hidden="1" customHeight="1" outlineLevel="1">
      <c r="A204" s="27" t="s">
        <v>49</v>
      </c>
      <c r="B204" s="13" t="s">
        <v>46</v>
      </c>
      <c r="C204" s="27">
        <v>2</v>
      </c>
      <c r="D204" s="55" t="s">
        <v>30</v>
      </c>
      <c r="E204" s="52"/>
      <c r="F204" s="53"/>
      <c r="G204" s="53"/>
      <c r="H204" s="53"/>
      <c r="I204" s="53"/>
      <c r="J204" s="53"/>
      <c r="K204" s="53"/>
      <c r="L204" s="53"/>
      <c r="M204" s="53"/>
      <c r="N204" s="54"/>
      <c r="O204" s="5">
        <f>O203/2*O$399</f>
        <v>414.63163968524225</v>
      </c>
      <c r="P204" s="5">
        <f t="shared" ref="P204:Z204" si="93">(O205+P203/2)*P$399</f>
        <v>1301.3747443350885</v>
      </c>
      <c r="Q204" s="5">
        <f t="shared" si="93"/>
        <v>1648.6296147314235</v>
      </c>
      <c r="R204" s="5">
        <f t="shared" si="93"/>
        <v>1020.9545995644294</v>
      </c>
      <c r="S204" s="5">
        <f t="shared" si="93"/>
        <v>151.5682077859602</v>
      </c>
      <c r="T204" s="5">
        <f t="shared" si="93"/>
        <v>-256.29441158811312</v>
      </c>
      <c r="U204" s="5">
        <f t="shared" si="93"/>
        <v>-404.3884757324841</v>
      </c>
      <c r="V204" s="5">
        <f t="shared" si="93"/>
        <v>-393.87490225612481</v>
      </c>
      <c r="W204" s="5">
        <f t="shared" si="93"/>
        <v>-729.40042730177936</v>
      </c>
      <c r="X204" s="5">
        <f t="shared" si="93"/>
        <v>-1255.8668777574107</v>
      </c>
      <c r="Y204" s="5">
        <f t="shared" si="93"/>
        <v>-1029.444718742913</v>
      </c>
      <c r="Z204" s="48">
        <f t="shared" si="93"/>
        <v>-75.12458638225813</v>
      </c>
      <c r="AA204" s="5">
        <f t="shared" ref="AA204:AG204" si="94">Z205*AA$399</f>
        <v>297.85335053591979</v>
      </c>
      <c r="AB204" s="5">
        <f t="shared" si="94"/>
        <v>299.04476393806345</v>
      </c>
      <c r="AC204" s="5">
        <f t="shared" si="94"/>
        <v>292.73491941897026</v>
      </c>
      <c r="AD204" s="5">
        <f t="shared" si="94"/>
        <v>316.48247680506614</v>
      </c>
      <c r="AE204" s="5">
        <f t="shared" si="94"/>
        <v>310.24475789317967</v>
      </c>
      <c r="AF204" s="5">
        <f t="shared" si="94"/>
        <v>319.11473119079875</v>
      </c>
      <c r="AG204" s="5">
        <f t="shared" si="94"/>
        <v>335.71477558855253</v>
      </c>
      <c r="AH204" s="5"/>
      <c r="AI204" s="5"/>
      <c r="AJ204" s="5"/>
      <c r="AK204" s="5"/>
      <c r="AL204" s="48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48"/>
      <c r="AY204" s="5"/>
      <c r="AZ204" s="5"/>
      <c r="BA204" s="5"/>
      <c r="BB204" s="5"/>
      <c r="BC204" s="5"/>
      <c r="BD204" s="5"/>
      <c r="BE204" s="5"/>
      <c r="BF204" s="58"/>
      <c r="BG204" s="5"/>
    </row>
    <row r="205" spans="1:59" ht="15.75" hidden="1" customHeight="1" outlineLevel="1">
      <c r="A205" s="27" t="s">
        <v>49</v>
      </c>
      <c r="B205" s="13" t="s">
        <v>46</v>
      </c>
      <c r="C205" s="27">
        <v>2</v>
      </c>
      <c r="D205" s="51" t="s">
        <v>31</v>
      </c>
      <c r="E205" s="52"/>
      <c r="F205" s="53"/>
      <c r="G205" s="53"/>
      <c r="H205" s="53"/>
      <c r="I205" s="53"/>
      <c r="J205" s="53"/>
      <c r="K205" s="53"/>
      <c r="L205" s="53"/>
      <c r="M205" s="53"/>
      <c r="N205" s="54"/>
      <c r="O205" s="5">
        <f>SUM(O203:O204)</f>
        <v>244315.596160416</v>
      </c>
      <c r="P205" s="5">
        <f>O205+SUM(P203:P204)</f>
        <v>522500.33407514775</v>
      </c>
      <c r="Q205" s="5">
        <f t="shared" ref="Q205" si="95">P205+SUM(Q203:Q204)</f>
        <v>478317.75901317369</v>
      </c>
      <c r="R205" s="5">
        <f t="shared" ref="R205:Z205" si="96">Q205+SUM(R203:R204)</f>
        <v>89900.195344407053</v>
      </c>
      <c r="S205" s="5">
        <f t="shared" si="96"/>
        <v>-3138.2226875009801</v>
      </c>
      <c r="T205" s="5">
        <f t="shared" si="96"/>
        <v>-139503.85593970551</v>
      </c>
      <c r="U205" s="5">
        <f t="shared" si="96"/>
        <v>-85560.79683185149</v>
      </c>
      <c r="V205" s="5">
        <f t="shared" si="96"/>
        <v>-153545.14004381362</v>
      </c>
      <c r="W205" s="5">
        <f t="shared" si="96"/>
        <v>-252406.71999558783</v>
      </c>
      <c r="X205" s="5">
        <f t="shared" si="96"/>
        <v>-427696.10783212143</v>
      </c>
      <c r="Y205" s="5">
        <f t="shared" si="96"/>
        <v>-115146.34675131255</v>
      </c>
      <c r="Z205" s="48">
        <f t="shared" si="96"/>
        <v>74463.337633979943</v>
      </c>
      <c r="AA205" s="5">
        <f>Z205+AA204</f>
        <v>74761.190984515866</v>
      </c>
      <c r="AB205" s="5">
        <f t="shared" ref="AB205:AE205" si="97">AA205+AB204</f>
        <v>75060.235748453924</v>
      </c>
      <c r="AC205" s="5">
        <f t="shared" si="97"/>
        <v>75352.970667872898</v>
      </c>
      <c r="AD205" s="5">
        <f t="shared" si="97"/>
        <v>75669.453144677958</v>
      </c>
      <c r="AE205" s="5">
        <f t="shared" si="97"/>
        <v>75979.697902571133</v>
      </c>
      <c r="AF205" s="5">
        <f>AE205+AF204</f>
        <v>76298.812633761932</v>
      </c>
      <c r="AG205" s="5">
        <f>AF205+AG204</f>
        <v>76634.527409350485</v>
      </c>
      <c r="AH205" s="5">
        <f>AG205</f>
        <v>76634.527409350485</v>
      </c>
      <c r="AI205" s="5"/>
      <c r="AJ205" s="5"/>
      <c r="AK205" s="5"/>
      <c r="AL205" s="48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48"/>
      <c r="AY205" s="5"/>
      <c r="AZ205" s="5"/>
      <c r="BA205" s="5"/>
      <c r="BB205" s="5"/>
      <c r="BC205" s="5"/>
      <c r="BD205" s="5"/>
      <c r="BE205" s="5"/>
      <c r="BF205" s="58"/>
      <c r="BG205" s="5"/>
    </row>
    <row r="206" spans="1:59" ht="15.75" hidden="1" customHeight="1" outlineLevel="1">
      <c r="A206" s="27" t="s">
        <v>49</v>
      </c>
      <c r="B206" s="13" t="s">
        <v>46</v>
      </c>
      <c r="C206" s="27">
        <v>2</v>
      </c>
      <c r="D206" s="55" t="s">
        <v>32</v>
      </c>
      <c r="E206" s="52"/>
      <c r="F206" s="53"/>
      <c r="G206" s="53"/>
      <c r="H206" s="53"/>
      <c r="I206" s="53"/>
      <c r="J206" s="53"/>
      <c r="K206" s="53"/>
      <c r="L206" s="53"/>
      <c r="M206" s="53"/>
      <c r="N206" s="54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48"/>
      <c r="AA206" s="5"/>
      <c r="AB206" s="5"/>
      <c r="AC206" s="5"/>
      <c r="AD206" s="5"/>
      <c r="AE206" s="5"/>
      <c r="AF206" s="5"/>
      <c r="AG206" s="5"/>
      <c r="AH206" s="56">
        <f>AH415</f>
        <v>838387.53951444582</v>
      </c>
      <c r="AI206" s="5"/>
      <c r="AJ206" s="5"/>
      <c r="AK206" s="5"/>
      <c r="AL206" s="48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48"/>
      <c r="AY206" s="5"/>
      <c r="AZ206" s="5"/>
      <c r="BA206" s="5"/>
      <c r="BB206" s="5"/>
      <c r="BC206" s="5"/>
      <c r="BD206" s="5"/>
      <c r="BE206" s="5"/>
      <c r="BF206" s="58"/>
      <c r="BG206" s="5"/>
    </row>
    <row r="207" spans="1:59" ht="15.75" hidden="1" customHeight="1" outlineLevel="1">
      <c r="A207" s="27" t="s">
        <v>49</v>
      </c>
      <c r="B207" s="13" t="s">
        <v>46</v>
      </c>
      <c r="C207" s="27">
        <v>2</v>
      </c>
      <c r="D207" s="55" t="s">
        <v>34</v>
      </c>
      <c r="E207" s="52"/>
      <c r="F207" s="53"/>
      <c r="G207" s="53"/>
      <c r="H207" s="53"/>
      <c r="I207" s="53"/>
      <c r="J207" s="53"/>
      <c r="K207" s="53"/>
      <c r="L207" s="53"/>
      <c r="M207" s="53"/>
      <c r="N207" s="54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48"/>
      <c r="AA207" s="5"/>
      <c r="AB207" s="5"/>
      <c r="AC207" s="5"/>
      <c r="AD207" s="5"/>
      <c r="AE207" s="5"/>
      <c r="AF207" s="5"/>
      <c r="AG207" s="5"/>
      <c r="AH207" s="5">
        <f>SUM(AH205:AH206)</f>
        <v>915022.06692379632</v>
      </c>
      <c r="AI207" s="5"/>
      <c r="AJ207" s="5"/>
      <c r="AK207" s="5"/>
      <c r="AL207" s="48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48"/>
      <c r="AY207" s="5"/>
      <c r="AZ207" s="5"/>
      <c r="BA207" s="5"/>
      <c r="BB207" s="5"/>
      <c r="BC207" s="5"/>
      <c r="BD207" s="5"/>
      <c r="BE207" s="5"/>
      <c r="BF207" s="58"/>
      <c r="BG207" s="5"/>
    </row>
    <row r="208" spans="1:59" ht="15.75" hidden="1" customHeight="1" outlineLevel="1">
      <c r="A208" s="27"/>
      <c r="C208" s="57"/>
      <c r="D208" s="55"/>
      <c r="E208" s="52"/>
      <c r="F208" s="53"/>
      <c r="G208" s="53"/>
      <c r="H208" s="53"/>
      <c r="I208" s="53"/>
      <c r="J208" s="53"/>
      <c r="K208" s="53"/>
      <c r="L208" s="53"/>
      <c r="M208" s="53"/>
      <c r="N208" s="54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48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48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48"/>
      <c r="AY208" s="5"/>
      <c r="AZ208" s="5"/>
      <c r="BA208" s="5"/>
      <c r="BB208" s="5"/>
      <c r="BC208" s="5"/>
      <c r="BD208" s="5"/>
      <c r="BE208" s="5"/>
      <c r="BF208" s="58"/>
      <c r="BG208" s="5"/>
    </row>
    <row r="209" spans="1:59" ht="15.75" hidden="1" customHeight="1" outlineLevel="1">
      <c r="A209" s="27" t="s">
        <v>49</v>
      </c>
      <c r="B209" s="13" t="s">
        <v>46</v>
      </c>
      <c r="C209" s="27">
        <v>3</v>
      </c>
      <c r="D209" s="51" t="s">
        <v>29</v>
      </c>
      <c r="E209" s="52"/>
      <c r="F209" s="53"/>
      <c r="G209" s="53"/>
      <c r="H209" s="53"/>
      <c r="I209" s="53"/>
      <c r="J209" s="53"/>
      <c r="K209" s="53"/>
      <c r="L209" s="53"/>
      <c r="M209" s="53"/>
      <c r="N209" s="54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48"/>
      <c r="AA209" s="5">
        <f>Deferral!AE135</f>
        <v>394495.65692904685</v>
      </c>
      <c r="AB209" s="5">
        <f>Deferral!AF135</f>
        <v>334629.5145880623</v>
      </c>
      <c r="AC209" s="5">
        <f>Deferral!AG135</f>
        <v>154653.39286095233</v>
      </c>
      <c r="AD209" s="5">
        <f>Deferral!AH135</f>
        <v>-173698.4506464609</v>
      </c>
      <c r="AE209" s="5">
        <f>Deferral!AI135</f>
        <v>-120460.62901864054</v>
      </c>
      <c r="AF209" s="5">
        <f>Deferral!AJ135</f>
        <v>-6178.0132079265904</v>
      </c>
      <c r="AG209" s="5">
        <f>Deferral!AK135</f>
        <v>-131702.16478233581</v>
      </c>
      <c r="AH209" s="5">
        <f>Deferral!AL135</f>
        <v>56958.084431915573</v>
      </c>
      <c r="AI209" s="5">
        <f>Deferral!AM135</f>
        <v>17744.25831294504</v>
      </c>
      <c r="AJ209" s="5">
        <f>Deferral!AN135</f>
        <v>37764.79194702419</v>
      </c>
      <c r="AK209" s="5">
        <f>Deferral!AO135</f>
        <v>39998.301144104415</v>
      </c>
      <c r="AL209" s="48">
        <f>Deferral!AP135</f>
        <v>-21172.81696258824</v>
      </c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48"/>
      <c r="AY209" s="5"/>
      <c r="AZ209" s="5"/>
      <c r="BA209" s="5"/>
      <c r="BB209" s="5"/>
      <c r="BC209" s="5"/>
      <c r="BD209" s="5"/>
      <c r="BE209" s="5"/>
      <c r="BF209" s="58"/>
      <c r="BG209" s="5"/>
    </row>
    <row r="210" spans="1:59" ht="15.75" hidden="1" customHeight="1" outlineLevel="1">
      <c r="A210" s="27" t="s">
        <v>49</v>
      </c>
      <c r="B210" s="13" t="s">
        <v>46</v>
      </c>
      <c r="C210" s="27">
        <v>3</v>
      </c>
      <c r="D210" s="55" t="s">
        <v>30</v>
      </c>
      <c r="E210" s="52"/>
      <c r="F210" s="53"/>
      <c r="G210" s="53"/>
      <c r="H210" s="53"/>
      <c r="I210" s="53"/>
      <c r="J210" s="53"/>
      <c r="K210" s="53"/>
      <c r="L210" s="53"/>
      <c r="M210" s="53"/>
      <c r="N210" s="54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48"/>
      <c r="AA210" s="5">
        <f>AA209/2*AA$399</f>
        <v>788.99131385809369</v>
      </c>
      <c r="AB210" s="5">
        <f t="shared" ref="AB210:AL210" si="98">(AA211+AB209/2)*AB$399</f>
        <v>2250.3976221477446</v>
      </c>
      <c r="AC210" s="5">
        <f t="shared" si="98"/>
        <v>3157.0159018460054</v>
      </c>
      <c r="AD210" s="5">
        <f t="shared" si="98"/>
        <v>3373.1281243492676</v>
      </c>
      <c r="AE210" s="5">
        <f t="shared" si="98"/>
        <v>2703.619261956374</v>
      </c>
      <c r="AF210" s="5">
        <f t="shared" si="98"/>
        <v>2514.9752473992476</v>
      </c>
      <c r="AG210" s="5">
        <f t="shared" si="98"/>
        <v>2342.4654729758586</v>
      </c>
      <c r="AH210" s="5">
        <f t="shared" si="98"/>
        <v>1989.3957675327522</v>
      </c>
      <c r="AI210" s="5">
        <f t="shared" si="98"/>
        <v>2361.4338397018651</v>
      </c>
      <c r="AJ210" s="5">
        <f t="shared" si="98"/>
        <v>2550.6246059677692</v>
      </c>
      <c r="AK210" s="5">
        <f t="shared" si="98"/>
        <v>2797.8931400641009</v>
      </c>
      <c r="AL210" s="48">
        <f t="shared" si="98"/>
        <v>2792.0172346883633</v>
      </c>
      <c r="AM210" s="5">
        <f t="shared" ref="AM210:AS210" si="99">AL211*AM$399</f>
        <v>2879.4732507043555</v>
      </c>
      <c r="AN210" s="5">
        <f t="shared" si="99"/>
        <v>2893.0067749826658</v>
      </c>
      <c r="AO210" s="5">
        <f t="shared" si="99"/>
        <v>2782.9186341942295</v>
      </c>
      <c r="AP210" s="5">
        <f t="shared" si="99"/>
        <v>2857.5626962269503</v>
      </c>
      <c r="AQ210" s="5">
        <f t="shared" si="99"/>
        <v>2808.3008001811245</v>
      </c>
      <c r="AR210" s="5">
        <f t="shared" si="99"/>
        <v>2883.6256683104275</v>
      </c>
      <c r="AS210" s="5">
        <f t="shared" si="99"/>
        <v>2644.9868380033809</v>
      </c>
      <c r="AT210" s="5"/>
      <c r="AU210" s="5"/>
      <c r="AV210" s="5"/>
      <c r="AW210" s="5"/>
      <c r="AX210" s="48"/>
      <c r="AY210" s="5"/>
      <c r="AZ210" s="5"/>
      <c r="BA210" s="5"/>
      <c r="BB210" s="5"/>
      <c r="BC210" s="5"/>
      <c r="BD210" s="5"/>
      <c r="BE210" s="5"/>
      <c r="BF210" s="58"/>
      <c r="BG210" s="5"/>
    </row>
    <row r="211" spans="1:59" ht="15.75" hidden="1" customHeight="1" outlineLevel="1">
      <c r="A211" s="27" t="s">
        <v>49</v>
      </c>
      <c r="B211" s="13" t="s">
        <v>46</v>
      </c>
      <c r="C211" s="27">
        <v>3</v>
      </c>
      <c r="D211" s="51" t="s">
        <v>31</v>
      </c>
      <c r="E211" s="52"/>
      <c r="F211" s="53"/>
      <c r="G211" s="53"/>
      <c r="H211" s="53"/>
      <c r="I211" s="53"/>
      <c r="J211" s="53"/>
      <c r="K211" s="53"/>
      <c r="L211" s="53"/>
      <c r="M211" s="53"/>
      <c r="N211" s="54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48"/>
      <c r="AA211" s="5">
        <f>SUM(AA209:AA210)</f>
        <v>395284.64824290492</v>
      </c>
      <c r="AB211" s="5">
        <f>AA211+SUM(AB209:AB210)</f>
        <v>732164.56045311503</v>
      </c>
      <c r="AC211" s="5">
        <f t="shared" ref="AC211" si="100">AB211+SUM(AC209:AC210)</f>
        <v>889974.96921591333</v>
      </c>
      <c r="AD211" s="5">
        <f t="shared" ref="AD211:AL211" si="101">AC211+SUM(AD209:AD210)</f>
        <v>719649.64669380174</v>
      </c>
      <c r="AE211" s="5">
        <f t="shared" si="101"/>
        <v>601892.63693711755</v>
      </c>
      <c r="AF211" s="5">
        <f t="shared" si="101"/>
        <v>598229.5989765902</v>
      </c>
      <c r="AG211" s="5">
        <f t="shared" si="101"/>
        <v>468869.89966723026</v>
      </c>
      <c r="AH211" s="5">
        <f t="shared" si="101"/>
        <v>527817.37986667862</v>
      </c>
      <c r="AI211" s="5">
        <f t="shared" si="101"/>
        <v>547923.07201932557</v>
      </c>
      <c r="AJ211" s="5">
        <f t="shared" si="101"/>
        <v>588238.48857231752</v>
      </c>
      <c r="AK211" s="5">
        <f t="shared" si="101"/>
        <v>631034.68285648606</v>
      </c>
      <c r="AL211" s="48">
        <f t="shared" si="101"/>
        <v>612653.88312858623</v>
      </c>
      <c r="AM211" s="5">
        <f>AL211+AM210</f>
        <v>615533.35637929058</v>
      </c>
      <c r="AN211" s="5">
        <f t="shared" ref="AN211:AQ211" si="102">AM211+AN210</f>
        <v>618426.36315427325</v>
      </c>
      <c r="AO211" s="5">
        <f t="shared" si="102"/>
        <v>621209.28178846743</v>
      </c>
      <c r="AP211" s="5">
        <f t="shared" si="102"/>
        <v>624066.84448469442</v>
      </c>
      <c r="AQ211" s="5">
        <f t="shared" si="102"/>
        <v>626875.14528487553</v>
      </c>
      <c r="AR211" s="5">
        <f>AQ211+AR210</f>
        <v>629758.77095318597</v>
      </c>
      <c r="AS211" s="5">
        <f>AR211+AS210</f>
        <v>632403.75779118936</v>
      </c>
      <c r="AT211" s="5">
        <f>AS211</f>
        <v>632403.75779118936</v>
      </c>
      <c r="AU211" s="5"/>
      <c r="AV211" s="5"/>
      <c r="AW211" s="5"/>
      <c r="AX211" s="48"/>
      <c r="AY211" s="5"/>
      <c r="AZ211" s="5"/>
      <c r="BA211" s="5"/>
      <c r="BB211" s="5"/>
      <c r="BC211" s="5"/>
      <c r="BD211" s="5"/>
      <c r="BE211" s="5"/>
      <c r="BF211" s="58"/>
      <c r="BG211" s="5"/>
    </row>
    <row r="212" spans="1:59" ht="15.75" hidden="1" customHeight="1" outlineLevel="1">
      <c r="A212" s="27" t="s">
        <v>49</v>
      </c>
      <c r="B212" s="13" t="s">
        <v>46</v>
      </c>
      <c r="C212" s="27">
        <v>3</v>
      </c>
      <c r="D212" s="55" t="s">
        <v>32</v>
      </c>
      <c r="E212" s="52"/>
      <c r="F212" s="53"/>
      <c r="G212" s="53"/>
      <c r="H212" s="53"/>
      <c r="I212" s="53"/>
      <c r="J212" s="53"/>
      <c r="K212" s="53"/>
      <c r="L212" s="53"/>
      <c r="M212" s="53"/>
      <c r="N212" s="54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48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48"/>
      <c r="AM212" s="5"/>
      <c r="AN212" s="5"/>
      <c r="AO212" s="5"/>
      <c r="AP212" s="5"/>
      <c r="AQ212" s="5"/>
      <c r="AR212" s="5"/>
      <c r="AS212" s="5"/>
      <c r="AT212" s="56">
        <f>AT423</f>
        <v>2791907.0704127252</v>
      </c>
      <c r="AU212" s="5"/>
      <c r="AV212" s="5"/>
      <c r="AW212" s="5"/>
      <c r="AX212" s="48"/>
      <c r="AY212" s="5"/>
      <c r="AZ212" s="5"/>
      <c r="BA212" s="5"/>
      <c r="BB212" s="5"/>
      <c r="BC212" s="5"/>
      <c r="BD212" s="5"/>
      <c r="BE212" s="5"/>
      <c r="BF212" s="58"/>
      <c r="BG212" s="5"/>
    </row>
    <row r="213" spans="1:59" ht="15.75" hidden="1" customHeight="1" outlineLevel="1">
      <c r="A213" s="27" t="s">
        <v>49</v>
      </c>
      <c r="B213" s="13" t="s">
        <v>46</v>
      </c>
      <c r="C213" s="27">
        <v>3</v>
      </c>
      <c r="D213" s="55" t="s">
        <v>35</v>
      </c>
      <c r="E213" s="52"/>
      <c r="F213" s="53"/>
      <c r="G213" s="53"/>
      <c r="H213" s="53"/>
      <c r="I213" s="53"/>
      <c r="J213" s="53"/>
      <c r="K213" s="53"/>
      <c r="L213" s="53"/>
      <c r="M213" s="53"/>
      <c r="N213" s="54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8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48"/>
      <c r="AM213" s="5"/>
      <c r="AN213" s="5"/>
      <c r="AO213" s="5"/>
      <c r="AP213" s="5"/>
      <c r="AQ213" s="5"/>
      <c r="AR213" s="5"/>
      <c r="AS213" s="5"/>
      <c r="AT213" s="5">
        <f>SUM(AT211:AT212)</f>
        <v>3424310.8282039147</v>
      </c>
      <c r="AU213" s="5"/>
      <c r="AV213" s="5"/>
      <c r="AW213" s="5"/>
      <c r="AX213" s="48"/>
      <c r="AY213" s="5"/>
      <c r="AZ213" s="5"/>
      <c r="BA213" s="5"/>
      <c r="BB213" s="5"/>
      <c r="BC213" s="5"/>
      <c r="BD213" s="5"/>
      <c r="BE213" s="5"/>
      <c r="BF213" s="58"/>
      <c r="BG213" s="5"/>
    </row>
    <row r="214" spans="1:59" ht="15.75" hidden="1" customHeight="1" outlineLevel="1">
      <c r="A214" s="27"/>
      <c r="C214" s="57"/>
      <c r="D214" s="55"/>
      <c r="E214" s="52"/>
      <c r="F214" s="53"/>
      <c r="G214" s="53"/>
      <c r="H214" s="53"/>
      <c r="I214" s="53"/>
      <c r="J214" s="53"/>
      <c r="K214" s="53"/>
      <c r="L214" s="53"/>
      <c r="M214" s="53"/>
      <c r="N214" s="54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48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48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48"/>
      <c r="AY214" s="5"/>
      <c r="AZ214" s="5"/>
      <c r="BA214" s="5"/>
      <c r="BB214" s="5"/>
      <c r="BC214" s="5"/>
      <c r="BD214" s="5"/>
      <c r="BE214" s="5"/>
      <c r="BF214" s="58"/>
      <c r="BG214" s="5"/>
    </row>
    <row r="215" spans="1:59" ht="15.75" hidden="1" customHeight="1" outlineLevel="1">
      <c r="A215" s="27" t="s">
        <v>49</v>
      </c>
      <c r="B215" s="13" t="s">
        <v>46</v>
      </c>
      <c r="C215" s="27">
        <v>4</v>
      </c>
      <c r="D215" s="51" t="s">
        <v>29</v>
      </c>
      <c r="E215" s="52"/>
      <c r="F215" s="53"/>
      <c r="G215" s="53"/>
      <c r="H215" s="53"/>
      <c r="I215" s="53"/>
      <c r="J215" s="53"/>
      <c r="K215" s="53"/>
      <c r="L215" s="53"/>
      <c r="M215" s="53"/>
      <c r="N215" s="54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48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48"/>
      <c r="AM215" s="5">
        <f>Deferral!AQ135</f>
        <v>428174.64629923925</v>
      </c>
      <c r="AN215" s="5">
        <f>Deferral!AR135</f>
        <v>42118.935883683836</v>
      </c>
      <c r="AO215" s="5">
        <f>Deferral!AS135</f>
        <v>230061.72904709238</v>
      </c>
      <c r="AP215" s="5">
        <f>Deferral!AT135</f>
        <v>-332809.20237985183</v>
      </c>
      <c r="AQ215" s="5">
        <f>Deferral!AU135</f>
        <v>-104637.96840315894</v>
      </c>
      <c r="AR215" s="5">
        <f>Deferral!AV135</f>
        <v>-109366.04034176971</v>
      </c>
      <c r="AS215" s="5">
        <f>Deferral!AW135</f>
        <v>53883.736565347324</v>
      </c>
      <c r="AT215" s="5">
        <f>Deferral!AX135</f>
        <v>263404.11983581615</v>
      </c>
      <c r="AU215" s="5">
        <f>Deferral!AY135</f>
        <v>-45365.816161672221</v>
      </c>
      <c r="AV215" s="5">
        <f>Deferral!AZ135</f>
        <v>-116828.77425745984</v>
      </c>
      <c r="AW215" s="5">
        <f>Deferral!BA135</f>
        <v>-213062.76453521216</v>
      </c>
      <c r="AX215" s="48">
        <f>Deferral!BB135</f>
        <v>-117537.16235663371</v>
      </c>
      <c r="AY215" s="5"/>
      <c r="AZ215" s="5"/>
      <c r="BA215" s="5"/>
      <c r="BB215" s="5"/>
      <c r="BC215" s="5"/>
      <c r="BD215" s="5"/>
      <c r="BE215" s="5"/>
      <c r="BF215" s="58"/>
      <c r="BG215" s="5"/>
    </row>
    <row r="216" spans="1:59" ht="15.75" hidden="1" customHeight="1" outlineLevel="1">
      <c r="A216" s="27" t="s">
        <v>49</v>
      </c>
      <c r="B216" s="13" t="s">
        <v>46</v>
      </c>
      <c r="C216" s="27">
        <v>4</v>
      </c>
      <c r="D216" s="55" t="s">
        <v>30</v>
      </c>
      <c r="E216" s="52"/>
      <c r="F216" s="53"/>
      <c r="G216" s="53"/>
      <c r="H216" s="53"/>
      <c r="I216" s="53"/>
      <c r="J216" s="53"/>
      <c r="K216" s="53"/>
      <c r="L216" s="53"/>
      <c r="M216" s="53"/>
      <c r="N216" s="54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48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48"/>
      <c r="AM216" s="5">
        <f>AM215/2*AM$399</f>
        <v>1006.2104188032123</v>
      </c>
      <c r="AN216" s="5">
        <f t="shared" ref="AN216:AX216" si="103">(AM217+AN215/2)*AN$399</f>
        <v>2116.1295259014569</v>
      </c>
      <c r="AO216" s="5">
        <f t="shared" si="103"/>
        <v>2648.0105399302824</v>
      </c>
      <c r="AP216" s="5">
        <f t="shared" si="103"/>
        <v>2482.716878413733</v>
      </c>
      <c r="AQ216" s="5">
        <f t="shared" si="103"/>
        <v>1455.660864052348</v>
      </c>
      <c r="AR216" s="5">
        <f t="shared" si="103"/>
        <v>1002.4957031148164</v>
      </c>
      <c r="AS216" s="5">
        <f t="shared" si="103"/>
        <v>803.0198077361232</v>
      </c>
      <c r="AT216" s="5">
        <f t="shared" si="103"/>
        <v>1367.5043472731254</v>
      </c>
      <c r="AU216" s="5">
        <f t="shared" si="103"/>
        <v>1936.3209453453073</v>
      </c>
      <c r="AV216" s="5">
        <f t="shared" si="103"/>
        <v>1489.2845067616106</v>
      </c>
      <c r="AW216" s="5">
        <f t="shared" si="103"/>
        <v>873.64534942796968</v>
      </c>
      <c r="AX216" s="48">
        <f t="shared" si="103"/>
        <v>210.54157511594011</v>
      </c>
      <c r="AY216" s="5">
        <f t="shared" ref="AY216:BE216" si="104">AX217*AY$399</f>
        <v>-13.261758993839983</v>
      </c>
      <c r="AZ216" s="5">
        <f t="shared" si="104"/>
        <v>-13.300218094922119</v>
      </c>
      <c r="BA216" s="5">
        <f t="shared" si="104"/>
        <v>-12.878830495418175</v>
      </c>
      <c r="BB216" s="5">
        <f t="shared" si="104"/>
        <v>-12.914891220805345</v>
      </c>
      <c r="BC216" s="5">
        <f t="shared" si="104"/>
        <v>-12.488515312072758</v>
      </c>
      <c r="BD216" s="5">
        <f t="shared" si="104"/>
        <v>-12.986020759097405</v>
      </c>
      <c r="BE216" s="5">
        <f t="shared" si="104"/>
        <v>-13.022381617222878</v>
      </c>
      <c r="BF216" s="58"/>
      <c r="BG216" s="5"/>
    </row>
    <row r="217" spans="1:59" ht="15.75" hidden="1" customHeight="1" outlineLevel="1">
      <c r="A217" s="27" t="s">
        <v>49</v>
      </c>
      <c r="B217" s="13" t="s">
        <v>46</v>
      </c>
      <c r="C217" s="27">
        <v>4</v>
      </c>
      <c r="D217" s="51" t="s">
        <v>31</v>
      </c>
      <c r="E217" s="52"/>
      <c r="F217" s="53"/>
      <c r="G217" s="53"/>
      <c r="H217" s="53"/>
      <c r="I217" s="53"/>
      <c r="J217" s="53"/>
      <c r="K217" s="53"/>
      <c r="L217" s="53"/>
      <c r="M217" s="53"/>
      <c r="N217" s="54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48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48"/>
      <c r="AM217" s="5">
        <f>SUM(AM215:AM216)</f>
        <v>429180.85671804246</v>
      </c>
      <c r="AN217" s="5">
        <f>AM217+SUM(AN215:AN216)</f>
        <v>473415.92212762777</v>
      </c>
      <c r="AO217" s="5">
        <f t="shared" ref="AO217" si="105">AN217+SUM(AO215:AO216)</f>
        <v>706125.66171465046</v>
      </c>
      <c r="AP217" s="5">
        <f t="shared" ref="AP217:AX217" si="106">AO217+SUM(AP215:AP216)</f>
        <v>375799.17621321237</v>
      </c>
      <c r="AQ217" s="5">
        <f t="shared" si="106"/>
        <v>272616.86867410579</v>
      </c>
      <c r="AR217" s="5">
        <f t="shared" si="106"/>
        <v>164253.3240354509</v>
      </c>
      <c r="AS217" s="5">
        <f t="shared" si="106"/>
        <v>218940.08040853436</v>
      </c>
      <c r="AT217" s="5">
        <f t="shared" si="106"/>
        <v>483711.70459162362</v>
      </c>
      <c r="AU217" s="5">
        <f t="shared" si="106"/>
        <v>440282.20937529672</v>
      </c>
      <c r="AV217" s="5">
        <f t="shared" si="106"/>
        <v>324942.71962459851</v>
      </c>
      <c r="AW217" s="5">
        <f t="shared" si="106"/>
        <v>112753.60043881432</v>
      </c>
      <c r="AX217" s="48">
        <f t="shared" si="106"/>
        <v>-4573.020342703443</v>
      </c>
      <c r="AY217" s="5">
        <f>AX217+AY216</f>
        <v>-4586.282101697283</v>
      </c>
      <c r="AZ217" s="5">
        <f t="shared" ref="AZ217:BC217" si="107">AY217+AZ216</f>
        <v>-4599.5823197922055</v>
      </c>
      <c r="BA217" s="5">
        <f t="shared" si="107"/>
        <v>-4612.4611502876232</v>
      </c>
      <c r="BB217" s="5">
        <f t="shared" si="107"/>
        <v>-4625.3760415084289</v>
      </c>
      <c r="BC217" s="5">
        <f t="shared" si="107"/>
        <v>-4637.864556820502</v>
      </c>
      <c r="BD217" s="5">
        <f>BC217+BD216</f>
        <v>-4650.8505775795993</v>
      </c>
      <c r="BE217" s="5">
        <f>BD217+BE216</f>
        <v>-4663.8729591968222</v>
      </c>
      <c r="BF217" s="58">
        <f>BE217</f>
        <v>-4663.8729591968222</v>
      </c>
      <c r="BG217" s="5"/>
    </row>
    <row r="218" spans="1:59" ht="15.75" hidden="1" customHeight="1" outlineLevel="1">
      <c r="A218" s="27" t="s">
        <v>49</v>
      </c>
      <c r="B218" s="13" t="s">
        <v>46</v>
      </c>
      <c r="C218" s="27">
        <v>4</v>
      </c>
      <c r="D218" s="55" t="s">
        <v>36</v>
      </c>
      <c r="E218" s="52"/>
      <c r="F218" s="53"/>
      <c r="G218" s="53"/>
      <c r="H218" s="53"/>
      <c r="I218" s="53"/>
      <c r="J218" s="53"/>
      <c r="K218" s="53"/>
      <c r="L218" s="53"/>
      <c r="M218" s="53"/>
      <c r="N218" s="54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48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48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48"/>
      <c r="AY218" s="5"/>
      <c r="AZ218" s="5"/>
      <c r="BA218" s="5"/>
      <c r="BB218" s="5"/>
      <c r="BC218" s="5"/>
      <c r="BD218" s="5"/>
      <c r="BE218" s="5"/>
      <c r="BF218" s="59">
        <f>BF431</f>
        <v>3110.0156341632978</v>
      </c>
      <c r="BG218" s="5"/>
    </row>
    <row r="219" spans="1:59" ht="15.75" hidden="1" customHeight="1" outlineLevel="1">
      <c r="A219" s="27" t="s">
        <v>49</v>
      </c>
      <c r="B219" s="13" t="s">
        <v>46</v>
      </c>
      <c r="C219" s="27">
        <v>4</v>
      </c>
      <c r="D219" s="55" t="s">
        <v>37</v>
      </c>
      <c r="E219" s="52"/>
      <c r="F219" s="53"/>
      <c r="G219" s="53"/>
      <c r="H219" s="53"/>
      <c r="I219" s="53"/>
      <c r="J219" s="53"/>
      <c r="K219" s="53"/>
      <c r="L219" s="53"/>
      <c r="M219" s="53"/>
      <c r="N219" s="54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48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48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48"/>
      <c r="AY219" s="5"/>
      <c r="AZ219" s="5"/>
      <c r="BA219" s="5"/>
      <c r="BB219" s="5"/>
      <c r="BC219" s="5"/>
      <c r="BD219" s="5"/>
      <c r="BE219" s="5"/>
      <c r="BF219" s="58">
        <f>SUM(BF217:BF218)</f>
        <v>-1553.8573250335244</v>
      </c>
      <c r="BG219" s="5"/>
    </row>
    <row r="220" spans="1:59" ht="15.75" hidden="1" customHeight="1" collapsed="1">
      <c r="A220" s="27"/>
      <c r="C220" s="57"/>
      <c r="D220" s="55"/>
      <c r="E220" s="52"/>
      <c r="F220" s="53"/>
      <c r="G220" s="53"/>
      <c r="H220" s="53"/>
      <c r="I220" s="53"/>
      <c r="J220" s="53"/>
      <c r="K220" s="53"/>
      <c r="L220" s="53"/>
      <c r="M220" s="53"/>
      <c r="N220" s="54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48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48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48"/>
      <c r="AY220" s="5"/>
      <c r="AZ220" s="5"/>
      <c r="BA220" s="5"/>
      <c r="BB220" s="5"/>
      <c r="BC220" s="5"/>
      <c r="BD220" s="5"/>
      <c r="BE220" s="5"/>
      <c r="BF220" s="58"/>
      <c r="BG220" s="5"/>
    </row>
    <row r="221" spans="1:59" ht="15.75" hidden="1" customHeight="1">
      <c r="A221" s="27" t="s">
        <v>49</v>
      </c>
      <c r="B221" s="13" t="s">
        <v>46</v>
      </c>
      <c r="C221" s="27">
        <v>5</v>
      </c>
      <c r="D221" s="51" t="s">
        <v>29</v>
      </c>
      <c r="E221" s="52"/>
      <c r="F221" s="53"/>
      <c r="G221" s="53"/>
      <c r="H221" s="53"/>
      <c r="I221" s="53"/>
      <c r="J221" s="53"/>
      <c r="K221" s="53"/>
      <c r="L221" s="53"/>
      <c r="M221" s="53"/>
      <c r="N221" s="54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48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48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48"/>
      <c r="AY221" s="5">
        <f>Deferral!BC135</f>
        <v>224425.72619496594</v>
      </c>
      <c r="AZ221" s="5">
        <f>Deferral!BD135</f>
        <v>86281.067483524646</v>
      </c>
      <c r="BA221" s="5">
        <f>Deferral!BE135</f>
        <v>49334.331698855072</v>
      </c>
      <c r="BB221" s="5">
        <f>Deferral!BF135</f>
        <v>-33827.663185385121</v>
      </c>
      <c r="BC221" s="5">
        <f>Deferral!BG135</f>
        <v>95745.191227422634</v>
      </c>
      <c r="BD221" s="5">
        <f>Deferral!BH135</f>
        <v>-304610.42897030985</v>
      </c>
      <c r="BE221" s="5">
        <f>Deferral!BI135+Deferral!BJ135</f>
        <v>65056.457998639016</v>
      </c>
      <c r="BF221" s="58">
        <f>Deferral!BK135+Deferral!BL135</f>
        <v>-5176.4646496238202</v>
      </c>
      <c r="BG221" s="5">
        <f>Deferral!BM135</f>
        <v>-84559.674181679176</v>
      </c>
    </row>
    <row r="222" spans="1:59" ht="15.75" hidden="1" customHeight="1">
      <c r="A222" s="27" t="s">
        <v>49</v>
      </c>
      <c r="B222" s="13" t="s">
        <v>46</v>
      </c>
      <c r="C222" s="27">
        <v>5</v>
      </c>
      <c r="D222" s="55" t="s">
        <v>30</v>
      </c>
      <c r="E222" s="52"/>
      <c r="F222" s="53"/>
      <c r="G222" s="53"/>
      <c r="H222" s="53"/>
      <c r="I222" s="53"/>
      <c r="J222" s="53"/>
      <c r="K222" s="53"/>
      <c r="L222" s="53"/>
      <c r="M222" s="53"/>
      <c r="N222" s="54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48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48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48"/>
      <c r="AY222" s="5">
        <f>AY221/2*AY$399</f>
        <v>325.41730298270062</v>
      </c>
      <c r="AZ222" s="5">
        <f t="shared" ref="AZ222:BG222" si="108">(AY223+AZ221/2)*AZ$399</f>
        <v>776.8858639951618</v>
      </c>
      <c r="BA222" s="5">
        <f t="shared" si="108"/>
        <v>942.1335355457087</v>
      </c>
      <c r="BB222" s="5">
        <f t="shared" si="108"/>
        <v>966.48084536409453</v>
      </c>
      <c r="BC222" s="5">
        <f t="shared" si="108"/>
        <v>1018.1618334546108</v>
      </c>
      <c r="BD222" s="5">
        <f t="shared" si="108"/>
        <v>766.31105128359752</v>
      </c>
      <c r="BE222" s="5">
        <f t="shared" si="108"/>
        <v>433.08116286685242</v>
      </c>
      <c r="BF222" s="58">
        <f t="shared" si="108"/>
        <v>462.61230429598294</v>
      </c>
      <c r="BG222" s="5">
        <f t="shared" si="108"/>
        <v>393.79050089970548</v>
      </c>
    </row>
    <row r="223" spans="1:59" ht="15.75" hidden="1" customHeight="1">
      <c r="A223" s="27" t="s">
        <v>49</v>
      </c>
      <c r="B223" s="13" t="s">
        <v>46</v>
      </c>
      <c r="C223" s="27">
        <v>5</v>
      </c>
      <c r="D223" s="51" t="s">
        <v>31</v>
      </c>
      <c r="E223" s="52"/>
      <c r="F223" s="53"/>
      <c r="G223" s="53"/>
      <c r="H223" s="53"/>
      <c r="I223" s="53"/>
      <c r="J223" s="53"/>
      <c r="K223" s="53"/>
      <c r="L223" s="53"/>
      <c r="M223" s="53"/>
      <c r="N223" s="54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48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48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48"/>
      <c r="AY223" s="5">
        <f>SUM(AY221:AY222)</f>
        <v>224751.14349794865</v>
      </c>
      <c r="AZ223" s="5">
        <f>AY223+SUM(AZ221:AZ222)</f>
        <v>311809.09684546845</v>
      </c>
      <c r="BA223" s="5">
        <f t="shared" ref="BA223" si="109">AZ223+SUM(BA221:BA222)</f>
        <v>362085.56207986921</v>
      </c>
      <c r="BB223" s="5">
        <f t="shared" ref="BB223:BG223" si="110">BA223+SUM(BB221:BB222)</f>
        <v>329224.3797398482</v>
      </c>
      <c r="BC223" s="5">
        <f t="shared" si="110"/>
        <v>425987.73280072544</v>
      </c>
      <c r="BD223" s="5">
        <f t="shared" si="110"/>
        <v>122143.61488169921</v>
      </c>
      <c r="BE223" s="5">
        <f t="shared" si="110"/>
        <v>187633.15404320508</v>
      </c>
      <c r="BF223" s="58">
        <f t="shared" si="110"/>
        <v>182919.30169787724</v>
      </c>
      <c r="BG223" s="5">
        <f t="shared" si="110"/>
        <v>98753.418017097763</v>
      </c>
    </row>
    <row r="224" spans="1:59" ht="15.75" hidden="1" customHeight="1" outlineLevel="1">
      <c r="A224" s="27" t="s">
        <v>49</v>
      </c>
      <c r="B224" s="13" t="s">
        <v>46</v>
      </c>
      <c r="C224" s="27">
        <v>5</v>
      </c>
      <c r="D224" s="55" t="s">
        <v>38</v>
      </c>
      <c r="E224" s="52"/>
      <c r="F224" s="53"/>
      <c r="G224" s="53"/>
      <c r="H224" s="53"/>
      <c r="I224" s="53"/>
      <c r="J224" s="53"/>
      <c r="K224" s="53"/>
      <c r="L224" s="53"/>
      <c r="M224" s="53"/>
      <c r="N224" s="54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48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48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48"/>
      <c r="AY224" s="5"/>
      <c r="AZ224" s="5"/>
      <c r="BA224" s="5"/>
      <c r="BB224" s="5"/>
      <c r="BC224" s="5"/>
      <c r="BD224" s="5"/>
      <c r="BE224" s="5"/>
      <c r="BF224" s="58"/>
      <c r="BG224" s="5"/>
    </row>
    <row r="225" spans="1:59" ht="15.75" hidden="1" customHeight="1" outlineLevel="1">
      <c r="A225" s="27" t="s">
        <v>49</v>
      </c>
      <c r="B225" s="13" t="s">
        <v>46</v>
      </c>
      <c r="C225" s="27">
        <v>5</v>
      </c>
      <c r="D225" s="55" t="s">
        <v>39</v>
      </c>
      <c r="E225" s="52"/>
      <c r="F225" s="53"/>
      <c r="G225" s="53"/>
      <c r="H225" s="53"/>
      <c r="I225" s="53"/>
      <c r="J225" s="53"/>
      <c r="K225" s="53"/>
      <c r="L225" s="53"/>
      <c r="M225" s="53"/>
      <c r="N225" s="54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8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48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48"/>
      <c r="AY225" s="5"/>
      <c r="AZ225" s="5"/>
      <c r="BA225" s="5"/>
      <c r="BB225" s="5"/>
      <c r="BC225" s="5"/>
      <c r="BD225" s="5"/>
      <c r="BE225" s="5"/>
      <c r="BF225" s="58"/>
      <c r="BG225" s="5"/>
    </row>
    <row r="226" spans="1:59" ht="15.75" hidden="1" customHeight="1" outlineLevel="1">
      <c r="A226" s="27"/>
      <c r="B226" s="13"/>
      <c r="C226" s="27"/>
      <c r="D226" s="55"/>
      <c r="E226" s="52"/>
      <c r="F226" s="53"/>
      <c r="G226" s="53"/>
      <c r="H226" s="53"/>
      <c r="I226" s="53"/>
      <c r="J226" s="53"/>
      <c r="K226" s="53"/>
      <c r="L226" s="53"/>
      <c r="M226" s="53"/>
      <c r="N226" s="54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48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48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48"/>
      <c r="AY226" s="5"/>
      <c r="AZ226" s="5"/>
      <c r="BA226" s="5"/>
      <c r="BB226" s="5"/>
      <c r="BC226" s="5"/>
      <c r="BD226" s="5"/>
      <c r="BE226" s="5"/>
      <c r="BF226" s="58"/>
      <c r="BG226" s="5"/>
    </row>
    <row r="227" spans="1:59" ht="15.75" hidden="1" customHeight="1" outlineLevel="1">
      <c r="A227" s="27" t="s">
        <v>49</v>
      </c>
      <c r="B227" s="13" t="s">
        <v>46</v>
      </c>
      <c r="C227" s="27">
        <v>6</v>
      </c>
      <c r="D227" s="51" t="s">
        <v>29</v>
      </c>
      <c r="E227" s="52"/>
      <c r="F227" s="53"/>
      <c r="G227" s="53"/>
      <c r="H227" s="53"/>
      <c r="I227" s="53"/>
      <c r="J227" s="53"/>
      <c r="K227" s="53"/>
      <c r="L227" s="53"/>
      <c r="M227" s="53"/>
      <c r="N227" s="54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48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48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48"/>
      <c r="AY227" s="5"/>
      <c r="AZ227" s="5"/>
      <c r="BA227" s="5"/>
      <c r="BB227" s="5"/>
      <c r="BC227" s="5"/>
      <c r="BD227" s="5"/>
      <c r="BE227" s="5"/>
      <c r="BF227" s="58"/>
      <c r="BG227" s="5"/>
    </row>
    <row r="228" spans="1:59" ht="15.75" hidden="1" customHeight="1" outlineLevel="1">
      <c r="A228" s="27" t="s">
        <v>49</v>
      </c>
      <c r="B228" s="13" t="s">
        <v>46</v>
      </c>
      <c r="C228" s="27">
        <v>6</v>
      </c>
      <c r="D228" s="55" t="s">
        <v>30</v>
      </c>
      <c r="E228" s="52"/>
      <c r="F228" s="53"/>
      <c r="G228" s="53"/>
      <c r="H228" s="53"/>
      <c r="I228" s="53"/>
      <c r="J228" s="53"/>
      <c r="K228" s="53"/>
      <c r="L228" s="53"/>
      <c r="M228" s="53"/>
      <c r="N228" s="54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48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48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48"/>
      <c r="AY228" s="5"/>
      <c r="AZ228" s="5"/>
      <c r="BA228" s="5"/>
      <c r="BB228" s="5"/>
      <c r="BC228" s="5"/>
      <c r="BD228" s="5"/>
      <c r="BE228" s="5"/>
      <c r="BF228" s="58"/>
      <c r="BG228" s="5"/>
    </row>
    <row r="229" spans="1:59" ht="15.75" hidden="1" customHeight="1" outlineLevel="1">
      <c r="A229" s="27" t="s">
        <v>49</v>
      </c>
      <c r="B229" s="13" t="s">
        <v>46</v>
      </c>
      <c r="C229" s="27">
        <v>6</v>
      </c>
      <c r="D229" s="51" t="s">
        <v>31</v>
      </c>
      <c r="E229" s="52"/>
      <c r="F229" s="53"/>
      <c r="G229" s="53"/>
      <c r="H229" s="53"/>
      <c r="I229" s="53"/>
      <c r="J229" s="53"/>
      <c r="K229" s="53"/>
      <c r="L229" s="53"/>
      <c r="M229" s="53"/>
      <c r="N229" s="54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48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48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48"/>
      <c r="AY229" s="5"/>
      <c r="AZ229" s="5"/>
      <c r="BA229" s="5"/>
      <c r="BB229" s="5"/>
      <c r="BC229" s="5"/>
      <c r="BD229" s="5"/>
      <c r="BE229" s="5"/>
      <c r="BF229" s="58"/>
      <c r="BG229" s="5"/>
    </row>
    <row r="230" spans="1:59" ht="15.75" hidden="1" customHeight="1" outlineLevel="1">
      <c r="A230" s="27" t="s">
        <v>49</v>
      </c>
      <c r="B230" s="13" t="s">
        <v>46</v>
      </c>
      <c r="C230" s="27">
        <v>6</v>
      </c>
      <c r="D230" s="55" t="s">
        <v>38</v>
      </c>
      <c r="E230" s="52"/>
      <c r="F230" s="53"/>
      <c r="G230" s="53"/>
      <c r="H230" s="53"/>
      <c r="I230" s="53"/>
      <c r="J230" s="53"/>
      <c r="K230" s="53"/>
      <c r="L230" s="53"/>
      <c r="M230" s="53"/>
      <c r="N230" s="54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48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48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48"/>
      <c r="AY230" s="5"/>
      <c r="AZ230" s="5"/>
      <c r="BA230" s="5"/>
      <c r="BB230" s="5"/>
      <c r="BC230" s="5"/>
      <c r="BD230" s="5"/>
      <c r="BE230" s="5"/>
      <c r="BF230" s="58"/>
      <c r="BG230" s="5"/>
    </row>
    <row r="231" spans="1:59" ht="15.75" hidden="1" customHeight="1" outlineLevel="1">
      <c r="A231" s="27" t="s">
        <v>49</v>
      </c>
      <c r="B231" s="13" t="s">
        <v>46</v>
      </c>
      <c r="C231" s="27">
        <v>6</v>
      </c>
      <c r="D231" s="55" t="s">
        <v>40</v>
      </c>
      <c r="E231" s="52"/>
      <c r="F231" s="53"/>
      <c r="G231" s="53"/>
      <c r="H231" s="53"/>
      <c r="I231" s="53"/>
      <c r="J231" s="53"/>
      <c r="K231" s="53"/>
      <c r="L231" s="53"/>
      <c r="M231" s="53"/>
      <c r="N231" s="54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48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48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48"/>
      <c r="AY231" s="5"/>
      <c r="AZ231" s="5"/>
      <c r="BA231" s="5"/>
      <c r="BB231" s="5"/>
      <c r="BC231" s="5"/>
      <c r="BD231" s="5"/>
      <c r="BE231" s="5"/>
      <c r="BF231" s="58"/>
      <c r="BG231" s="5"/>
    </row>
    <row r="232" spans="1:59" ht="15.75" hidden="1" customHeight="1" outlineLevel="1">
      <c r="A232" s="27"/>
      <c r="B232" s="13"/>
      <c r="C232" s="27"/>
      <c r="D232" s="55"/>
      <c r="E232" s="52"/>
      <c r="F232" s="53"/>
      <c r="G232" s="53"/>
      <c r="H232" s="53"/>
      <c r="I232" s="53"/>
      <c r="J232" s="53"/>
      <c r="K232" s="53"/>
      <c r="L232" s="53"/>
      <c r="M232" s="53"/>
      <c r="N232" s="54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48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48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48"/>
      <c r="AY232" s="5"/>
      <c r="AZ232" s="5"/>
      <c r="BA232" s="5"/>
      <c r="BB232" s="5"/>
      <c r="BC232" s="5"/>
      <c r="BD232" s="5"/>
      <c r="BE232" s="5"/>
      <c r="BF232" s="58"/>
      <c r="BG232" s="5"/>
    </row>
    <row r="233" spans="1:59" ht="15.75" hidden="1" customHeight="1" outlineLevel="1">
      <c r="A233" s="27" t="s">
        <v>49</v>
      </c>
      <c r="B233" s="13" t="s">
        <v>46</v>
      </c>
      <c r="C233" s="27">
        <v>7</v>
      </c>
      <c r="D233" s="51" t="s">
        <v>29</v>
      </c>
      <c r="E233" s="52"/>
      <c r="F233" s="53"/>
      <c r="G233" s="53"/>
      <c r="H233" s="53"/>
      <c r="I233" s="53"/>
      <c r="J233" s="53"/>
      <c r="K233" s="53"/>
      <c r="L233" s="53"/>
      <c r="M233" s="53"/>
      <c r="N233" s="54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48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48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48"/>
      <c r="AY233" s="5"/>
      <c r="AZ233" s="5"/>
      <c r="BA233" s="5"/>
      <c r="BB233" s="5"/>
      <c r="BC233" s="5"/>
      <c r="BD233" s="5"/>
      <c r="BE233" s="5"/>
      <c r="BF233" s="58"/>
      <c r="BG233" s="5"/>
    </row>
    <row r="234" spans="1:59" ht="15.75" hidden="1" customHeight="1" outlineLevel="1">
      <c r="A234" s="27" t="s">
        <v>49</v>
      </c>
      <c r="B234" s="13" t="s">
        <v>46</v>
      </c>
      <c r="C234" s="27">
        <v>7</v>
      </c>
      <c r="D234" s="55" t="s">
        <v>30</v>
      </c>
      <c r="E234" s="52"/>
      <c r="F234" s="53"/>
      <c r="G234" s="53"/>
      <c r="H234" s="53"/>
      <c r="I234" s="53"/>
      <c r="J234" s="53"/>
      <c r="K234" s="53"/>
      <c r="L234" s="53"/>
      <c r="M234" s="53"/>
      <c r="N234" s="54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48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48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48"/>
      <c r="AY234" s="5"/>
      <c r="AZ234" s="5"/>
      <c r="BA234" s="5"/>
      <c r="BB234" s="5"/>
      <c r="BC234" s="5"/>
      <c r="BD234" s="5"/>
      <c r="BE234" s="5"/>
      <c r="BF234" s="58"/>
      <c r="BG234" s="5"/>
    </row>
    <row r="235" spans="1:59" ht="15.75" hidden="1" customHeight="1" outlineLevel="1">
      <c r="A235" s="27" t="s">
        <v>49</v>
      </c>
      <c r="B235" s="13" t="s">
        <v>46</v>
      </c>
      <c r="C235" s="27">
        <v>7</v>
      </c>
      <c r="D235" s="51" t="s">
        <v>31</v>
      </c>
      <c r="E235" s="52"/>
      <c r="F235" s="53"/>
      <c r="G235" s="53"/>
      <c r="H235" s="53"/>
      <c r="I235" s="53"/>
      <c r="J235" s="53"/>
      <c r="K235" s="53"/>
      <c r="L235" s="53"/>
      <c r="M235" s="53"/>
      <c r="N235" s="54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48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48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48"/>
      <c r="AY235" s="5"/>
      <c r="AZ235" s="5"/>
      <c r="BA235" s="5"/>
      <c r="BB235" s="5"/>
      <c r="BC235" s="5"/>
      <c r="BD235" s="5"/>
      <c r="BE235" s="5"/>
      <c r="BF235" s="58"/>
      <c r="BG235" s="5"/>
    </row>
    <row r="236" spans="1:59" ht="15.75" hidden="1" customHeight="1" outlineLevel="1">
      <c r="A236" s="27" t="s">
        <v>49</v>
      </c>
      <c r="B236" s="13" t="s">
        <v>46</v>
      </c>
      <c r="C236" s="27">
        <v>7</v>
      </c>
      <c r="D236" s="55" t="s">
        <v>38</v>
      </c>
      <c r="E236" s="52"/>
      <c r="F236" s="53"/>
      <c r="G236" s="53"/>
      <c r="H236" s="53"/>
      <c r="I236" s="53"/>
      <c r="J236" s="53"/>
      <c r="K236" s="53"/>
      <c r="L236" s="53"/>
      <c r="M236" s="53"/>
      <c r="N236" s="54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48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48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48"/>
      <c r="AY236" s="5"/>
      <c r="AZ236" s="5"/>
      <c r="BA236" s="5"/>
      <c r="BB236" s="5"/>
      <c r="BC236" s="5"/>
      <c r="BD236" s="5"/>
      <c r="BE236" s="5"/>
      <c r="BF236" s="58"/>
      <c r="BG236" s="5"/>
    </row>
    <row r="237" spans="1:59" ht="15.75" hidden="1" customHeight="1" outlineLevel="1">
      <c r="A237" s="27" t="s">
        <v>49</v>
      </c>
      <c r="B237" s="13" t="s">
        <v>46</v>
      </c>
      <c r="C237" s="27">
        <v>7</v>
      </c>
      <c r="D237" s="55" t="s">
        <v>41</v>
      </c>
      <c r="E237" s="52"/>
      <c r="F237" s="53"/>
      <c r="G237" s="53"/>
      <c r="H237" s="53"/>
      <c r="I237" s="53"/>
      <c r="J237" s="53"/>
      <c r="K237" s="53"/>
      <c r="L237" s="53"/>
      <c r="M237" s="53"/>
      <c r="N237" s="54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48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48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48"/>
      <c r="AY237" s="5"/>
      <c r="AZ237" s="5"/>
      <c r="BA237" s="5"/>
      <c r="BB237" s="5"/>
      <c r="BC237" s="5"/>
      <c r="BD237" s="5"/>
      <c r="BE237" s="5"/>
      <c r="BF237" s="58"/>
      <c r="BG237" s="5"/>
    </row>
    <row r="238" spans="1:59" ht="15.75" hidden="1" customHeight="1" outlineLevel="1">
      <c r="A238" s="27"/>
      <c r="C238" s="57"/>
      <c r="D238" s="55"/>
      <c r="E238" s="52"/>
      <c r="F238" s="53"/>
      <c r="G238" s="53"/>
      <c r="H238" s="53"/>
      <c r="I238" s="53"/>
      <c r="J238" s="53"/>
      <c r="K238" s="53"/>
      <c r="L238" s="53"/>
      <c r="M238" s="53"/>
      <c r="N238" s="54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48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48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48"/>
      <c r="AY238" s="5"/>
      <c r="AZ238" s="5"/>
      <c r="BA238" s="5"/>
      <c r="BB238" s="5"/>
      <c r="BC238" s="5"/>
      <c r="BD238" s="5"/>
      <c r="BE238" s="5"/>
      <c r="BF238" s="58"/>
      <c r="BG238" s="5"/>
    </row>
    <row r="239" spans="1:59" ht="15.75" hidden="1" customHeight="1" collapsed="1">
      <c r="A239" s="27"/>
      <c r="C239" s="57"/>
      <c r="D239" s="55"/>
      <c r="E239" s="52"/>
      <c r="F239" s="53"/>
      <c r="G239" s="53"/>
      <c r="H239" s="53"/>
      <c r="I239" s="53"/>
      <c r="J239" s="53"/>
      <c r="K239" s="53"/>
      <c r="L239" s="53"/>
      <c r="M239" s="53"/>
      <c r="N239" s="54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48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48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48"/>
      <c r="AY239" s="5"/>
      <c r="AZ239" s="5"/>
      <c r="BA239" s="5"/>
      <c r="BB239" s="5"/>
      <c r="BC239" s="5"/>
      <c r="BD239" s="5"/>
      <c r="BE239" s="5"/>
      <c r="BF239" s="58"/>
      <c r="BG239" s="5"/>
    </row>
    <row r="240" spans="1:59" ht="15.75" hidden="1" customHeight="1">
      <c r="A240" s="27" t="s">
        <v>49</v>
      </c>
      <c r="B240" s="13" t="s">
        <v>46</v>
      </c>
      <c r="C240" s="60"/>
      <c r="D240" s="55" t="s">
        <v>42</v>
      </c>
      <c r="E240" s="49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48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48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-56132.935460000001</v>
      </c>
      <c r="AI240" s="5">
        <v>-114245.44274</v>
      </c>
      <c r="AJ240" s="5">
        <v>-111904.14644</v>
      </c>
      <c r="AK240" s="5">
        <v>-107935.02946000001</v>
      </c>
      <c r="AL240" s="48">
        <v>-112965.64053999999</v>
      </c>
      <c r="AM240" s="5">
        <v>-126441.71793999999</v>
      </c>
      <c r="AN240" s="5">
        <v>-122360.57665999999</v>
      </c>
      <c r="AO240" s="5">
        <v>-143481.10436</v>
      </c>
      <c r="AP240" s="5">
        <v>-133838.66279999999</v>
      </c>
      <c r="AQ240" s="5">
        <v>-134646.15624000001</v>
      </c>
      <c r="AR240" s="5">
        <v>-139837.25745999999</v>
      </c>
      <c r="AS240" s="5">
        <v>-132505.97323999999</v>
      </c>
      <c r="AT240" s="5">
        <v>-230580.62482701705</v>
      </c>
      <c r="AU240" s="5">
        <v>-300719.08620131691</v>
      </c>
      <c r="AV240" s="5">
        <v>-281243.14467166597</v>
      </c>
      <c r="AW240" s="5">
        <v>-263330.46863999998</v>
      </c>
      <c r="AX240" s="48">
        <v>-291605.53067999997</v>
      </c>
      <c r="AY240" s="5">
        <v>-319124.76551999996</v>
      </c>
      <c r="AZ240" s="5">
        <v>-331365.90995999996</v>
      </c>
      <c r="BA240" s="5">
        <v>-401946.98525999999</v>
      </c>
      <c r="BB240" s="5">
        <v>-339336.70362000004</v>
      </c>
      <c r="BC240" s="5">
        <v>-372842.15597999998</v>
      </c>
      <c r="BD240" s="5">
        <v>-346401.70991999999</v>
      </c>
      <c r="BE240" s="5">
        <v>-355637.24567999993</v>
      </c>
      <c r="BF240" s="58">
        <v>-167923.73573999997</v>
      </c>
      <c r="BG240" s="5">
        <v>-3924.9311399999997</v>
      </c>
    </row>
    <row r="241" spans="1:59" ht="15.75" hidden="1" customHeight="1">
      <c r="A241" s="27" t="s">
        <v>49</v>
      </c>
      <c r="B241" s="13" t="s">
        <v>46</v>
      </c>
      <c r="C241" s="60"/>
      <c r="D241" s="55" t="s">
        <v>43</v>
      </c>
      <c r="E241" s="49">
        <v>0</v>
      </c>
      <c r="F241" s="5">
        <f>(E242+F201+F207+F213+F219+F225+F231+F237+F240/2)*F$399</f>
        <v>0</v>
      </c>
      <c r="G241" s="5">
        <f t="shared" ref="G241:BG241" si="111">(F242+G201+G207+G213+G219+G225+G231+G237+G240/2)*G$399</f>
        <v>0</v>
      </c>
      <c r="H241" s="5">
        <f t="shared" si="111"/>
        <v>0</v>
      </c>
      <c r="I241" s="5">
        <f t="shared" si="111"/>
        <v>0</v>
      </c>
      <c r="J241" s="5">
        <f t="shared" si="111"/>
        <v>0</v>
      </c>
      <c r="K241" s="5">
        <f t="shared" si="111"/>
        <v>0</v>
      </c>
      <c r="L241" s="5">
        <f t="shared" si="111"/>
        <v>0</v>
      </c>
      <c r="M241" s="5">
        <f t="shared" si="111"/>
        <v>0</v>
      </c>
      <c r="N241" s="48">
        <f t="shared" si="111"/>
        <v>0</v>
      </c>
      <c r="O241" s="5">
        <f t="shared" si="111"/>
        <v>3420.324041541046</v>
      </c>
      <c r="P241" s="5">
        <f t="shared" si="111"/>
        <v>3431.9531432822855</v>
      </c>
      <c r="Q241" s="5">
        <f t="shared" si="111"/>
        <v>3342.3387903232856</v>
      </c>
      <c r="R241" s="5">
        <f t="shared" si="111"/>
        <v>3658.2201909069295</v>
      </c>
      <c r="S241" s="5">
        <f t="shared" si="111"/>
        <v>3569.4067340499114</v>
      </c>
      <c r="T241" s="5">
        <f t="shared" si="111"/>
        <v>3684.2396478367741</v>
      </c>
      <c r="U241" s="5">
        <f t="shared" si="111"/>
        <v>3697.5029105689864</v>
      </c>
      <c r="V241" s="5">
        <f t="shared" si="111"/>
        <v>3401.5794276264483</v>
      </c>
      <c r="W241" s="5">
        <f t="shared" si="111"/>
        <v>3723.0596069864896</v>
      </c>
      <c r="X241" s="5">
        <f t="shared" si="111"/>
        <v>3840.2532499486315</v>
      </c>
      <c r="Y241" s="5">
        <f t="shared" si="111"/>
        <v>3958.6368406754259</v>
      </c>
      <c r="Z241" s="48">
        <f t="shared" si="111"/>
        <v>3869.1091432839403</v>
      </c>
      <c r="AA241" s="5">
        <f t="shared" si="111"/>
        <v>4198.2971320152328</v>
      </c>
      <c r="AB241" s="5">
        <f t="shared" si="111"/>
        <v>4215.0903205432942</v>
      </c>
      <c r="AC241" s="5">
        <f t="shared" si="111"/>
        <v>4126.1519147798308</v>
      </c>
      <c r="AD241" s="5">
        <f t="shared" si="111"/>
        <v>4460.8780539588161</v>
      </c>
      <c r="AE241" s="5">
        <f t="shared" si="111"/>
        <v>4372.9562717429326</v>
      </c>
      <c r="AF241" s="5">
        <f t="shared" si="111"/>
        <v>4497.9801581267629</v>
      </c>
      <c r="AG241" s="5">
        <f t="shared" si="111"/>
        <v>4731.9608021618906</v>
      </c>
      <c r="AH241" s="5">
        <f t="shared" si="111"/>
        <v>7868.5327874037339</v>
      </c>
      <c r="AI241" s="5">
        <f t="shared" si="111"/>
        <v>8315.1751783686832</v>
      </c>
      <c r="AJ241" s="5">
        <f t="shared" si="111"/>
        <v>8032.7381450701741</v>
      </c>
      <c r="AK241" s="5">
        <f t="shared" si="111"/>
        <v>7742.5639280801679</v>
      </c>
      <c r="AL241" s="48">
        <f t="shared" si="111"/>
        <v>7112.0623511243502</v>
      </c>
      <c r="AM241" s="5">
        <f t="shared" si="111"/>
        <v>6898.9734117966073</v>
      </c>
      <c r="AN241" s="5">
        <f t="shared" si="111"/>
        <v>6346.7131945220517</v>
      </c>
      <c r="AO241" s="5">
        <f t="shared" si="111"/>
        <v>5507.0567197078435</v>
      </c>
      <c r="AP241" s="5">
        <f t="shared" si="111"/>
        <v>5016.9327543662303</v>
      </c>
      <c r="AQ241" s="5">
        <f t="shared" si="111"/>
        <v>4326.354353391177</v>
      </c>
      <c r="AR241" s="5">
        <f t="shared" si="111"/>
        <v>3811.0849397599141</v>
      </c>
      <c r="AS241" s="5">
        <f t="shared" si="111"/>
        <v>2923.7720216230005</v>
      </c>
      <c r="AT241" s="5">
        <f t="shared" si="111"/>
        <v>15373.127237584556</v>
      </c>
      <c r="AU241" s="5">
        <f t="shared" si="111"/>
        <v>15504.513227867876</v>
      </c>
      <c r="AV241" s="5">
        <f t="shared" si="111"/>
        <v>13322.689248692253</v>
      </c>
      <c r="AW241" s="5">
        <f t="shared" si="111"/>
        <v>12628.440195696825</v>
      </c>
      <c r="AX241" s="48">
        <f t="shared" si="111"/>
        <v>11279.854908893622</v>
      </c>
      <c r="AY241" s="5">
        <f t="shared" si="111"/>
        <v>7534.7370691795104</v>
      </c>
      <c r="AZ241" s="5">
        <f t="shared" si="111"/>
        <v>6613.3763272341312</v>
      </c>
      <c r="BA241" s="5">
        <f t="shared" si="111"/>
        <v>5377.2082680825897</v>
      </c>
      <c r="BB241" s="5">
        <f t="shared" si="111"/>
        <v>4354.4672868012221</v>
      </c>
      <c r="BC241" s="5">
        <f t="shared" si="111"/>
        <v>3249.2661992012559</v>
      </c>
      <c r="BD241" s="5">
        <f t="shared" si="111"/>
        <v>2371.765924862028</v>
      </c>
      <c r="BE241" s="5">
        <f t="shared" si="111"/>
        <v>1395.5523316116421</v>
      </c>
      <c r="BF241" s="58">
        <f t="shared" si="111"/>
        <v>591.1818782518402</v>
      </c>
      <c r="BG241" s="5">
        <f t="shared" si="111"/>
        <v>423.19087926916615</v>
      </c>
    </row>
    <row r="242" spans="1:59" ht="15.75" hidden="1" customHeight="1">
      <c r="A242" s="38" t="s">
        <v>49</v>
      </c>
      <c r="B242" s="37" t="s">
        <v>46</v>
      </c>
      <c r="C242" s="61"/>
      <c r="D242" s="62" t="s">
        <v>44</v>
      </c>
      <c r="E242" s="63">
        <v>0</v>
      </c>
      <c r="F242" s="56">
        <f>E242+F201+F207+F213+F219+F225+F240+F241+F231+F237</f>
        <v>0</v>
      </c>
      <c r="G242" s="56">
        <f t="shared" ref="G242:BG242" si="112">F242+G201+G207+G213+G219+G225+G240+G241+G231+G237</f>
        <v>0</v>
      </c>
      <c r="H242" s="56">
        <f t="shared" si="112"/>
        <v>0</v>
      </c>
      <c r="I242" s="56">
        <f t="shared" si="112"/>
        <v>0</v>
      </c>
      <c r="J242" s="56">
        <f t="shared" si="112"/>
        <v>0</v>
      </c>
      <c r="K242" s="56">
        <f t="shared" si="112"/>
        <v>0</v>
      </c>
      <c r="L242" s="56">
        <f t="shared" si="112"/>
        <v>0</v>
      </c>
      <c r="M242" s="56">
        <f t="shared" si="112"/>
        <v>0</v>
      </c>
      <c r="N242" s="64">
        <f t="shared" si="112"/>
        <v>0</v>
      </c>
      <c r="O242" s="56">
        <f t="shared" si="112"/>
        <v>1009397.9833183193</v>
      </c>
      <c r="P242" s="56">
        <f t="shared" si="112"/>
        <v>1012829.9364616016</v>
      </c>
      <c r="Q242" s="56">
        <f t="shared" si="112"/>
        <v>1016172.2752519249</v>
      </c>
      <c r="R242" s="56">
        <f t="shared" si="112"/>
        <v>1019830.4954428318</v>
      </c>
      <c r="S242" s="56">
        <f t="shared" si="112"/>
        <v>1023399.9021768817</v>
      </c>
      <c r="T242" s="56">
        <f t="shared" si="112"/>
        <v>1027084.1418247184</v>
      </c>
      <c r="U242" s="56">
        <f t="shared" si="112"/>
        <v>1030781.6447352874</v>
      </c>
      <c r="V242" s="56">
        <f t="shared" si="112"/>
        <v>1034183.2241629139</v>
      </c>
      <c r="W242" s="56">
        <f t="shared" si="112"/>
        <v>1037906.2837699003</v>
      </c>
      <c r="X242" s="56">
        <f t="shared" si="112"/>
        <v>1041746.5370198489</v>
      </c>
      <c r="Y242" s="56">
        <f t="shared" si="112"/>
        <v>1045705.1738605243</v>
      </c>
      <c r="Z242" s="64">
        <f t="shared" si="112"/>
        <v>1049574.2830038082</v>
      </c>
      <c r="AA242" s="56">
        <f t="shared" si="112"/>
        <v>1053772.5801358235</v>
      </c>
      <c r="AB242" s="56">
        <f t="shared" si="112"/>
        <v>1057987.6704563668</v>
      </c>
      <c r="AC242" s="56">
        <f t="shared" si="112"/>
        <v>1062113.8223711466</v>
      </c>
      <c r="AD242" s="56">
        <f t="shared" si="112"/>
        <v>1066574.7004251054</v>
      </c>
      <c r="AE242" s="56">
        <f t="shared" si="112"/>
        <v>1070947.6566968483</v>
      </c>
      <c r="AF242" s="56">
        <f t="shared" si="112"/>
        <v>1075445.636854975</v>
      </c>
      <c r="AG242" s="56">
        <f t="shared" si="112"/>
        <v>1080177.5976571369</v>
      </c>
      <c r="AH242" s="56">
        <f t="shared" si="112"/>
        <v>1946935.261908337</v>
      </c>
      <c r="AI242" s="56">
        <f t="shared" si="112"/>
        <v>1841004.9943467055</v>
      </c>
      <c r="AJ242" s="56">
        <f t="shared" si="112"/>
        <v>1737133.5860517756</v>
      </c>
      <c r="AK242" s="56">
        <f t="shared" si="112"/>
        <v>1636941.1205198558</v>
      </c>
      <c r="AL242" s="64">
        <f t="shared" si="112"/>
        <v>1531087.5423309801</v>
      </c>
      <c r="AM242" s="56">
        <f t="shared" si="112"/>
        <v>1411544.7978027768</v>
      </c>
      <c r="AN242" s="56">
        <f t="shared" si="112"/>
        <v>1295530.9343372989</v>
      </c>
      <c r="AO242" s="56">
        <f t="shared" si="112"/>
        <v>1157556.8866970066</v>
      </c>
      <c r="AP242" s="56">
        <f t="shared" si="112"/>
        <v>1028735.1566513728</v>
      </c>
      <c r="AQ242" s="56">
        <f t="shared" si="112"/>
        <v>898415.35476476396</v>
      </c>
      <c r="AR242" s="56">
        <f t="shared" si="112"/>
        <v>762389.18224452389</v>
      </c>
      <c r="AS242" s="56">
        <f t="shared" si="112"/>
        <v>632806.98102614691</v>
      </c>
      <c r="AT242" s="56">
        <f t="shared" si="112"/>
        <v>3841910.3116406291</v>
      </c>
      <c r="AU242" s="56">
        <f t="shared" si="112"/>
        <v>3556695.7386671798</v>
      </c>
      <c r="AV242" s="56">
        <f t="shared" si="112"/>
        <v>3288775.2832442061</v>
      </c>
      <c r="AW242" s="56">
        <f t="shared" si="112"/>
        <v>3038073.2547999029</v>
      </c>
      <c r="AX242" s="64">
        <f t="shared" si="112"/>
        <v>2757747.5790287969</v>
      </c>
      <c r="AY242" s="56">
        <f t="shared" si="112"/>
        <v>2446157.5505779763</v>
      </c>
      <c r="AZ242" s="56">
        <f t="shared" si="112"/>
        <v>2121405.0169452108</v>
      </c>
      <c r="BA242" s="56">
        <f t="shared" si="112"/>
        <v>1724835.2399532935</v>
      </c>
      <c r="BB242" s="56">
        <f t="shared" si="112"/>
        <v>1389853.0036200946</v>
      </c>
      <c r="BC242" s="56">
        <f t="shared" si="112"/>
        <v>1020260.1138392958</v>
      </c>
      <c r="BD242" s="56">
        <f t="shared" si="112"/>
        <v>676230.16984415788</v>
      </c>
      <c r="BE242" s="56">
        <f t="shared" si="112"/>
        <v>321988.47649576957</v>
      </c>
      <c r="BF242" s="59">
        <f t="shared" si="112"/>
        <v>153102.06530898792</v>
      </c>
      <c r="BG242" s="56">
        <f t="shared" si="112"/>
        <v>149600.32504825707</v>
      </c>
    </row>
    <row r="243" spans="1:59" ht="15.75" hidden="1" customHeight="1" outlineLevel="1">
      <c r="A243" s="27"/>
      <c r="B243" s="27"/>
      <c r="C243" s="60"/>
      <c r="D243" s="55"/>
      <c r="E243" s="52"/>
      <c r="F243" s="53"/>
      <c r="G243" s="53"/>
      <c r="H243" s="53"/>
      <c r="I243" s="53"/>
      <c r="J243" s="53"/>
      <c r="K243" s="53"/>
      <c r="L243" s="53"/>
      <c r="M243" s="53"/>
      <c r="N243" s="54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48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48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48"/>
      <c r="AY243" s="5"/>
      <c r="AZ243" s="5"/>
      <c r="BA243" s="5"/>
      <c r="BB243" s="5"/>
      <c r="BC243" s="5"/>
      <c r="BD243" s="5"/>
      <c r="BE243" s="5"/>
      <c r="BF243" s="58"/>
      <c r="BG243" s="5"/>
    </row>
    <row r="244" spans="1:59" ht="15.75" hidden="1" customHeight="1" outlineLevel="1">
      <c r="A244" s="27" t="s">
        <v>49</v>
      </c>
      <c r="B244" s="13" t="s">
        <v>47</v>
      </c>
      <c r="C244" s="27">
        <v>1</v>
      </c>
      <c r="D244" s="51" t="s">
        <v>29</v>
      </c>
      <c r="E244" s="49">
        <f>Deferral!G133</f>
        <v>17222.859303724617</v>
      </c>
      <c r="F244" s="5">
        <f>Deferral!H133</f>
        <v>52928.886616180534</v>
      </c>
      <c r="G244" s="5">
        <f>Deferral!I133</f>
        <v>45579.509528007242</v>
      </c>
      <c r="H244" s="5">
        <f>Deferral!J133</f>
        <v>-14215.562204055197</v>
      </c>
      <c r="I244" s="5">
        <f>Deferral!K133</f>
        <v>30409.91517272027</v>
      </c>
      <c r="J244" s="5">
        <f>Deferral!L133</f>
        <v>48528.935781876033</v>
      </c>
      <c r="K244" s="5">
        <f>Deferral!M133</f>
        <v>58628.778357578325</v>
      </c>
      <c r="L244" s="5">
        <f>Deferral!N133</f>
        <v>38234.19034592493</v>
      </c>
      <c r="M244" s="5">
        <f>Deferral!O133</f>
        <v>73392.570063631749</v>
      </c>
      <c r="N244" s="48">
        <f>Deferral!P133</f>
        <v>37803.075442780799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48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48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48"/>
      <c r="AY244" s="5"/>
      <c r="AZ244" s="5"/>
      <c r="BA244" s="5"/>
      <c r="BB244" s="5"/>
      <c r="BC244" s="5"/>
      <c r="BD244" s="5"/>
      <c r="BE244" s="5"/>
      <c r="BF244" s="58"/>
      <c r="BG244" s="5"/>
    </row>
    <row r="245" spans="1:59" ht="15.75" hidden="1" customHeight="1" outlineLevel="1">
      <c r="A245" s="27" t="s">
        <v>49</v>
      </c>
      <c r="B245" s="13" t="s">
        <v>47</v>
      </c>
      <c r="C245" s="27">
        <v>1</v>
      </c>
      <c r="D245" s="55" t="s">
        <v>30</v>
      </c>
      <c r="E245" s="52">
        <f>E244/2*E$399</f>
        <v>25.116669817931736</v>
      </c>
      <c r="F245" s="53">
        <f>(E246+F244/2)*F$399</f>
        <v>127.49455623809571</v>
      </c>
      <c r="G245" s="53">
        <f t="shared" ref="G245:N245" si="113">(F246+G244/2)*G$399</f>
        <v>271.52449307073067</v>
      </c>
      <c r="H245" s="53">
        <f t="shared" si="113"/>
        <v>318.05552935628378</v>
      </c>
      <c r="I245" s="53">
        <f t="shared" si="113"/>
        <v>352.38852623610114</v>
      </c>
      <c r="J245" s="53">
        <f t="shared" si="113"/>
        <v>424.66857142203355</v>
      </c>
      <c r="K245" s="53">
        <f t="shared" si="113"/>
        <v>633.86454517015147</v>
      </c>
      <c r="L245" s="53">
        <f t="shared" si="113"/>
        <v>781.06059186091693</v>
      </c>
      <c r="M245" s="53">
        <f t="shared" si="113"/>
        <v>1014.2335085342237</v>
      </c>
      <c r="N245" s="54">
        <f t="shared" si="113"/>
        <v>1120.6800830360562</v>
      </c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48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48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48"/>
      <c r="AY245" s="5"/>
      <c r="AZ245" s="5"/>
      <c r="BA245" s="5"/>
      <c r="BB245" s="5"/>
      <c r="BC245" s="5"/>
      <c r="BD245" s="5"/>
      <c r="BE245" s="5"/>
      <c r="BF245" s="58"/>
      <c r="BG245" s="5"/>
    </row>
    <row r="246" spans="1:59" ht="15.75" hidden="1" customHeight="1" outlineLevel="1">
      <c r="A246" s="27" t="s">
        <v>49</v>
      </c>
      <c r="B246" s="13" t="s">
        <v>47</v>
      </c>
      <c r="C246" s="27">
        <v>1</v>
      </c>
      <c r="D246" s="51" t="s">
        <v>31</v>
      </c>
      <c r="E246" s="52">
        <f>E244+E245</f>
        <v>17247.97597354255</v>
      </c>
      <c r="F246" s="53">
        <f>E246+SUM(F244:F245)</f>
        <v>70304.357145961185</v>
      </c>
      <c r="G246" s="53">
        <f t="shared" ref="G246" si="114">F246+SUM(G244:G245)</f>
        <v>116155.39116703917</v>
      </c>
      <c r="H246" s="53">
        <f t="shared" ref="H246:N246" si="115">G246+SUM(H244:H245)</f>
        <v>102257.88449234025</v>
      </c>
      <c r="I246" s="53">
        <f t="shared" si="115"/>
        <v>133020.18819129662</v>
      </c>
      <c r="J246" s="53">
        <f t="shared" si="115"/>
        <v>181973.79254459467</v>
      </c>
      <c r="K246" s="53">
        <f t="shared" si="115"/>
        <v>241236.43544734316</v>
      </c>
      <c r="L246" s="53">
        <f t="shared" si="115"/>
        <v>280251.686385129</v>
      </c>
      <c r="M246" s="53">
        <f t="shared" si="115"/>
        <v>354658.48995729495</v>
      </c>
      <c r="N246" s="54">
        <f t="shared" si="115"/>
        <v>393582.24548311182</v>
      </c>
      <c r="O246" s="5">
        <f>N246</f>
        <v>393582.24548311182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48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48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48"/>
      <c r="AY246" s="5"/>
      <c r="AZ246" s="5"/>
      <c r="BA246" s="5"/>
      <c r="BB246" s="5"/>
      <c r="BC246" s="5"/>
      <c r="BD246" s="5"/>
      <c r="BE246" s="5"/>
      <c r="BF246" s="58"/>
      <c r="BG246" s="5"/>
    </row>
    <row r="247" spans="1:59" ht="15.75" hidden="1" customHeight="1" outlineLevel="1">
      <c r="A247" s="27" t="s">
        <v>49</v>
      </c>
      <c r="B247" s="13" t="s">
        <v>47</v>
      </c>
      <c r="C247" s="27">
        <v>1</v>
      </c>
      <c r="D247" s="55" t="s">
        <v>32</v>
      </c>
      <c r="E247" s="52"/>
      <c r="F247" s="53"/>
      <c r="G247" s="53"/>
      <c r="H247" s="53"/>
      <c r="I247" s="53"/>
      <c r="J247" s="53"/>
      <c r="K247" s="53"/>
      <c r="L247" s="53"/>
      <c r="M247" s="53"/>
      <c r="N247" s="54"/>
      <c r="O247" s="56">
        <f>O408</f>
        <v>-980665.04212189792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48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48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48"/>
      <c r="AY247" s="5"/>
      <c r="AZ247" s="5"/>
      <c r="BA247" s="5"/>
      <c r="BB247" s="5"/>
      <c r="BC247" s="5"/>
      <c r="BD247" s="5"/>
      <c r="BE247" s="5"/>
      <c r="BF247" s="58"/>
      <c r="BG247" s="5"/>
    </row>
    <row r="248" spans="1:59" ht="15.75" hidden="1" customHeight="1" outlineLevel="1">
      <c r="A248" s="27" t="s">
        <v>49</v>
      </c>
      <c r="B248" s="13" t="s">
        <v>47</v>
      </c>
      <c r="C248" s="27">
        <v>1</v>
      </c>
      <c r="D248" s="55" t="s">
        <v>33</v>
      </c>
      <c r="E248" s="52"/>
      <c r="F248" s="53"/>
      <c r="G248" s="53"/>
      <c r="H248" s="53"/>
      <c r="I248" s="53"/>
      <c r="J248" s="53"/>
      <c r="K248" s="53"/>
      <c r="L248" s="53"/>
      <c r="M248" s="53"/>
      <c r="N248" s="54"/>
      <c r="O248" s="5">
        <f>SUM(O246:O247)</f>
        <v>-587082.79663878609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48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48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48"/>
      <c r="AY248" s="5"/>
      <c r="AZ248" s="5"/>
      <c r="BA248" s="5"/>
      <c r="BB248" s="5"/>
      <c r="BC248" s="5"/>
      <c r="BD248" s="5"/>
      <c r="BE248" s="5"/>
      <c r="BF248" s="58"/>
      <c r="BG248" s="5"/>
    </row>
    <row r="249" spans="1:59" ht="15.75" hidden="1" customHeight="1" outlineLevel="1">
      <c r="A249" s="27"/>
      <c r="C249" s="27"/>
      <c r="D249" s="55"/>
      <c r="E249" s="52"/>
      <c r="F249" s="53"/>
      <c r="G249" s="53"/>
      <c r="H249" s="53"/>
      <c r="I249" s="53"/>
      <c r="J249" s="53"/>
      <c r="K249" s="53"/>
      <c r="L249" s="53"/>
      <c r="M249" s="53"/>
      <c r="N249" s="54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48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48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48"/>
      <c r="AY249" s="5"/>
      <c r="AZ249" s="5"/>
      <c r="BA249" s="5"/>
      <c r="BB249" s="5"/>
      <c r="BC249" s="5"/>
      <c r="BD249" s="5"/>
      <c r="BE249" s="5"/>
      <c r="BF249" s="58"/>
      <c r="BG249" s="5"/>
    </row>
    <row r="250" spans="1:59" ht="15.75" hidden="1" customHeight="1" outlineLevel="1">
      <c r="A250" s="27" t="s">
        <v>49</v>
      </c>
      <c r="B250" s="13" t="s">
        <v>47</v>
      </c>
      <c r="C250" s="27">
        <v>2</v>
      </c>
      <c r="D250" s="51" t="s">
        <v>29</v>
      </c>
      <c r="E250" s="52"/>
      <c r="F250" s="53"/>
      <c r="G250" s="53"/>
      <c r="H250" s="53"/>
      <c r="I250" s="53"/>
      <c r="J250" s="53"/>
      <c r="K250" s="53"/>
      <c r="L250" s="53"/>
      <c r="M250" s="53"/>
      <c r="N250" s="50"/>
      <c r="O250" s="5">
        <f>Deferral!Q133</f>
        <v>35972.863777207618</v>
      </c>
      <c r="P250" s="5">
        <f>Deferral!R133</f>
        <v>-13054.375456027337</v>
      </c>
      <c r="Q250" s="5">
        <f>Deferral!S133+Deferral!T133</f>
        <v>65180.822818919907</v>
      </c>
      <c r="R250" s="5">
        <f>Deferral!U133+Deferral!V133</f>
        <v>23070.631972229996</v>
      </c>
      <c r="S250" s="5">
        <f>Deferral!W133</f>
        <v>-28045.554788944253</v>
      </c>
      <c r="T250" s="5">
        <f>Deferral!X133</f>
        <v>12814.535079232301</v>
      </c>
      <c r="U250" s="5">
        <f>Deferral!Y133</f>
        <v>-56095.17829875485</v>
      </c>
      <c r="V250" s="5">
        <f>Deferral!Z133</f>
        <v>40512.638831586228</v>
      </c>
      <c r="W250" s="5">
        <f>Deferral!AA133</f>
        <v>33047.236999852059</v>
      </c>
      <c r="X250" s="5">
        <f>Deferral!AB133</f>
        <v>-23962.270096416585</v>
      </c>
      <c r="Y250" s="5">
        <f>Deferral!AC133</f>
        <v>83227.285235735122</v>
      </c>
      <c r="Z250" s="48">
        <f>Deferral!AD133</f>
        <v>19575.391076932428</v>
      </c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48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48"/>
      <c r="AY250" s="5"/>
      <c r="AZ250" s="5"/>
      <c r="BA250" s="5"/>
      <c r="BB250" s="5"/>
      <c r="BC250" s="5"/>
      <c r="BD250" s="5"/>
      <c r="BE250" s="5"/>
      <c r="BF250" s="58"/>
      <c r="BG250" s="5"/>
    </row>
    <row r="251" spans="1:59" ht="15.75" hidden="1" customHeight="1" outlineLevel="1">
      <c r="A251" s="27" t="s">
        <v>49</v>
      </c>
      <c r="B251" s="13" t="s">
        <v>47</v>
      </c>
      <c r="C251" s="27">
        <v>2</v>
      </c>
      <c r="D251" s="55" t="s">
        <v>30</v>
      </c>
      <c r="E251" s="52"/>
      <c r="F251" s="53"/>
      <c r="G251" s="53"/>
      <c r="H251" s="53"/>
      <c r="I251" s="53"/>
      <c r="J251" s="53"/>
      <c r="K251" s="53"/>
      <c r="L251" s="53"/>
      <c r="M251" s="53"/>
      <c r="N251" s="54"/>
      <c r="O251" s="5">
        <f>O250/2*O$399</f>
        <v>61.153868421252945</v>
      </c>
      <c r="P251" s="5">
        <f t="shared" ref="P251:Z251" si="116">(O252+P250/2)*P$399</f>
        <v>100.32322171989168</v>
      </c>
      <c r="Q251" s="5">
        <f t="shared" si="116"/>
        <v>183.71224350857852</v>
      </c>
      <c r="R251" s="5">
        <f t="shared" si="116"/>
        <v>359.92733925551363</v>
      </c>
      <c r="S251" s="5">
        <f t="shared" si="116"/>
        <v>342.48298836767157</v>
      </c>
      <c r="T251" s="5">
        <f t="shared" si="116"/>
        <v>326.08531988738997</v>
      </c>
      <c r="U251" s="5">
        <f t="shared" si="116"/>
        <v>249.35406924384401</v>
      </c>
      <c r="V251" s="5">
        <f t="shared" si="116"/>
        <v>203.68624178120015</v>
      </c>
      <c r="W251" s="5">
        <f t="shared" si="116"/>
        <v>355.34421981921957</v>
      </c>
      <c r="X251" s="5">
        <f t="shared" si="116"/>
        <v>383.33685497666244</v>
      </c>
      <c r="Y251" s="5">
        <f t="shared" si="116"/>
        <v>507.75751933018881</v>
      </c>
      <c r="Z251" s="48">
        <f t="shared" si="116"/>
        <v>686.45913334777208</v>
      </c>
      <c r="AA251" s="5">
        <f t="shared" ref="AA251:AG251" si="117">Z252*AA$399</f>
        <v>784.01460068484744</v>
      </c>
      <c r="AB251" s="5">
        <f t="shared" si="117"/>
        <v>787.15065908758686</v>
      </c>
      <c r="AC251" s="5">
        <f t="shared" si="117"/>
        <v>770.5417801808386</v>
      </c>
      <c r="AD251" s="5">
        <f t="shared" si="117"/>
        <v>833.05050028689345</v>
      </c>
      <c r="AE251" s="5">
        <f t="shared" si="117"/>
        <v>816.63147161695338</v>
      </c>
      <c r="AF251" s="5">
        <f t="shared" si="117"/>
        <v>839.97916456888959</v>
      </c>
      <c r="AG251" s="5">
        <f t="shared" si="117"/>
        <v>883.67408072960654</v>
      </c>
      <c r="AH251" s="5"/>
      <c r="AI251" s="5"/>
      <c r="AJ251" s="5"/>
      <c r="AK251" s="5"/>
      <c r="AL251" s="48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48"/>
      <c r="AY251" s="5"/>
      <c r="AZ251" s="5"/>
      <c r="BA251" s="5"/>
      <c r="BB251" s="5"/>
      <c r="BC251" s="5"/>
      <c r="BD251" s="5"/>
      <c r="BE251" s="5"/>
      <c r="BF251" s="58"/>
      <c r="BG251" s="5"/>
    </row>
    <row r="252" spans="1:59" ht="15.75" hidden="1" customHeight="1" outlineLevel="1">
      <c r="A252" s="27" t="s">
        <v>49</v>
      </c>
      <c r="B252" s="13" t="s">
        <v>47</v>
      </c>
      <c r="C252" s="27">
        <v>2</v>
      </c>
      <c r="D252" s="51" t="s">
        <v>31</v>
      </c>
      <c r="E252" s="52"/>
      <c r="F252" s="53"/>
      <c r="G252" s="53"/>
      <c r="H252" s="53"/>
      <c r="I252" s="53"/>
      <c r="J252" s="53"/>
      <c r="K252" s="53"/>
      <c r="L252" s="53"/>
      <c r="M252" s="53"/>
      <c r="N252" s="54"/>
      <c r="O252" s="5">
        <f>SUM(O250:O251)</f>
        <v>36034.017645628868</v>
      </c>
      <c r="P252" s="5">
        <f>O252+SUM(P250:P251)</f>
        <v>23079.96541132142</v>
      </c>
      <c r="Q252" s="5">
        <f t="shared" ref="Q252" si="118">P252+SUM(Q250:Q251)</f>
        <v>88444.500473749911</v>
      </c>
      <c r="R252" s="5">
        <f t="shared" ref="R252:Z252" si="119">Q252+SUM(R250:R251)</f>
        <v>111875.05978523543</v>
      </c>
      <c r="S252" s="5">
        <f t="shared" si="119"/>
        <v>84171.987984658845</v>
      </c>
      <c r="T252" s="5">
        <f t="shared" si="119"/>
        <v>97312.608383778541</v>
      </c>
      <c r="U252" s="5">
        <f t="shared" si="119"/>
        <v>41466.784154267538</v>
      </c>
      <c r="V252" s="5">
        <f t="shared" si="119"/>
        <v>82183.109227634966</v>
      </c>
      <c r="W252" s="5">
        <f t="shared" si="119"/>
        <v>115585.69044730625</v>
      </c>
      <c r="X252" s="5">
        <f t="shared" si="119"/>
        <v>92006.757205866321</v>
      </c>
      <c r="Y252" s="5">
        <f t="shared" si="119"/>
        <v>175741.79996093165</v>
      </c>
      <c r="Z252" s="48">
        <f t="shared" si="119"/>
        <v>196003.65017121186</v>
      </c>
      <c r="AA252" s="5">
        <f>Z252+AA251</f>
        <v>196787.6647718967</v>
      </c>
      <c r="AB252" s="5">
        <f t="shared" ref="AB252:AE252" si="120">AA252+AB251</f>
        <v>197574.81543098428</v>
      </c>
      <c r="AC252" s="5">
        <f t="shared" si="120"/>
        <v>198345.35721116513</v>
      </c>
      <c r="AD252" s="5">
        <f t="shared" si="120"/>
        <v>199178.40771145202</v>
      </c>
      <c r="AE252" s="5">
        <f t="shared" si="120"/>
        <v>199995.03918306896</v>
      </c>
      <c r="AF252" s="5">
        <f>AE252+AF251</f>
        <v>200835.01834763784</v>
      </c>
      <c r="AG252" s="5">
        <f>AF252+AG251</f>
        <v>201718.69242836745</v>
      </c>
      <c r="AH252" s="5">
        <f>AG252</f>
        <v>201718.69242836745</v>
      </c>
      <c r="AI252" s="5"/>
      <c r="AJ252" s="5"/>
      <c r="AK252" s="5"/>
      <c r="AL252" s="48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48"/>
      <c r="AY252" s="5"/>
      <c r="AZ252" s="5"/>
      <c r="BA252" s="5"/>
      <c r="BB252" s="5"/>
      <c r="BC252" s="5"/>
      <c r="BD252" s="5"/>
      <c r="BE252" s="5"/>
      <c r="BF252" s="58"/>
      <c r="BG252" s="5"/>
    </row>
    <row r="253" spans="1:59" ht="15.75" hidden="1" customHeight="1" outlineLevel="1">
      <c r="A253" s="27" t="s">
        <v>49</v>
      </c>
      <c r="B253" s="13" t="s">
        <v>47</v>
      </c>
      <c r="C253" s="27">
        <v>2</v>
      </c>
      <c r="D253" s="55" t="s">
        <v>32</v>
      </c>
      <c r="E253" s="52"/>
      <c r="F253" s="53"/>
      <c r="G253" s="53"/>
      <c r="H253" s="53"/>
      <c r="I253" s="53"/>
      <c r="J253" s="53"/>
      <c r="K253" s="53"/>
      <c r="L253" s="53"/>
      <c r="M253" s="53"/>
      <c r="N253" s="54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48"/>
      <c r="AA253" s="5"/>
      <c r="AB253" s="5"/>
      <c r="AC253" s="5"/>
      <c r="AD253" s="5"/>
      <c r="AE253" s="5"/>
      <c r="AF253" s="5"/>
      <c r="AG253" s="5"/>
      <c r="AH253" s="56">
        <f>AH416</f>
        <v>90223.225196418105</v>
      </c>
      <c r="AI253" s="5"/>
      <c r="AJ253" s="5"/>
      <c r="AK253" s="5"/>
      <c r="AL253" s="48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48"/>
      <c r="AY253" s="5"/>
      <c r="AZ253" s="5"/>
      <c r="BA253" s="5"/>
      <c r="BB253" s="5"/>
      <c r="BC253" s="5"/>
      <c r="BD253" s="5"/>
      <c r="BE253" s="5"/>
      <c r="BF253" s="58"/>
      <c r="BG253" s="5"/>
    </row>
    <row r="254" spans="1:59" ht="15.75" hidden="1" customHeight="1" outlineLevel="1">
      <c r="A254" s="27" t="s">
        <v>49</v>
      </c>
      <c r="B254" s="13" t="s">
        <v>47</v>
      </c>
      <c r="C254" s="27">
        <v>2</v>
      </c>
      <c r="D254" s="55" t="s">
        <v>34</v>
      </c>
      <c r="E254" s="52"/>
      <c r="F254" s="53"/>
      <c r="G254" s="53"/>
      <c r="H254" s="53"/>
      <c r="I254" s="53"/>
      <c r="J254" s="53"/>
      <c r="K254" s="53"/>
      <c r="L254" s="53"/>
      <c r="M254" s="53"/>
      <c r="N254" s="54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48"/>
      <c r="AA254" s="5"/>
      <c r="AB254" s="5"/>
      <c r="AC254" s="5"/>
      <c r="AD254" s="5"/>
      <c r="AE254" s="5"/>
      <c r="AF254" s="5"/>
      <c r="AG254" s="5"/>
      <c r="AH254" s="5">
        <f>SUM(AH252:AH253)</f>
        <v>291941.91762478556</v>
      </c>
      <c r="AI254" s="5"/>
      <c r="AJ254" s="5"/>
      <c r="AK254" s="5"/>
      <c r="AL254" s="48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48"/>
      <c r="AY254" s="5"/>
      <c r="AZ254" s="5"/>
      <c r="BA254" s="5"/>
      <c r="BB254" s="5"/>
      <c r="BC254" s="5"/>
      <c r="BD254" s="5"/>
      <c r="BE254" s="5"/>
      <c r="BF254" s="58"/>
      <c r="BG254" s="5"/>
    </row>
    <row r="255" spans="1:59" ht="15.75" hidden="1" customHeight="1" outlineLevel="1">
      <c r="A255" s="27"/>
      <c r="C255" s="57"/>
      <c r="D255" s="55"/>
      <c r="E255" s="52"/>
      <c r="F255" s="53"/>
      <c r="G255" s="53"/>
      <c r="H255" s="53"/>
      <c r="I255" s="53"/>
      <c r="J255" s="53"/>
      <c r="K255" s="53"/>
      <c r="L255" s="53"/>
      <c r="M255" s="53"/>
      <c r="N255" s="54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48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48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48"/>
      <c r="AY255" s="5"/>
      <c r="AZ255" s="5"/>
      <c r="BA255" s="5"/>
      <c r="BB255" s="5"/>
      <c r="BC255" s="5"/>
      <c r="BD255" s="5"/>
      <c r="BE255" s="5"/>
      <c r="BF255" s="58"/>
      <c r="BG255" s="5"/>
    </row>
    <row r="256" spans="1:59" ht="15.75" hidden="1" customHeight="1" outlineLevel="1">
      <c r="A256" s="27" t="s">
        <v>49</v>
      </c>
      <c r="B256" s="13" t="s">
        <v>47</v>
      </c>
      <c r="C256" s="27">
        <v>3</v>
      </c>
      <c r="D256" s="51" t="s">
        <v>29</v>
      </c>
      <c r="E256" s="52"/>
      <c r="F256" s="53"/>
      <c r="G256" s="53"/>
      <c r="H256" s="53"/>
      <c r="I256" s="53"/>
      <c r="J256" s="53"/>
      <c r="K256" s="53"/>
      <c r="L256" s="53"/>
      <c r="M256" s="53"/>
      <c r="N256" s="54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48"/>
      <c r="AA256" s="5">
        <f>Deferral!AE133</f>
        <v>52846.413161580742</v>
      </c>
      <c r="AB256" s="5">
        <f>Deferral!AF133</f>
        <v>22857.127088462817</v>
      </c>
      <c r="AC256" s="5">
        <f>Deferral!AG133</f>
        <v>102526.99721774441</v>
      </c>
      <c r="AD256" s="5">
        <f>Deferral!AH133</f>
        <v>106873.04294711107</v>
      </c>
      <c r="AE256" s="5">
        <f>Deferral!AI133</f>
        <v>74715.448722463916</v>
      </c>
      <c r="AF256" s="5">
        <f>Deferral!AJ133</f>
        <v>6139.6519794544438</v>
      </c>
      <c r="AG256" s="5">
        <f>Deferral!AK133</f>
        <v>-32587.206543973065</v>
      </c>
      <c r="AH256" s="5">
        <f>Deferral!AL133</f>
        <v>101854.00550892908</v>
      </c>
      <c r="AI256" s="5">
        <f>Deferral!AM133</f>
        <v>16656.629972872732</v>
      </c>
      <c r="AJ256" s="5">
        <f>Deferral!AN133</f>
        <v>87212.070383160259</v>
      </c>
      <c r="AK256" s="5">
        <f>Deferral!AO133</f>
        <v>75008.15541236673</v>
      </c>
      <c r="AL256" s="48">
        <f>Deferral!AP133</f>
        <v>38696.000451957399</v>
      </c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48"/>
      <c r="AY256" s="5"/>
      <c r="AZ256" s="5"/>
      <c r="BA256" s="5"/>
      <c r="BB256" s="5"/>
      <c r="BC256" s="5"/>
      <c r="BD256" s="5"/>
      <c r="BE256" s="5"/>
      <c r="BF256" s="58"/>
      <c r="BG256" s="5"/>
    </row>
    <row r="257" spans="1:59" ht="15.75" hidden="1" customHeight="1" outlineLevel="1">
      <c r="A257" s="27" t="s">
        <v>49</v>
      </c>
      <c r="B257" s="13" t="s">
        <v>47</v>
      </c>
      <c r="C257" s="27">
        <v>3</v>
      </c>
      <c r="D257" s="55" t="s">
        <v>30</v>
      </c>
      <c r="E257" s="52"/>
      <c r="F257" s="53"/>
      <c r="G257" s="53"/>
      <c r="H257" s="53"/>
      <c r="I257" s="53"/>
      <c r="J257" s="53"/>
      <c r="K257" s="53"/>
      <c r="L257" s="53"/>
      <c r="M257" s="53"/>
      <c r="N257" s="54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48"/>
      <c r="AA257" s="5">
        <f>AA256/2*AA$399</f>
        <v>105.69282632316148</v>
      </c>
      <c r="AB257" s="5">
        <f t="shared" ref="AB257:AL257" si="121">(AA258+AB256/2)*AB$399</f>
        <v>257.52267812854126</v>
      </c>
      <c r="AC257" s="5">
        <f t="shared" si="121"/>
        <v>496.5879920171331</v>
      </c>
      <c r="AD257" s="5">
        <f t="shared" si="121"/>
        <v>976.61282223881165</v>
      </c>
      <c r="AE257" s="5">
        <f t="shared" si="121"/>
        <v>1329.6206564888384</v>
      </c>
      <c r="AF257" s="5">
        <f t="shared" si="121"/>
        <v>1537.4305468296038</v>
      </c>
      <c r="AG257" s="5">
        <f t="shared" si="121"/>
        <v>1559.2215996141706</v>
      </c>
      <c r="AH257" s="5">
        <f t="shared" si="121"/>
        <v>1562.2446657957967</v>
      </c>
      <c r="AI257" s="5">
        <f t="shared" si="121"/>
        <v>1986.0664069648419</v>
      </c>
      <c r="AJ257" s="5">
        <f t="shared" si="121"/>
        <v>2273.8461544828219</v>
      </c>
      <c r="AK257" s="5">
        <f t="shared" si="121"/>
        <v>2707.9422806672178</v>
      </c>
      <c r="AL257" s="48">
        <f t="shared" si="121"/>
        <v>2917.0940611756623</v>
      </c>
      <c r="AM257" s="5">
        <f t="shared" ref="AM257:AS257" si="122">AL258*AM$399</f>
        <v>3151.3886292664288</v>
      </c>
      <c r="AN257" s="5">
        <f t="shared" si="122"/>
        <v>3166.2001558239808</v>
      </c>
      <c r="AO257" s="5">
        <f t="shared" si="122"/>
        <v>3045.7161350007636</v>
      </c>
      <c r="AP257" s="5">
        <f t="shared" si="122"/>
        <v>3127.4090099995624</v>
      </c>
      <c r="AQ257" s="5">
        <f t="shared" si="122"/>
        <v>3073.4951981532654</v>
      </c>
      <c r="AR257" s="5">
        <f t="shared" si="122"/>
        <v>3155.9331693570657</v>
      </c>
      <c r="AS257" s="5">
        <f t="shared" si="122"/>
        <v>2894.7591174199242</v>
      </c>
      <c r="AT257" s="5"/>
      <c r="AU257" s="5"/>
      <c r="AV257" s="5"/>
      <c r="AW257" s="5"/>
      <c r="AX257" s="48"/>
      <c r="AY257" s="5"/>
      <c r="AZ257" s="5"/>
      <c r="BA257" s="5"/>
      <c r="BB257" s="5"/>
      <c r="BC257" s="5"/>
      <c r="BD257" s="5"/>
      <c r="BE257" s="5"/>
      <c r="BF257" s="58"/>
      <c r="BG257" s="5"/>
    </row>
    <row r="258" spans="1:59" ht="15.75" hidden="1" customHeight="1" outlineLevel="1">
      <c r="A258" s="27" t="s">
        <v>49</v>
      </c>
      <c r="B258" s="13" t="s">
        <v>47</v>
      </c>
      <c r="C258" s="27">
        <v>3</v>
      </c>
      <c r="D258" s="51" t="s">
        <v>31</v>
      </c>
      <c r="E258" s="52"/>
      <c r="F258" s="53"/>
      <c r="G258" s="53"/>
      <c r="H258" s="53"/>
      <c r="I258" s="53"/>
      <c r="J258" s="53"/>
      <c r="K258" s="53"/>
      <c r="L258" s="53"/>
      <c r="M258" s="53"/>
      <c r="N258" s="54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48"/>
      <c r="AA258" s="5">
        <f>SUM(AA256:AA257)</f>
        <v>52952.105987903902</v>
      </c>
      <c r="AB258" s="5">
        <f>AA258+SUM(AB256:AB257)</f>
        <v>76066.755754495258</v>
      </c>
      <c r="AC258" s="5">
        <f t="shared" ref="AC258" si="123">AB258+SUM(AC256:AC257)</f>
        <v>179090.34096425679</v>
      </c>
      <c r="AD258" s="5">
        <f t="shared" ref="AD258:AL258" si="124">AC258+SUM(AD256:AD257)</f>
        <v>286939.99673360668</v>
      </c>
      <c r="AE258" s="5">
        <f t="shared" si="124"/>
        <v>362985.06611255941</v>
      </c>
      <c r="AF258" s="5">
        <f t="shared" si="124"/>
        <v>370662.14863884344</v>
      </c>
      <c r="AG258" s="5">
        <f t="shared" si="124"/>
        <v>339634.16369448457</v>
      </c>
      <c r="AH258" s="5">
        <f t="shared" si="124"/>
        <v>443050.41386920947</v>
      </c>
      <c r="AI258" s="5">
        <f t="shared" si="124"/>
        <v>461693.11024904705</v>
      </c>
      <c r="AJ258" s="5">
        <f t="shared" si="124"/>
        <v>551179.02678669011</v>
      </c>
      <c r="AK258" s="5">
        <f t="shared" si="124"/>
        <v>628895.12447972409</v>
      </c>
      <c r="AL258" s="48">
        <f t="shared" si="124"/>
        <v>670508.21899285715</v>
      </c>
      <c r="AM258" s="5">
        <f>AL258+AM257</f>
        <v>673659.60762212356</v>
      </c>
      <c r="AN258" s="5">
        <f t="shared" ref="AN258:AQ258" si="125">AM258+AN257</f>
        <v>676825.80777794751</v>
      </c>
      <c r="AO258" s="5">
        <f t="shared" si="125"/>
        <v>679871.52391294832</v>
      </c>
      <c r="AP258" s="5">
        <f t="shared" si="125"/>
        <v>682998.93292294792</v>
      </c>
      <c r="AQ258" s="5">
        <f t="shared" si="125"/>
        <v>686072.42812110123</v>
      </c>
      <c r="AR258" s="5">
        <f>AQ258+AR257</f>
        <v>689228.36129045824</v>
      </c>
      <c r="AS258" s="5">
        <f>AR258+AS257</f>
        <v>692123.12040787819</v>
      </c>
      <c r="AT258" s="5">
        <f>AS258</f>
        <v>692123.12040787819</v>
      </c>
      <c r="AU258" s="5"/>
      <c r="AV258" s="5"/>
      <c r="AW258" s="5"/>
      <c r="AX258" s="48"/>
      <c r="AY258" s="5"/>
      <c r="AZ258" s="5"/>
      <c r="BA258" s="5"/>
      <c r="BB258" s="5"/>
      <c r="BC258" s="5"/>
      <c r="BD258" s="5"/>
      <c r="BE258" s="5"/>
      <c r="BF258" s="58"/>
      <c r="BG258" s="5"/>
    </row>
    <row r="259" spans="1:59" ht="15.75" hidden="1" customHeight="1" outlineLevel="1">
      <c r="A259" s="27" t="s">
        <v>49</v>
      </c>
      <c r="B259" s="13" t="s">
        <v>47</v>
      </c>
      <c r="C259" s="27">
        <v>3</v>
      </c>
      <c r="D259" s="55" t="s">
        <v>32</v>
      </c>
      <c r="E259" s="52"/>
      <c r="F259" s="53"/>
      <c r="G259" s="53"/>
      <c r="H259" s="53"/>
      <c r="I259" s="53"/>
      <c r="J259" s="53"/>
      <c r="K259" s="53"/>
      <c r="L259" s="53"/>
      <c r="M259" s="53"/>
      <c r="N259" s="54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48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48"/>
      <c r="AM259" s="5"/>
      <c r="AN259" s="5"/>
      <c r="AO259" s="5"/>
      <c r="AP259" s="5"/>
      <c r="AQ259" s="5"/>
      <c r="AR259" s="5"/>
      <c r="AS259" s="5"/>
      <c r="AT259" s="56">
        <f>AT424</f>
        <v>294480.52252587589</v>
      </c>
      <c r="AU259" s="5"/>
      <c r="AV259" s="5"/>
      <c r="AW259" s="5"/>
      <c r="AX259" s="48"/>
      <c r="AY259" s="5"/>
      <c r="AZ259" s="5"/>
      <c r="BA259" s="5"/>
      <c r="BB259" s="5"/>
      <c r="BC259" s="5"/>
      <c r="BD259" s="5"/>
      <c r="BE259" s="5"/>
      <c r="BF259" s="58"/>
      <c r="BG259" s="5"/>
    </row>
    <row r="260" spans="1:59" ht="15.75" hidden="1" customHeight="1" outlineLevel="1">
      <c r="A260" s="27" t="s">
        <v>49</v>
      </c>
      <c r="B260" s="13" t="s">
        <v>47</v>
      </c>
      <c r="C260" s="27">
        <v>3</v>
      </c>
      <c r="D260" s="55" t="s">
        <v>35</v>
      </c>
      <c r="E260" s="52"/>
      <c r="F260" s="53"/>
      <c r="G260" s="53"/>
      <c r="H260" s="53"/>
      <c r="I260" s="53"/>
      <c r="J260" s="53"/>
      <c r="K260" s="53"/>
      <c r="L260" s="53"/>
      <c r="M260" s="53"/>
      <c r="N260" s="54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48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48"/>
      <c r="AM260" s="5"/>
      <c r="AN260" s="5"/>
      <c r="AO260" s="5"/>
      <c r="AP260" s="5"/>
      <c r="AQ260" s="5"/>
      <c r="AR260" s="5"/>
      <c r="AS260" s="5"/>
      <c r="AT260" s="5">
        <f>SUM(AT258:AT259)</f>
        <v>986603.64293375402</v>
      </c>
      <c r="AU260" s="5"/>
      <c r="AV260" s="5"/>
      <c r="AW260" s="5"/>
      <c r="AX260" s="48"/>
      <c r="AY260" s="5"/>
      <c r="AZ260" s="5"/>
      <c r="BA260" s="5"/>
      <c r="BB260" s="5"/>
      <c r="BC260" s="5"/>
      <c r="BD260" s="5"/>
      <c r="BE260" s="5"/>
      <c r="BF260" s="58"/>
      <c r="BG260" s="5"/>
    </row>
    <row r="261" spans="1:59" ht="15.75" hidden="1" customHeight="1" outlineLevel="1">
      <c r="A261" s="27"/>
      <c r="C261" s="57"/>
      <c r="D261" s="55"/>
      <c r="E261" s="52"/>
      <c r="F261" s="53"/>
      <c r="G261" s="53"/>
      <c r="H261" s="53"/>
      <c r="I261" s="53"/>
      <c r="J261" s="53"/>
      <c r="K261" s="53"/>
      <c r="L261" s="53"/>
      <c r="M261" s="53"/>
      <c r="N261" s="54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48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48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48"/>
      <c r="AY261" s="5"/>
      <c r="AZ261" s="5"/>
      <c r="BA261" s="5"/>
      <c r="BB261" s="5"/>
      <c r="BC261" s="5"/>
      <c r="BD261" s="5"/>
      <c r="BE261" s="5"/>
      <c r="BF261" s="58"/>
      <c r="BG261" s="5"/>
    </row>
    <row r="262" spans="1:59" ht="15.75" hidden="1" customHeight="1" outlineLevel="1">
      <c r="A262" s="27" t="s">
        <v>49</v>
      </c>
      <c r="B262" s="13" t="s">
        <v>47</v>
      </c>
      <c r="C262" s="27">
        <v>4</v>
      </c>
      <c r="D262" s="51" t="s">
        <v>29</v>
      </c>
      <c r="E262" s="52"/>
      <c r="F262" s="53"/>
      <c r="G262" s="53"/>
      <c r="H262" s="53"/>
      <c r="I262" s="53"/>
      <c r="J262" s="53"/>
      <c r="K262" s="53"/>
      <c r="L262" s="53"/>
      <c r="M262" s="53"/>
      <c r="N262" s="54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48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48"/>
      <c r="AM262" s="5">
        <f>Deferral!AQ133</f>
        <v>108914.81707958918</v>
      </c>
      <c r="AN262" s="5">
        <f>Deferral!AR133</f>
        <v>42387.518248516601</v>
      </c>
      <c r="AO262" s="5">
        <f>Deferral!AS133</f>
        <v>66882.768003760953</v>
      </c>
      <c r="AP262" s="5">
        <f>Deferral!AT133</f>
        <v>55553.406036045286</v>
      </c>
      <c r="AQ262" s="5">
        <f>Deferral!AU133</f>
        <v>13382.547299643862</v>
      </c>
      <c r="AR262" s="5">
        <f>Deferral!AV133</f>
        <v>-4928.6995289939805</v>
      </c>
      <c r="AS262" s="5">
        <f>Deferral!AW133</f>
        <v>-14383.541944556113</v>
      </c>
      <c r="AT262" s="5">
        <f>Deferral!AX133</f>
        <v>14989.256676822668</v>
      </c>
      <c r="AU262" s="5">
        <f>Deferral!AY133</f>
        <v>45879.295903869555</v>
      </c>
      <c r="AV262" s="5">
        <f>Deferral!AZ133</f>
        <v>33582.510057891603</v>
      </c>
      <c r="AW262" s="5">
        <f>Deferral!BA133</f>
        <v>38325.559682280291</v>
      </c>
      <c r="AX262" s="48">
        <f>Deferral!BB133</f>
        <v>-5290.5687284180312</v>
      </c>
      <c r="AY262" s="5"/>
      <c r="AZ262" s="5"/>
      <c r="BA262" s="5"/>
      <c r="BB262" s="5"/>
      <c r="BC262" s="5"/>
      <c r="BD262" s="5"/>
      <c r="BE262" s="5"/>
      <c r="BF262" s="58"/>
      <c r="BG262" s="5"/>
    </row>
    <row r="263" spans="1:59" ht="15.75" hidden="1" customHeight="1" outlineLevel="1">
      <c r="A263" s="27" t="s">
        <v>49</v>
      </c>
      <c r="B263" s="13" t="s">
        <v>47</v>
      </c>
      <c r="C263" s="27">
        <v>4</v>
      </c>
      <c r="D263" s="55" t="s">
        <v>30</v>
      </c>
      <c r="E263" s="52"/>
      <c r="F263" s="53"/>
      <c r="G263" s="53"/>
      <c r="H263" s="53"/>
      <c r="I263" s="53"/>
      <c r="J263" s="53"/>
      <c r="K263" s="53"/>
      <c r="L263" s="53"/>
      <c r="M263" s="53"/>
      <c r="N263" s="54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48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48"/>
      <c r="AM263" s="5">
        <f>AM262/2*AM$399</f>
        <v>255.94982013703458</v>
      </c>
      <c r="AN263" s="5">
        <f t="shared" ref="AN263:AX263" si="126">(AM264+AN262/2)*AN$399</f>
        <v>612.71327231272721</v>
      </c>
      <c r="AO263" s="5">
        <f t="shared" si="126"/>
        <v>835.25572090096205</v>
      </c>
      <c r="AP263" s="5">
        <f t="shared" si="126"/>
        <v>1139.2623357509044</v>
      </c>
      <c r="AQ263" s="5">
        <f t="shared" si="126"/>
        <v>1274.72833875076</v>
      </c>
      <c r="AR263" s="5">
        <f t="shared" si="126"/>
        <v>1328.3632353981918</v>
      </c>
      <c r="AS263" s="5">
        <f t="shared" si="126"/>
        <v>1177.8768073360447</v>
      </c>
      <c r="AT263" s="5">
        <f t="shared" si="126"/>
        <v>1099.5176129457147</v>
      </c>
      <c r="AU263" s="5">
        <f t="shared" si="126"/>
        <v>1316.5378252584414</v>
      </c>
      <c r="AV263" s="5">
        <f t="shared" si="126"/>
        <v>1382.584428312495</v>
      </c>
      <c r="AW263" s="5">
        <f t="shared" si="126"/>
        <v>1567.3817882833323</v>
      </c>
      <c r="AX263" s="48">
        <f t="shared" si="126"/>
        <v>1598.7282649105853</v>
      </c>
      <c r="AY263" s="5">
        <f t="shared" ref="AY263:BE263" si="127">AX264*AY$399</f>
        <v>1185.7629278865722</v>
      </c>
      <c r="AZ263" s="5">
        <f t="shared" si="127"/>
        <v>1189.2016403774433</v>
      </c>
      <c r="BA263" s="5">
        <f t="shared" si="127"/>
        <v>1151.5244518540367</v>
      </c>
      <c r="BB263" s="5">
        <f t="shared" si="127"/>
        <v>1154.7487203192281</v>
      </c>
      <c r="BC263" s="5">
        <f t="shared" si="127"/>
        <v>1116.6255161384033</v>
      </c>
      <c r="BD263" s="5">
        <f t="shared" si="127"/>
        <v>1161.1085681813095</v>
      </c>
      <c r="BE263" s="5">
        <f t="shared" si="127"/>
        <v>1164.3596721722172</v>
      </c>
      <c r="BF263" s="58"/>
      <c r="BG263" s="5"/>
    </row>
    <row r="264" spans="1:59" ht="15.75" hidden="1" customHeight="1" outlineLevel="1">
      <c r="A264" s="27" t="s">
        <v>49</v>
      </c>
      <c r="B264" s="13" t="s">
        <v>47</v>
      </c>
      <c r="C264" s="27">
        <v>4</v>
      </c>
      <c r="D264" s="51" t="s">
        <v>31</v>
      </c>
      <c r="E264" s="52"/>
      <c r="F264" s="53"/>
      <c r="G264" s="53"/>
      <c r="H264" s="53"/>
      <c r="I264" s="53"/>
      <c r="J264" s="53"/>
      <c r="K264" s="53"/>
      <c r="L264" s="53"/>
      <c r="M264" s="53"/>
      <c r="N264" s="54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48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48"/>
      <c r="AM264" s="5">
        <f>SUM(AM262:AM263)</f>
        <v>109170.76689972621</v>
      </c>
      <c r="AN264" s="5">
        <f>AM264+SUM(AN262:AN263)</f>
        <v>152170.99842055555</v>
      </c>
      <c r="AO264" s="5">
        <f t="shared" ref="AO264" si="128">AN264+SUM(AO262:AO263)</f>
        <v>219889.02214521746</v>
      </c>
      <c r="AP264" s="5">
        <f t="shared" ref="AP264:AX264" si="129">AO264+SUM(AP262:AP263)</f>
        <v>276581.69051701366</v>
      </c>
      <c r="AQ264" s="5">
        <f t="shared" si="129"/>
        <v>291238.9661554083</v>
      </c>
      <c r="AR264" s="5">
        <f t="shared" si="129"/>
        <v>287638.62986181251</v>
      </c>
      <c r="AS264" s="5">
        <f t="shared" si="129"/>
        <v>274432.96472459246</v>
      </c>
      <c r="AT264" s="5">
        <f t="shared" si="129"/>
        <v>290521.73901436082</v>
      </c>
      <c r="AU264" s="5">
        <f t="shared" si="129"/>
        <v>337717.57274348882</v>
      </c>
      <c r="AV264" s="5">
        <f t="shared" si="129"/>
        <v>372682.66722969292</v>
      </c>
      <c r="AW264" s="5">
        <f t="shared" si="129"/>
        <v>412575.60870025656</v>
      </c>
      <c r="AX264" s="48">
        <f t="shared" si="129"/>
        <v>408883.76823674911</v>
      </c>
      <c r="AY264" s="5">
        <f>AX264+AY263</f>
        <v>410069.53116463567</v>
      </c>
      <c r="AZ264" s="5">
        <f t="shared" ref="AZ264:BC264" si="130">AY264+AZ263</f>
        <v>411258.73280501313</v>
      </c>
      <c r="BA264" s="5">
        <f t="shared" si="130"/>
        <v>412410.25725686719</v>
      </c>
      <c r="BB264" s="5">
        <f t="shared" si="130"/>
        <v>413565.00597718643</v>
      </c>
      <c r="BC264" s="5">
        <f t="shared" si="130"/>
        <v>414681.63149332482</v>
      </c>
      <c r="BD264" s="5">
        <f>BC264+BD263</f>
        <v>415842.74006150611</v>
      </c>
      <c r="BE264" s="5">
        <f>BD264+BE263</f>
        <v>417007.09973367833</v>
      </c>
      <c r="BF264" s="58">
        <f>BE264</f>
        <v>417007.09973367833</v>
      </c>
      <c r="BG264" s="5"/>
    </row>
    <row r="265" spans="1:59" ht="15.75" hidden="1" customHeight="1" outlineLevel="1">
      <c r="A265" s="27" t="s">
        <v>49</v>
      </c>
      <c r="B265" s="13" t="s">
        <v>47</v>
      </c>
      <c r="C265" s="27">
        <v>4</v>
      </c>
      <c r="D265" s="55" t="s">
        <v>36</v>
      </c>
      <c r="E265" s="52"/>
      <c r="F265" s="53"/>
      <c r="G265" s="53"/>
      <c r="H265" s="53"/>
      <c r="I265" s="53"/>
      <c r="J265" s="53"/>
      <c r="K265" s="53"/>
      <c r="L265" s="53"/>
      <c r="M265" s="53"/>
      <c r="N265" s="54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48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48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48"/>
      <c r="AY265" s="5"/>
      <c r="AZ265" s="5"/>
      <c r="BA265" s="5"/>
      <c r="BB265" s="5"/>
      <c r="BC265" s="5"/>
      <c r="BD265" s="5"/>
      <c r="BE265" s="5"/>
      <c r="BF265" s="59">
        <f>BF432</f>
        <v>331.24002009897811</v>
      </c>
      <c r="BG265" s="5"/>
    </row>
    <row r="266" spans="1:59" ht="15.75" hidden="1" customHeight="1" outlineLevel="1">
      <c r="A266" s="27" t="s">
        <v>49</v>
      </c>
      <c r="B266" s="13" t="s">
        <v>47</v>
      </c>
      <c r="C266" s="27">
        <v>4</v>
      </c>
      <c r="D266" s="55" t="s">
        <v>37</v>
      </c>
      <c r="E266" s="52"/>
      <c r="F266" s="53"/>
      <c r="G266" s="53"/>
      <c r="H266" s="53"/>
      <c r="I266" s="53"/>
      <c r="J266" s="53"/>
      <c r="K266" s="53"/>
      <c r="L266" s="53"/>
      <c r="M266" s="53"/>
      <c r="N266" s="54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48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48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48"/>
      <c r="AY266" s="5"/>
      <c r="AZ266" s="5"/>
      <c r="BA266" s="5"/>
      <c r="BB266" s="5"/>
      <c r="BC266" s="5"/>
      <c r="BD266" s="5"/>
      <c r="BE266" s="5"/>
      <c r="BF266" s="58">
        <f>SUM(BF264:BF265)</f>
        <v>417338.33975377731</v>
      </c>
      <c r="BG266" s="5"/>
    </row>
    <row r="267" spans="1:59" ht="15.75" hidden="1" customHeight="1" collapsed="1">
      <c r="A267" s="27"/>
      <c r="C267" s="57"/>
      <c r="D267" s="55"/>
      <c r="E267" s="52"/>
      <c r="F267" s="53"/>
      <c r="G267" s="53"/>
      <c r="H267" s="53"/>
      <c r="I267" s="53"/>
      <c r="J267" s="53"/>
      <c r="K267" s="53"/>
      <c r="L267" s="53"/>
      <c r="M267" s="53"/>
      <c r="N267" s="54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48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48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48"/>
      <c r="AY267" s="5"/>
      <c r="AZ267" s="5"/>
      <c r="BA267" s="5"/>
      <c r="BB267" s="5"/>
      <c r="BC267" s="5"/>
      <c r="BD267" s="5"/>
      <c r="BE267" s="5"/>
      <c r="BF267" s="58"/>
      <c r="BG267" s="5"/>
    </row>
    <row r="268" spans="1:59" ht="15.75" hidden="1" customHeight="1">
      <c r="A268" s="27" t="s">
        <v>49</v>
      </c>
      <c r="B268" s="13" t="s">
        <v>47</v>
      </c>
      <c r="C268" s="27">
        <v>5</v>
      </c>
      <c r="D268" s="51" t="s">
        <v>29</v>
      </c>
      <c r="E268" s="52"/>
      <c r="F268" s="53"/>
      <c r="G268" s="53"/>
      <c r="H268" s="53"/>
      <c r="I268" s="53"/>
      <c r="J268" s="53"/>
      <c r="K268" s="53"/>
      <c r="L268" s="53"/>
      <c r="M268" s="53"/>
      <c r="N268" s="54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48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48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48"/>
      <c r="AY268" s="5">
        <f>Deferral!BC133</f>
        <v>52962.530197150016</v>
      </c>
      <c r="AZ268" s="5">
        <f>Deferral!BD133</f>
        <v>25616.495714248274</v>
      </c>
      <c r="BA268" s="5">
        <f>Deferral!BE133</f>
        <v>16699.176779399044</v>
      </c>
      <c r="BB268" s="5">
        <f>Deferral!BF133</f>
        <v>6036.2025296126958</v>
      </c>
      <c r="BC268" s="5">
        <f>Deferral!BG133</f>
        <v>18530.953707948327</v>
      </c>
      <c r="BD268" s="5">
        <f>Deferral!BH133</f>
        <v>-44724.488253172371</v>
      </c>
      <c r="BE268" s="5">
        <f>Deferral!BI133+Deferral!BJ133</f>
        <v>15166.418814324716</v>
      </c>
      <c r="BF268" s="58">
        <f>Deferral!BK133+Deferral!BL133</f>
        <v>63276.235656178171</v>
      </c>
      <c r="BG268" s="5">
        <f>Deferral!BM133</f>
        <v>25432.177344897878</v>
      </c>
    </row>
    <row r="269" spans="1:59" ht="15.75" hidden="1" customHeight="1">
      <c r="A269" s="27" t="s">
        <v>49</v>
      </c>
      <c r="B269" s="13" t="s">
        <v>47</v>
      </c>
      <c r="C269" s="27">
        <v>5</v>
      </c>
      <c r="D269" s="55" t="s">
        <v>30</v>
      </c>
      <c r="E269" s="52"/>
      <c r="F269" s="53"/>
      <c r="G269" s="53"/>
      <c r="H269" s="53"/>
      <c r="I269" s="53"/>
      <c r="J269" s="53"/>
      <c r="K269" s="53"/>
      <c r="L269" s="53"/>
      <c r="M269" s="53"/>
      <c r="N269" s="54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48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48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48"/>
      <c r="AY269" s="5">
        <f>AY268/2*AY$399</f>
        <v>76.79566878586752</v>
      </c>
      <c r="AZ269" s="5">
        <f t="shared" ref="AZ269:BG269" si="131">(AY270+AZ268/2)*AZ$399</f>
        <v>190.95796379687405</v>
      </c>
      <c r="BA269" s="5">
        <f t="shared" si="131"/>
        <v>244.14983021430555</v>
      </c>
      <c r="BB269" s="5">
        <f t="shared" si="131"/>
        <v>276.66298077152203</v>
      </c>
      <c r="BC269" s="5">
        <f t="shared" si="131"/>
        <v>300.69481099847246</v>
      </c>
      <c r="BD269" s="5">
        <f t="shared" si="131"/>
        <v>276.00265295774977</v>
      </c>
      <c r="BE269" s="5">
        <f t="shared" si="131"/>
        <v>235.39416317164475</v>
      </c>
      <c r="BF269" s="58">
        <f t="shared" si="131"/>
        <v>308.81516347074057</v>
      </c>
      <c r="BG269" s="5">
        <f t="shared" si="131"/>
        <v>470.92944374645401</v>
      </c>
    </row>
    <row r="270" spans="1:59" ht="15.75" hidden="1" customHeight="1">
      <c r="A270" s="27" t="s">
        <v>49</v>
      </c>
      <c r="B270" s="13" t="s">
        <v>47</v>
      </c>
      <c r="C270" s="27">
        <v>5</v>
      </c>
      <c r="D270" s="51" t="s">
        <v>31</v>
      </c>
      <c r="E270" s="52"/>
      <c r="F270" s="53"/>
      <c r="G270" s="53"/>
      <c r="H270" s="53"/>
      <c r="I270" s="53"/>
      <c r="J270" s="53"/>
      <c r="K270" s="53"/>
      <c r="L270" s="53"/>
      <c r="M270" s="53"/>
      <c r="N270" s="54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48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48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48"/>
      <c r="AY270" s="5">
        <f>SUM(AY268:AY269)</f>
        <v>53039.325865935883</v>
      </c>
      <c r="AZ270" s="5">
        <f>AY270+SUM(AZ268:AZ269)</f>
        <v>78846.779543981029</v>
      </c>
      <c r="BA270" s="5">
        <f t="shared" ref="BA270" si="132">AZ270+SUM(BA268:BA269)</f>
        <v>95790.106153594374</v>
      </c>
      <c r="BB270" s="5">
        <f t="shared" ref="BB270:BG270" si="133">BA270+SUM(BB268:BB269)</f>
        <v>102102.97166397859</v>
      </c>
      <c r="BC270" s="5">
        <f t="shared" si="133"/>
        <v>120934.6201829254</v>
      </c>
      <c r="BD270" s="5">
        <f t="shared" si="133"/>
        <v>76486.134582710773</v>
      </c>
      <c r="BE270" s="5">
        <f t="shared" si="133"/>
        <v>91887.947560207132</v>
      </c>
      <c r="BF270" s="58">
        <f t="shared" si="133"/>
        <v>155472.99837985606</v>
      </c>
      <c r="BG270" s="5">
        <f t="shared" si="133"/>
        <v>181376.10516850039</v>
      </c>
    </row>
    <row r="271" spans="1:59" ht="15.75" hidden="1" customHeight="1" outlineLevel="1">
      <c r="A271" s="27" t="s">
        <v>49</v>
      </c>
      <c r="B271" s="13" t="s">
        <v>47</v>
      </c>
      <c r="C271" s="27">
        <v>5</v>
      </c>
      <c r="D271" s="55" t="s">
        <v>38</v>
      </c>
      <c r="E271" s="52"/>
      <c r="F271" s="53"/>
      <c r="G271" s="53"/>
      <c r="H271" s="53"/>
      <c r="I271" s="53"/>
      <c r="J271" s="53"/>
      <c r="K271" s="53"/>
      <c r="L271" s="53"/>
      <c r="M271" s="53"/>
      <c r="N271" s="54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48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48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48"/>
      <c r="AY271" s="5"/>
      <c r="AZ271" s="5"/>
      <c r="BA271" s="5"/>
      <c r="BB271" s="5"/>
      <c r="BC271" s="5"/>
      <c r="BD271" s="5"/>
      <c r="BE271" s="5"/>
      <c r="BF271" s="58"/>
      <c r="BG271" s="5"/>
    </row>
    <row r="272" spans="1:59" ht="15.75" hidden="1" customHeight="1" outlineLevel="1">
      <c r="A272" s="27" t="s">
        <v>49</v>
      </c>
      <c r="B272" s="13" t="s">
        <v>47</v>
      </c>
      <c r="C272" s="27">
        <v>5</v>
      </c>
      <c r="D272" s="55" t="s">
        <v>39</v>
      </c>
      <c r="E272" s="52"/>
      <c r="F272" s="53"/>
      <c r="G272" s="53"/>
      <c r="H272" s="53"/>
      <c r="I272" s="53"/>
      <c r="J272" s="53"/>
      <c r="K272" s="53"/>
      <c r="L272" s="53"/>
      <c r="M272" s="53"/>
      <c r="N272" s="54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48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48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48"/>
      <c r="AY272" s="5"/>
      <c r="AZ272" s="5"/>
      <c r="BA272" s="5"/>
      <c r="BB272" s="5"/>
      <c r="BC272" s="5"/>
      <c r="BD272" s="5"/>
      <c r="BE272" s="5"/>
      <c r="BF272" s="58"/>
      <c r="BG272" s="5"/>
    </row>
    <row r="273" spans="1:59" ht="15.75" hidden="1" customHeight="1" outlineLevel="1">
      <c r="A273" s="27"/>
      <c r="B273" s="13"/>
      <c r="C273" s="27"/>
      <c r="D273" s="55"/>
      <c r="E273" s="52"/>
      <c r="F273" s="53"/>
      <c r="G273" s="53"/>
      <c r="H273" s="53"/>
      <c r="I273" s="53"/>
      <c r="J273" s="53"/>
      <c r="K273" s="53"/>
      <c r="L273" s="53"/>
      <c r="M273" s="53"/>
      <c r="N273" s="54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48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48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48"/>
      <c r="AY273" s="5"/>
      <c r="AZ273" s="5"/>
      <c r="BA273" s="5"/>
      <c r="BB273" s="5"/>
      <c r="BC273" s="5"/>
      <c r="BD273" s="5"/>
      <c r="BE273" s="5"/>
      <c r="BF273" s="58"/>
      <c r="BG273" s="5"/>
    </row>
    <row r="274" spans="1:59" ht="15.75" hidden="1" customHeight="1" outlineLevel="1">
      <c r="A274" s="27" t="s">
        <v>49</v>
      </c>
      <c r="B274" s="13" t="s">
        <v>47</v>
      </c>
      <c r="C274" s="27">
        <v>6</v>
      </c>
      <c r="D274" s="51" t="s">
        <v>29</v>
      </c>
      <c r="E274" s="52"/>
      <c r="F274" s="53"/>
      <c r="G274" s="53"/>
      <c r="H274" s="53"/>
      <c r="I274" s="53"/>
      <c r="J274" s="53"/>
      <c r="K274" s="53"/>
      <c r="L274" s="53"/>
      <c r="M274" s="53"/>
      <c r="N274" s="54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48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48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48"/>
      <c r="AY274" s="5"/>
      <c r="AZ274" s="5"/>
      <c r="BA274" s="5"/>
      <c r="BB274" s="5"/>
      <c r="BC274" s="5"/>
      <c r="BD274" s="5"/>
      <c r="BE274" s="5"/>
      <c r="BF274" s="58"/>
      <c r="BG274" s="5"/>
    </row>
    <row r="275" spans="1:59" ht="15.75" hidden="1" customHeight="1" outlineLevel="1">
      <c r="A275" s="27" t="s">
        <v>49</v>
      </c>
      <c r="B275" s="13" t="s">
        <v>47</v>
      </c>
      <c r="C275" s="27">
        <v>6</v>
      </c>
      <c r="D275" s="55" t="s">
        <v>30</v>
      </c>
      <c r="E275" s="52"/>
      <c r="F275" s="53"/>
      <c r="G275" s="53"/>
      <c r="H275" s="53"/>
      <c r="I275" s="53"/>
      <c r="J275" s="53"/>
      <c r="K275" s="53"/>
      <c r="L275" s="53"/>
      <c r="M275" s="53"/>
      <c r="N275" s="54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48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48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48"/>
      <c r="AY275" s="5"/>
      <c r="AZ275" s="5"/>
      <c r="BA275" s="5"/>
      <c r="BB275" s="5"/>
      <c r="BC275" s="5"/>
      <c r="BD275" s="5"/>
      <c r="BE275" s="5"/>
      <c r="BF275" s="58"/>
      <c r="BG275" s="5"/>
    </row>
    <row r="276" spans="1:59" ht="15.75" hidden="1" customHeight="1" outlineLevel="1">
      <c r="A276" s="27" t="s">
        <v>49</v>
      </c>
      <c r="B276" s="13" t="s">
        <v>47</v>
      </c>
      <c r="C276" s="27">
        <v>6</v>
      </c>
      <c r="D276" s="51" t="s">
        <v>31</v>
      </c>
      <c r="E276" s="52"/>
      <c r="F276" s="53"/>
      <c r="G276" s="53"/>
      <c r="H276" s="53"/>
      <c r="I276" s="53"/>
      <c r="J276" s="53"/>
      <c r="K276" s="53"/>
      <c r="L276" s="53"/>
      <c r="M276" s="53"/>
      <c r="N276" s="54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48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48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48"/>
      <c r="AY276" s="5"/>
      <c r="AZ276" s="5"/>
      <c r="BA276" s="5"/>
      <c r="BB276" s="5"/>
      <c r="BC276" s="5"/>
      <c r="BD276" s="5"/>
      <c r="BE276" s="5"/>
      <c r="BF276" s="58"/>
      <c r="BG276" s="5"/>
    </row>
    <row r="277" spans="1:59" ht="15.75" hidden="1" customHeight="1" outlineLevel="1">
      <c r="A277" s="27" t="s">
        <v>49</v>
      </c>
      <c r="B277" s="13" t="s">
        <v>47</v>
      </c>
      <c r="C277" s="27">
        <v>6</v>
      </c>
      <c r="D277" s="55" t="s">
        <v>38</v>
      </c>
      <c r="E277" s="52"/>
      <c r="F277" s="53"/>
      <c r="G277" s="53"/>
      <c r="H277" s="53"/>
      <c r="I277" s="53"/>
      <c r="J277" s="53"/>
      <c r="K277" s="53"/>
      <c r="L277" s="53"/>
      <c r="M277" s="53"/>
      <c r="N277" s="54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48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48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48"/>
      <c r="AY277" s="5"/>
      <c r="AZ277" s="5"/>
      <c r="BA277" s="5"/>
      <c r="BB277" s="5"/>
      <c r="BC277" s="5"/>
      <c r="BD277" s="5"/>
      <c r="BE277" s="5"/>
      <c r="BF277" s="58"/>
      <c r="BG277" s="5"/>
    </row>
    <row r="278" spans="1:59" ht="15.75" hidden="1" customHeight="1" outlineLevel="1">
      <c r="A278" s="27" t="s">
        <v>49</v>
      </c>
      <c r="B278" s="13" t="s">
        <v>47</v>
      </c>
      <c r="C278" s="27">
        <v>6</v>
      </c>
      <c r="D278" s="55" t="s">
        <v>40</v>
      </c>
      <c r="E278" s="52"/>
      <c r="F278" s="53"/>
      <c r="G278" s="53"/>
      <c r="H278" s="53"/>
      <c r="I278" s="53"/>
      <c r="J278" s="53"/>
      <c r="K278" s="53"/>
      <c r="L278" s="53"/>
      <c r="M278" s="53"/>
      <c r="N278" s="54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48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48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48"/>
      <c r="AY278" s="5"/>
      <c r="AZ278" s="5"/>
      <c r="BA278" s="5"/>
      <c r="BB278" s="5"/>
      <c r="BC278" s="5"/>
      <c r="BD278" s="5"/>
      <c r="BE278" s="5"/>
      <c r="BF278" s="58"/>
      <c r="BG278" s="5"/>
    </row>
    <row r="279" spans="1:59" ht="15.75" hidden="1" customHeight="1" outlineLevel="1">
      <c r="A279" s="27"/>
      <c r="B279" s="13"/>
      <c r="C279" s="27"/>
      <c r="D279" s="55"/>
      <c r="E279" s="52"/>
      <c r="F279" s="53"/>
      <c r="G279" s="53"/>
      <c r="H279" s="53"/>
      <c r="I279" s="53"/>
      <c r="J279" s="53"/>
      <c r="K279" s="53"/>
      <c r="L279" s="53"/>
      <c r="M279" s="53"/>
      <c r="N279" s="54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48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48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48"/>
      <c r="AY279" s="5"/>
      <c r="AZ279" s="5"/>
      <c r="BA279" s="5"/>
      <c r="BB279" s="5"/>
      <c r="BC279" s="5"/>
      <c r="BD279" s="5"/>
      <c r="BE279" s="5"/>
      <c r="BF279" s="58"/>
      <c r="BG279" s="5"/>
    </row>
    <row r="280" spans="1:59" ht="15.75" hidden="1" customHeight="1" outlineLevel="1">
      <c r="A280" s="27" t="s">
        <v>49</v>
      </c>
      <c r="B280" s="13" t="s">
        <v>47</v>
      </c>
      <c r="C280" s="27">
        <v>7</v>
      </c>
      <c r="D280" s="51" t="s">
        <v>29</v>
      </c>
      <c r="E280" s="52"/>
      <c r="F280" s="53"/>
      <c r="G280" s="53"/>
      <c r="H280" s="53"/>
      <c r="I280" s="53"/>
      <c r="J280" s="53"/>
      <c r="K280" s="53"/>
      <c r="L280" s="53"/>
      <c r="M280" s="53"/>
      <c r="N280" s="54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48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48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48"/>
      <c r="AY280" s="5"/>
      <c r="AZ280" s="5"/>
      <c r="BA280" s="5"/>
      <c r="BB280" s="5"/>
      <c r="BC280" s="5"/>
      <c r="BD280" s="5"/>
      <c r="BE280" s="5"/>
      <c r="BF280" s="58"/>
      <c r="BG280" s="5"/>
    </row>
    <row r="281" spans="1:59" ht="15.75" hidden="1" customHeight="1" outlineLevel="1">
      <c r="A281" s="27" t="s">
        <v>49</v>
      </c>
      <c r="B281" s="13" t="s">
        <v>47</v>
      </c>
      <c r="C281" s="27">
        <v>7</v>
      </c>
      <c r="D281" s="55" t="s">
        <v>30</v>
      </c>
      <c r="E281" s="52"/>
      <c r="F281" s="53"/>
      <c r="G281" s="53"/>
      <c r="H281" s="53"/>
      <c r="I281" s="53"/>
      <c r="J281" s="53"/>
      <c r="K281" s="53"/>
      <c r="L281" s="53"/>
      <c r="M281" s="53"/>
      <c r="N281" s="54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48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48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48"/>
      <c r="AY281" s="5"/>
      <c r="AZ281" s="5"/>
      <c r="BA281" s="5"/>
      <c r="BB281" s="5"/>
      <c r="BC281" s="5"/>
      <c r="BD281" s="5"/>
      <c r="BE281" s="5"/>
      <c r="BF281" s="58"/>
      <c r="BG281" s="5"/>
    </row>
    <row r="282" spans="1:59" ht="15.75" hidden="1" customHeight="1" outlineLevel="1">
      <c r="A282" s="27" t="s">
        <v>49</v>
      </c>
      <c r="B282" s="13" t="s">
        <v>47</v>
      </c>
      <c r="C282" s="27">
        <v>7</v>
      </c>
      <c r="D282" s="51" t="s">
        <v>31</v>
      </c>
      <c r="E282" s="52"/>
      <c r="F282" s="53"/>
      <c r="G282" s="53"/>
      <c r="H282" s="53"/>
      <c r="I282" s="53"/>
      <c r="J282" s="53"/>
      <c r="K282" s="53"/>
      <c r="L282" s="53"/>
      <c r="M282" s="53"/>
      <c r="N282" s="54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48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48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48"/>
      <c r="AY282" s="5"/>
      <c r="AZ282" s="5"/>
      <c r="BA282" s="5"/>
      <c r="BB282" s="5"/>
      <c r="BC282" s="5"/>
      <c r="BD282" s="5"/>
      <c r="BE282" s="5"/>
      <c r="BF282" s="58"/>
      <c r="BG282" s="5"/>
    </row>
    <row r="283" spans="1:59" ht="15.75" hidden="1" customHeight="1" outlineLevel="1">
      <c r="A283" s="27" t="s">
        <v>49</v>
      </c>
      <c r="B283" s="13" t="s">
        <v>47</v>
      </c>
      <c r="C283" s="27">
        <v>7</v>
      </c>
      <c r="D283" s="55" t="s">
        <v>38</v>
      </c>
      <c r="E283" s="52"/>
      <c r="F283" s="53"/>
      <c r="G283" s="53"/>
      <c r="H283" s="53"/>
      <c r="I283" s="53"/>
      <c r="J283" s="53"/>
      <c r="K283" s="53"/>
      <c r="L283" s="53"/>
      <c r="M283" s="53"/>
      <c r="N283" s="54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48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48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48"/>
      <c r="AY283" s="5"/>
      <c r="AZ283" s="5"/>
      <c r="BA283" s="5"/>
      <c r="BB283" s="5"/>
      <c r="BC283" s="5"/>
      <c r="BD283" s="5"/>
      <c r="BE283" s="5"/>
      <c r="BF283" s="58"/>
      <c r="BG283" s="5"/>
    </row>
    <row r="284" spans="1:59" ht="15.75" hidden="1" customHeight="1" outlineLevel="1">
      <c r="A284" s="27" t="s">
        <v>49</v>
      </c>
      <c r="B284" s="13" t="s">
        <v>47</v>
      </c>
      <c r="C284" s="27">
        <v>7</v>
      </c>
      <c r="D284" s="55" t="s">
        <v>41</v>
      </c>
      <c r="E284" s="52"/>
      <c r="F284" s="53"/>
      <c r="G284" s="53"/>
      <c r="H284" s="53"/>
      <c r="I284" s="53"/>
      <c r="J284" s="53"/>
      <c r="K284" s="53"/>
      <c r="L284" s="53"/>
      <c r="M284" s="53"/>
      <c r="N284" s="54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48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48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48"/>
      <c r="AY284" s="5"/>
      <c r="AZ284" s="5"/>
      <c r="BA284" s="5"/>
      <c r="BB284" s="5"/>
      <c r="BC284" s="5"/>
      <c r="BD284" s="5"/>
      <c r="BE284" s="5"/>
      <c r="BF284" s="58"/>
      <c r="BG284" s="5"/>
    </row>
    <row r="285" spans="1:59" ht="15.75" hidden="1" customHeight="1" outlineLevel="1">
      <c r="A285" s="27"/>
      <c r="C285" s="57"/>
      <c r="D285" s="55"/>
      <c r="E285" s="52"/>
      <c r="F285" s="53"/>
      <c r="G285" s="53"/>
      <c r="H285" s="53"/>
      <c r="I285" s="53"/>
      <c r="J285" s="53"/>
      <c r="K285" s="53"/>
      <c r="L285" s="53"/>
      <c r="M285" s="53"/>
      <c r="N285" s="54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48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48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48"/>
      <c r="AY285" s="5"/>
      <c r="AZ285" s="5"/>
      <c r="BA285" s="5"/>
      <c r="BB285" s="5"/>
      <c r="BC285" s="5"/>
      <c r="BD285" s="5"/>
      <c r="BE285" s="5"/>
      <c r="BF285" s="58"/>
      <c r="BG285" s="5"/>
    </row>
    <row r="286" spans="1:59" ht="15.75" hidden="1" customHeight="1" collapsed="1">
      <c r="A286" s="27"/>
      <c r="C286" s="57"/>
      <c r="D286" s="55"/>
      <c r="E286" s="52"/>
      <c r="F286" s="53"/>
      <c r="G286" s="53"/>
      <c r="H286" s="53"/>
      <c r="I286" s="53"/>
      <c r="J286" s="53"/>
      <c r="K286" s="53"/>
      <c r="L286" s="53"/>
      <c r="M286" s="53"/>
      <c r="N286" s="54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48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48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48"/>
      <c r="AY286" s="5"/>
      <c r="AZ286" s="5"/>
      <c r="BA286" s="5"/>
      <c r="BB286" s="5"/>
      <c r="BC286" s="5"/>
      <c r="BD286" s="5"/>
      <c r="BE286" s="5"/>
      <c r="BF286" s="58"/>
      <c r="BG286" s="5"/>
    </row>
    <row r="287" spans="1:59" ht="15.75" hidden="1" customHeight="1">
      <c r="A287" s="27" t="s">
        <v>49</v>
      </c>
      <c r="B287" s="13" t="s">
        <v>47</v>
      </c>
      <c r="C287" s="60"/>
      <c r="D287" s="55" t="s">
        <v>42</v>
      </c>
      <c r="E287" s="49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48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48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-8123.9787399999996</v>
      </c>
      <c r="AI287" s="5">
        <v>-12559.679999999998</v>
      </c>
      <c r="AJ287" s="5">
        <v>-14699.971579999999</v>
      </c>
      <c r="AK287" s="5">
        <v>-14039.821199999998</v>
      </c>
      <c r="AL287" s="48">
        <v>-13312.797999999999</v>
      </c>
      <c r="AM287" s="5">
        <v>-15500.916399999998</v>
      </c>
      <c r="AN287" s="5">
        <v>-14182.328</v>
      </c>
      <c r="AO287" s="5">
        <v>-16983.407199999998</v>
      </c>
      <c r="AP287" s="5">
        <v>-17625.737999999998</v>
      </c>
      <c r="AQ287" s="5">
        <v>-15634.416399999998</v>
      </c>
      <c r="AR287" s="5">
        <v>-15360.403199999999</v>
      </c>
      <c r="AS287" s="5">
        <v>-13625.9712</v>
      </c>
      <c r="AT287" s="5">
        <v>-25093.468801810584</v>
      </c>
      <c r="AU287" s="5">
        <v>-36877.4856</v>
      </c>
      <c r="AV287" s="5">
        <v>-35512.927358189409</v>
      </c>
      <c r="AW287" s="5">
        <v>-33205.561199999996</v>
      </c>
      <c r="AX287" s="48">
        <v>-30717.629999999997</v>
      </c>
      <c r="AY287" s="5">
        <v>-35530.390800000001</v>
      </c>
      <c r="AZ287" s="5">
        <v>-35703.504000000001</v>
      </c>
      <c r="BA287" s="5">
        <v>-38737.9908</v>
      </c>
      <c r="BB287" s="5">
        <v>-40771.803599999999</v>
      </c>
      <c r="BC287" s="5">
        <v>-39719.807999999997</v>
      </c>
      <c r="BD287" s="5">
        <v>-34784.672399999996</v>
      </c>
      <c r="BE287" s="5">
        <v>-35143.627139999997</v>
      </c>
      <c r="BF287" s="58">
        <v>-15029.40906</v>
      </c>
      <c r="BG287" s="58">
        <v>119.40047999999999</v>
      </c>
    </row>
    <row r="288" spans="1:59" ht="15.75" hidden="1" customHeight="1">
      <c r="A288" s="27" t="s">
        <v>49</v>
      </c>
      <c r="B288" s="13" t="s">
        <v>47</v>
      </c>
      <c r="C288" s="60"/>
      <c r="D288" s="55" t="s">
        <v>43</v>
      </c>
      <c r="E288" s="49">
        <v>0</v>
      </c>
      <c r="F288" s="5">
        <f>(E289+F248+F254+F260+F266+F272+F278+F284+F287/2)*F$399</f>
        <v>0</v>
      </c>
      <c r="G288" s="5">
        <f t="shared" ref="G288:BG288" si="134">(F289+G248+G254+G260+G266+G272+G278+G284+G287/2)*G$399</f>
        <v>0</v>
      </c>
      <c r="H288" s="5">
        <f t="shared" si="134"/>
        <v>0</v>
      </c>
      <c r="I288" s="5">
        <f t="shared" si="134"/>
        <v>0</v>
      </c>
      <c r="J288" s="5">
        <f t="shared" si="134"/>
        <v>0</v>
      </c>
      <c r="K288" s="5">
        <f t="shared" si="134"/>
        <v>0</v>
      </c>
      <c r="L288" s="5">
        <f t="shared" si="134"/>
        <v>0</v>
      </c>
      <c r="M288" s="5">
        <f t="shared" si="134"/>
        <v>0</v>
      </c>
      <c r="N288" s="48">
        <f t="shared" si="134"/>
        <v>0</v>
      </c>
      <c r="O288" s="5">
        <f t="shared" si="134"/>
        <v>-1996.0815085718725</v>
      </c>
      <c r="P288" s="5">
        <f t="shared" si="134"/>
        <v>-2002.868185701017</v>
      </c>
      <c r="Q288" s="5">
        <f t="shared" si="134"/>
        <v>-1950.5697628990945</v>
      </c>
      <c r="R288" s="5">
        <f t="shared" si="134"/>
        <v>-2134.916337945449</v>
      </c>
      <c r="S288" s="5">
        <f t="shared" si="134"/>
        <v>-2083.0853135186621</v>
      </c>
      <c r="T288" s="5">
        <f t="shared" si="134"/>
        <v>-2150.1011438907199</v>
      </c>
      <c r="U288" s="5">
        <f t="shared" si="134"/>
        <v>-2157.8415080087266</v>
      </c>
      <c r="V288" s="5">
        <f t="shared" si="134"/>
        <v>-1985.1422593177615</v>
      </c>
      <c r="W288" s="5">
        <f t="shared" si="134"/>
        <v>-2172.7562495711022</v>
      </c>
      <c r="X288" s="5">
        <f t="shared" si="134"/>
        <v>-2241.1497879603794</v>
      </c>
      <c r="Y288" s="5">
        <f t="shared" si="134"/>
        <v>-2310.2377730454496</v>
      </c>
      <c r="Z288" s="48">
        <f t="shared" si="134"/>
        <v>-2257.9899219361005</v>
      </c>
      <c r="AA288" s="5">
        <f t="shared" si="134"/>
        <v>-2450.1021455646096</v>
      </c>
      <c r="AB288" s="5">
        <f t="shared" si="134"/>
        <v>-2459.9025541468682</v>
      </c>
      <c r="AC288" s="5">
        <f t="shared" si="134"/>
        <v>-2407.9986102543689</v>
      </c>
      <c r="AD288" s="5">
        <f t="shared" si="134"/>
        <v>-2603.3428667446965</v>
      </c>
      <c r="AE288" s="5">
        <f t="shared" si="134"/>
        <v>-2552.0322185282384</v>
      </c>
      <c r="AF288" s="5">
        <f t="shared" si="134"/>
        <v>-2624.9954421028428</v>
      </c>
      <c r="AG288" s="5">
        <f t="shared" si="134"/>
        <v>-2761.5452050053741</v>
      </c>
      <c r="AH288" s="5">
        <f t="shared" si="134"/>
        <v>-1370.0221087148554</v>
      </c>
      <c r="AI288" s="5">
        <f t="shared" si="134"/>
        <v>-1558.5564660926864</v>
      </c>
      <c r="AJ288" s="5">
        <f t="shared" si="134"/>
        <v>-1662.3259241108462</v>
      </c>
      <c r="AK288" s="5">
        <f t="shared" si="134"/>
        <v>-1773.0147228471083</v>
      </c>
      <c r="AL288" s="48">
        <f t="shared" si="134"/>
        <v>-1803.9928839771567</v>
      </c>
      <c r="AM288" s="5">
        <f t="shared" si="134"/>
        <v>-1960.3613408819456</v>
      </c>
      <c r="AN288" s="5">
        <f t="shared" si="134"/>
        <v>-2039.3306635240906</v>
      </c>
      <c r="AO288" s="5">
        <f t="shared" si="134"/>
        <v>-2031.8505274748811</v>
      </c>
      <c r="AP288" s="5">
        <f t="shared" si="134"/>
        <v>-2165.9503078051521</v>
      </c>
      <c r="AQ288" s="5">
        <f t="shared" si="134"/>
        <v>-2203.4465553336413</v>
      </c>
      <c r="AR288" s="5">
        <f t="shared" si="134"/>
        <v>-2333.8359735755903</v>
      </c>
      <c r="AS288" s="5">
        <f t="shared" si="134"/>
        <v>-2201.5672123328172</v>
      </c>
      <c r="AT288" s="5">
        <f t="shared" si="134"/>
        <v>1719.3527758581099</v>
      </c>
      <c r="AU288" s="5">
        <f t="shared" si="134"/>
        <v>1728.6929591081512</v>
      </c>
      <c r="AV288" s="5">
        <f t="shared" si="134"/>
        <v>1470.7954878724786</v>
      </c>
      <c r="AW288" s="5">
        <f t="shared" si="134"/>
        <v>1376.9543975248328</v>
      </c>
      <c r="AX288" s="48">
        <f t="shared" si="134"/>
        <v>1223.2504368970588</v>
      </c>
      <c r="AY288" s="5">
        <f t="shared" si="134"/>
        <v>817.08427482532704</v>
      </c>
      <c r="AZ288" s="5">
        <f t="shared" si="134"/>
        <v>716.16467176232061</v>
      </c>
      <c r="BA288" s="5">
        <f t="shared" si="134"/>
        <v>589.25650661420957</v>
      </c>
      <c r="BB288" s="5">
        <f t="shared" si="134"/>
        <v>479.59271267272942</v>
      </c>
      <c r="BC288" s="5">
        <f t="shared" si="134"/>
        <v>355.09562617006247</v>
      </c>
      <c r="BD288" s="5">
        <f t="shared" si="134"/>
        <v>264.93531122148914</v>
      </c>
      <c r="BE288" s="5">
        <f t="shared" si="134"/>
        <v>167.77751073690933</v>
      </c>
      <c r="BF288" s="58">
        <f t="shared" si="134"/>
        <v>1130.850346783526</v>
      </c>
      <c r="BG288" s="5">
        <f t="shared" si="134"/>
        <v>1248.8447573565429</v>
      </c>
    </row>
    <row r="289" spans="1:59" ht="15.75" hidden="1" customHeight="1">
      <c r="A289" s="38" t="s">
        <v>49</v>
      </c>
      <c r="B289" s="37" t="s">
        <v>47</v>
      </c>
      <c r="C289" s="61"/>
      <c r="D289" s="62" t="s">
        <v>44</v>
      </c>
      <c r="E289" s="63">
        <v>0</v>
      </c>
      <c r="F289" s="56">
        <f>E289+F248+F254+F260+F266+F272+F287+F288+F278+F284</f>
        <v>0</v>
      </c>
      <c r="G289" s="56">
        <f t="shared" ref="G289:BG289" si="135">F289+G248+G254+G260+G266+G272+G287+G288+G278+G284</f>
        <v>0</v>
      </c>
      <c r="H289" s="56">
        <f t="shared" si="135"/>
        <v>0</v>
      </c>
      <c r="I289" s="56">
        <f t="shared" si="135"/>
        <v>0</v>
      </c>
      <c r="J289" s="56">
        <f t="shared" si="135"/>
        <v>0</v>
      </c>
      <c r="K289" s="56">
        <f t="shared" si="135"/>
        <v>0</v>
      </c>
      <c r="L289" s="56">
        <f t="shared" si="135"/>
        <v>0</v>
      </c>
      <c r="M289" s="56">
        <f t="shared" si="135"/>
        <v>0</v>
      </c>
      <c r="N289" s="64">
        <f t="shared" si="135"/>
        <v>0</v>
      </c>
      <c r="O289" s="56">
        <f t="shared" si="135"/>
        <v>-589078.87814735796</v>
      </c>
      <c r="P289" s="56">
        <f t="shared" si="135"/>
        <v>-591081.74633305892</v>
      </c>
      <c r="Q289" s="56">
        <f t="shared" si="135"/>
        <v>-593032.316095958</v>
      </c>
      <c r="R289" s="56">
        <f t="shared" si="135"/>
        <v>-595167.2324339035</v>
      </c>
      <c r="S289" s="56">
        <f t="shared" si="135"/>
        <v>-597250.31774742214</v>
      </c>
      <c r="T289" s="56">
        <f t="shared" si="135"/>
        <v>-599400.4188913129</v>
      </c>
      <c r="U289" s="56">
        <f t="shared" si="135"/>
        <v>-601558.26039932168</v>
      </c>
      <c r="V289" s="56">
        <f t="shared" si="135"/>
        <v>-603543.40265863948</v>
      </c>
      <c r="W289" s="56">
        <f t="shared" si="135"/>
        <v>-605716.15890821058</v>
      </c>
      <c r="X289" s="56">
        <f t="shared" si="135"/>
        <v>-607957.30869617092</v>
      </c>
      <c r="Y289" s="56">
        <f t="shared" si="135"/>
        <v>-610267.54646921635</v>
      </c>
      <c r="Z289" s="64">
        <f t="shared" si="135"/>
        <v>-612525.53639115242</v>
      </c>
      <c r="AA289" s="56">
        <f t="shared" si="135"/>
        <v>-614975.63853671704</v>
      </c>
      <c r="AB289" s="56">
        <f t="shared" si="135"/>
        <v>-617435.54109086387</v>
      </c>
      <c r="AC289" s="56">
        <f t="shared" si="135"/>
        <v>-619843.53970111825</v>
      </c>
      <c r="AD289" s="56">
        <f t="shared" si="135"/>
        <v>-622446.88256786298</v>
      </c>
      <c r="AE289" s="56">
        <f t="shared" si="135"/>
        <v>-624998.91478639119</v>
      </c>
      <c r="AF289" s="56">
        <f t="shared" si="135"/>
        <v>-627623.91022849409</v>
      </c>
      <c r="AG289" s="56">
        <f t="shared" si="135"/>
        <v>-630385.45543349942</v>
      </c>
      <c r="AH289" s="56">
        <f t="shared" si="135"/>
        <v>-347937.5386574287</v>
      </c>
      <c r="AI289" s="56">
        <f t="shared" si="135"/>
        <v>-362055.77512352139</v>
      </c>
      <c r="AJ289" s="56">
        <f t="shared" si="135"/>
        <v>-378418.07262763224</v>
      </c>
      <c r="AK289" s="56">
        <f t="shared" si="135"/>
        <v>-394230.90855047933</v>
      </c>
      <c r="AL289" s="64">
        <f t="shared" si="135"/>
        <v>-409347.69943445647</v>
      </c>
      <c r="AM289" s="56">
        <f t="shared" si="135"/>
        <v>-426808.97717533843</v>
      </c>
      <c r="AN289" s="56">
        <f t="shared" si="135"/>
        <v>-443030.63583886251</v>
      </c>
      <c r="AO289" s="56">
        <f t="shared" si="135"/>
        <v>-462045.89356633741</v>
      </c>
      <c r="AP289" s="56">
        <f t="shared" si="135"/>
        <v>-481837.58187414258</v>
      </c>
      <c r="AQ289" s="56">
        <f t="shared" si="135"/>
        <v>-499675.44482947618</v>
      </c>
      <c r="AR289" s="56">
        <f t="shared" si="135"/>
        <v>-517369.68400305178</v>
      </c>
      <c r="AS289" s="56">
        <f t="shared" si="135"/>
        <v>-533197.2224153846</v>
      </c>
      <c r="AT289" s="56">
        <f t="shared" si="135"/>
        <v>430032.30449241697</v>
      </c>
      <c r="AU289" s="56">
        <f t="shared" si="135"/>
        <v>394883.51185152511</v>
      </c>
      <c r="AV289" s="56">
        <f t="shared" si="135"/>
        <v>360841.37998120819</v>
      </c>
      <c r="AW289" s="56">
        <f t="shared" si="135"/>
        <v>329012.77317873301</v>
      </c>
      <c r="AX289" s="64">
        <f t="shared" si="135"/>
        <v>299518.39361563005</v>
      </c>
      <c r="AY289" s="56">
        <f t="shared" si="135"/>
        <v>264805.0870904554</v>
      </c>
      <c r="AZ289" s="56">
        <f t="shared" si="135"/>
        <v>229817.74776221771</v>
      </c>
      <c r="BA289" s="56">
        <f t="shared" si="135"/>
        <v>191669.01346883192</v>
      </c>
      <c r="BB289" s="56">
        <f t="shared" si="135"/>
        <v>151376.80258150463</v>
      </c>
      <c r="BC289" s="56">
        <f t="shared" si="135"/>
        <v>112012.0902076747</v>
      </c>
      <c r="BD289" s="56">
        <f t="shared" si="135"/>
        <v>77492.353118896193</v>
      </c>
      <c r="BE289" s="56">
        <f t="shared" si="135"/>
        <v>42516.503489633105</v>
      </c>
      <c r="BF289" s="59">
        <f t="shared" si="135"/>
        <v>445956.28453019395</v>
      </c>
      <c r="BG289" s="56">
        <f t="shared" si="135"/>
        <v>447324.52976755053</v>
      </c>
    </row>
    <row r="290" spans="1:59" ht="15.75" hidden="1" customHeight="1" outlineLevel="1">
      <c r="A290" s="27"/>
      <c r="B290" s="27"/>
      <c r="C290" s="60"/>
      <c r="D290" s="55"/>
      <c r="E290" s="52"/>
      <c r="F290" s="53"/>
      <c r="G290" s="53"/>
      <c r="H290" s="53"/>
      <c r="I290" s="53"/>
      <c r="J290" s="53"/>
      <c r="K290" s="53"/>
      <c r="L290" s="53"/>
      <c r="M290" s="53"/>
      <c r="N290" s="54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48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48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48"/>
      <c r="AY290" s="5"/>
      <c r="AZ290" s="5"/>
      <c r="BA290" s="5"/>
      <c r="BB290" s="5"/>
      <c r="BC290" s="5"/>
      <c r="BD290" s="5"/>
      <c r="BE290" s="5"/>
      <c r="BF290" s="58"/>
      <c r="BG290" s="5"/>
    </row>
    <row r="291" spans="1:59" ht="15.75" hidden="1" customHeight="1" outlineLevel="1">
      <c r="A291" s="27" t="s">
        <v>49</v>
      </c>
      <c r="B291" s="27" t="s">
        <v>48</v>
      </c>
      <c r="C291" s="27">
        <v>1</v>
      </c>
      <c r="D291" s="51" t="s">
        <v>29</v>
      </c>
      <c r="E291" s="49">
        <f>Deferral!G136</f>
        <v>58326.192149967028</v>
      </c>
      <c r="F291" s="5">
        <f>Deferral!H136</f>
        <v>-115967.7465484977</v>
      </c>
      <c r="G291" s="5">
        <f>Deferral!I136</f>
        <v>-229593.65172427532</v>
      </c>
      <c r="H291" s="5">
        <f>Deferral!J136</f>
        <v>-261090.29528008838</v>
      </c>
      <c r="I291" s="5">
        <f>Deferral!K136</f>
        <v>103930.85591404088</v>
      </c>
      <c r="J291" s="5">
        <f>Deferral!L136</f>
        <v>223170.14706456228</v>
      </c>
      <c r="K291" s="5">
        <f>Deferral!M136</f>
        <v>100834.17966815662</v>
      </c>
      <c r="L291" s="5">
        <f>Deferral!N136</f>
        <v>-367629.52394775976</v>
      </c>
      <c r="M291" s="5">
        <f>Deferral!O136</f>
        <v>217792.1571198405</v>
      </c>
      <c r="N291" s="48">
        <f>Deferral!P136</f>
        <v>-3046.6584190394133</v>
      </c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48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48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48"/>
      <c r="AY291" s="5"/>
      <c r="AZ291" s="5"/>
      <c r="BA291" s="5"/>
      <c r="BB291" s="5"/>
      <c r="BC291" s="5"/>
      <c r="BD291" s="5"/>
      <c r="BE291" s="5"/>
      <c r="BF291" s="58"/>
      <c r="BG291" s="5"/>
    </row>
    <row r="292" spans="1:59" ht="15.75" hidden="1" customHeight="1" outlineLevel="1">
      <c r="A292" s="27" t="s">
        <v>49</v>
      </c>
      <c r="B292" s="27" t="s">
        <v>48</v>
      </c>
      <c r="C292" s="27">
        <v>1</v>
      </c>
      <c r="D292" s="55" t="s">
        <v>30</v>
      </c>
      <c r="E292" s="52">
        <f>E291/2*E$399</f>
        <v>85.05903021870192</v>
      </c>
      <c r="F292" s="53">
        <f>(E293+F291/2)*F$399</f>
        <v>1.2465188923159076</v>
      </c>
      <c r="G292" s="53">
        <f t="shared" ref="G292:N292" si="136">(F293+G291/2)*G$399</f>
        <v>-502.69355124204213</v>
      </c>
      <c r="H292" s="53">
        <f t="shared" si="136"/>
        <v>-1219.7404968145286</v>
      </c>
      <c r="I292" s="53">
        <f t="shared" si="136"/>
        <v>-1493.9886058344582</v>
      </c>
      <c r="J292" s="53">
        <f t="shared" si="136"/>
        <v>-907.03716046565137</v>
      </c>
      <c r="K292" s="53">
        <f t="shared" si="136"/>
        <v>-524.53368856637564</v>
      </c>
      <c r="L292" s="53">
        <f t="shared" si="136"/>
        <v>-926.30030605147954</v>
      </c>
      <c r="M292" s="53">
        <f t="shared" si="136"/>
        <v>-1230.7576076922805</v>
      </c>
      <c r="N292" s="54">
        <f t="shared" si="136"/>
        <v>-835.40928198338815</v>
      </c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48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48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48"/>
      <c r="AY292" s="5"/>
      <c r="AZ292" s="5"/>
      <c r="BA292" s="5"/>
      <c r="BB292" s="5"/>
      <c r="BC292" s="5"/>
      <c r="BD292" s="5"/>
      <c r="BE292" s="5"/>
      <c r="BF292" s="58"/>
      <c r="BG292" s="5"/>
    </row>
    <row r="293" spans="1:59" ht="15.75" hidden="1" customHeight="1" outlineLevel="1">
      <c r="A293" s="27" t="s">
        <v>49</v>
      </c>
      <c r="B293" s="27" t="s">
        <v>48</v>
      </c>
      <c r="C293" s="27">
        <v>1</v>
      </c>
      <c r="D293" s="51" t="s">
        <v>31</v>
      </c>
      <c r="E293" s="52">
        <f>E291+E292</f>
        <v>58411.251180185733</v>
      </c>
      <c r="F293" s="53">
        <f>E293+SUM(F291:F292)</f>
        <v>-57555.248849419659</v>
      </c>
      <c r="G293" s="53">
        <f t="shared" ref="G293" si="137">F293+SUM(G291:G292)</f>
        <v>-287651.59412493702</v>
      </c>
      <c r="H293" s="53">
        <f t="shared" ref="H293:N293" si="138">G293+SUM(H291:H292)</f>
        <v>-549961.62990183989</v>
      </c>
      <c r="I293" s="53">
        <f t="shared" si="138"/>
        <v>-447524.7625936335</v>
      </c>
      <c r="J293" s="53">
        <f t="shared" si="138"/>
        <v>-225261.65268953686</v>
      </c>
      <c r="K293" s="53">
        <f t="shared" si="138"/>
        <v>-124952.00670994661</v>
      </c>
      <c r="L293" s="53">
        <f t="shared" si="138"/>
        <v>-493507.83096375788</v>
      </c>
      <c r="M293" s="53">
        <f t="shared" si="138"/>
        <v>-276946.43145160965</v>
      </c>
      <c r="N293" s="54">
        <f t="shared" si="138"/>
        <v>-280828.49915263243</v>
      </c>
      <c r="O293" s="5">
        <f>N293</f>
        <v>-280828.49915263243</v>
      </c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48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48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48"/>
      <c r="AY293" s="5"/>
      <c r="AZ293" s="5"/>
      <c r="BA293" s="5"/>
      <c r="BB293" s="5"/>
      <c r="BC293" s="5"/>
      <c r="BD293" s="5"/>
      <c r="BE293" s="5"/>
      <c r="BF293" s="58"/>
      <c r="BG293" s="5"/>
    </row>
    <row r="294" spans="1:59" ht="15.75" hidden="1" customHeight="1" outlineLevel="1">
      <c r="A294" s="27" t="s">
        <v>49</v>
      </c>
      <c r="B294" s="27" t="s">
        <v>48</v>
      </c>
      <c r="C294" s="27">
        <v>1</v>
      </c>
      <c r="D294" s="55" t="s">
        <v>32</v>
      </c>
      <c r="E294" s="52"/>
      <c r="F294" s="53"/>
      <c r="G294" s="53"/>
      <c r="H294" s="53"/>
      <c r="I294" s="53"/>
      <c r="J294" s="53"/>
      <c r="K294" s="53"/>
      <c r="L294" s="53"/>
      <c r="M294" s="53"/>
      <c r="N294" s="54"/>
      <c r="O294" s="56">
        <f>SUM(O407:O408)</f>
        <v>699723.36179062468</v>
      </c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48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48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48"/>
      <c r="AY294" s="5"/>
      <c r="AZ294" s="5"/>
      <c r="BA294" s="5"/>
      <c r="BB294" s="5"/>
      <c r="BC294" s="5"/>
      <c r="BD294" s="5"/>
      <c r="BE294" s="5"/>
      <c r="BF294" s="58"/>
      <c r="BG294" s="5"/>
    </row>
    <row r="295" spans="1:59" ht="15.75" hidden="1" customHeight="1" outlineLevel="1">
      <c r="A295" s="27" t="s">
        <v>49</v>
      </c>
      <c r="B295" s="27" t="s">
        <v>48</v>
      </c>
      <c r="C295" s="27">
        <v>1</v>
      </c>
      <c r="D295" s="55" t="s">
        <v>33</v>
      </c>
      <c r="E295" s="52"/>
      <c r="F295" s="53"/>
      <c r="G295" s="53"/>
      <c r="H295" s="53"/>
      <c r="I295" s="53"/>
      <c r="J295" s="53"/>
      <c r="K295" s="53"/>
      <c r="L295" s="53"/>
      <c r="M295" s="53"/>
      <c r="N295" s="54"/>
      <c r="O295" s="5">
        <f>SUM(O293:O294)</f>
        <v>418894.86263799225</v>
      </c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48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48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48"/>
      <c r="AY295" s="5"/>
      <c r="AZ295" s="5"/>
      <c r="BA295" s="5"/>
      <c r="BB295" s="5"/>
      <c r="BC295" s="5"/>
      <c r="BD295" s="5"/>
      <c r="BE295" s="5"/>
      <c r="BF295" s="58"/>
      <c r="BG295" s="5"/>
    </row>
    <row r="296" spans="1:59" ht="15.75" hidden="1" customHeight="1" outlineLevel="1">
      <c r="A296" s="27"/>
      <c r="B296" s="27"/>
      <c r="C296" s="27"/>
      <c r="D296" s="55"/>
      <c r="E296" s="52"/>
      <c r="F296" s="53"/>
      <c r="G296" s="53"/>
      <c r="H296" s="53"/>
      <c r="I296" s="53"/>
      <c r="J296" s="53"/>
      <c r="K296" s="53"/>
      <c r="L296" s="53"/>
      <c r="M296" s="53"/>
      <c r="N296" s="54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48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48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48"/>
      <c r="AY296" s="5"/>
      <c r="AZ296" s="5"/>
      <c r="BA296" s="5"/>
      <c r="BB296" s="5"/>
      <c r="BC296" s="5"/>
      <c r="BD296" s="5"/>
      <c r="BE296" s="5"/>
      <c r="BF296" s="58"/>
      <c r="BG296" s="5"/>
    </row>
    <row r="297" spans="1:59" ht="15.75" hidden="1" customHeight="1" outlineLevel="1">
      <c r="A297" s="27" t="s">
        <v>49</v>
      </c>
      <c r="B297" s="27" t="s">
        <v>48</v>
      </c>
      <c r="C297" s="27">
        <v>2</v>
      </c>
      <c r="D297" s="51" t="s">
        <v>29</v>
      </c>
      <c r="E297" s="52"/>
      <c r="F297" s="53"/>
      <c r="G297" s="53"/>
      <c r="H297" s="53"/>
      <c r="I297" s="53"/>
      <c r="J297" s="53"/>
      <c r="K297" s="53"/>
      <c r="L297" s="53"/>
      <c r="M297" s="53"/>
      <c r="N297" s="50"/>
      <c r="O297" s="5">
        <f>Deferral!Q136</f>
        <v>279873.82829793834</v>
      </c>
      <c r="P297" s="5">
        <f>Deferral!R136</f>
        <v>263828.98771436932</v>
      </c>
      <c r="Q297" s="5">
        <f>Deferral!S136+Deferral!T136</f>
        <v>19349.618142214458</v>
      </c>
      <c r="R297" s="5">
        <f>Deferral!U136+Deferral!V136</f>
        <v>-366367.88629610109</v>
      </c>
      <c r="S297" s="5">
        <f>Deferral!W136</f>
        <v>-121235.54102863825</v>
      </c>
      <c r="T297" s="5">
        <f>Deferral!X136</f>
        <v>-123294.80376138413</v>
      </c>
      <c r="U297" s="5">
        <f>Deferral!Y136</f>
        <v>-1747.730715168349</v>
      </c>
      <c r="V297" s="5">
        <f>Deferral!Z136</f>
        <v>-27077.829478119776</v>
      </c>
      <c r="W297" s="5">
        <f>Deferral!AA136</f>
        <v>-65084.942524620361</v>
      </c>
      <c r="X297" s="5">
        <f>Deferral!AB136</f>
        <v>-197995.79105519273</v>
      </c>
      <c r="Y297" s="5">
        <f>Deferral!AC136</f>
        <v>396806.49103528692</v>
      </c>
      <c r="Z297" s="48">
        <f>Deferral!AD136</f>
        <v>209260.20004860719</v>
      </c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48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48"/>
      <c r="AY297" s="5"/>
      <c r="AZ297" s="5"/>
      <c r="BA297" s="5"/>
      <c r="BB297" s="5"/>
      <c r="BC297" s="5"/>
      <c r="BD297" s="5"/>
      <c r="BE297" s="5"/>
      <c r="BF297" s="58"/>
      <c r="BG297" s="5"/>
    </row>
    <row r="298" spans="1:59" ht="15.75" hidden="1" customHeight="1" outlineLevel="1">
      <c r="A298" s="27" t="s">
        <v>49</v>
      </c>
      <c r="B298" s="27" t="s">
        <v>48</v>
      </c>
      <c r="C298" s="27">
        <v>2</v>
      </c>
      <c r="D298" s="55" t="s">
        <v>30</v>
      </c>
      <c r="E298" s="52"/>
      <c r="F298" s="53"/>
      <c r="G298" s="53"/>
      <c r="H298" s="53"/>
      <c r="I298" s="53"/>
      <c r="J298" s="53"/>
      <c r="K298" s="53"/>
      <c r="L298" s="53"/>
      <c r="M298" s="53"/>
      <c r="N298" s="54"/>
      <c r="O298" s="5">
        <f>O297/2*O$399</f>
        <v>475.78550810649517</v>
      </c>
      <c r="P298" s="5">
        <f t="shared" ref="P298:Z298" si="139">(O299+P297/2)*P$399</f>
        <v>1401.6979660549803</v>
      </c>
      <c r="Q298" s="5">
        <f t="shared" si="139"/>
        <v>1832.3418582400018</v>
      </c>
      <c r="R298" s="5">
        <f t="shared" si="139"/>
        <v>1380.8819388199427</v>
      </c>
      <c r="S298" s="5">
        <f t="shared" si="139"/>
        <v>494.05119615363157</v>
      </c>
      <c r="T298" s="5">
        <f t="shared" si="139"/>
        <v>69.790908299276666</v>
      </c>
      <c r="U298" s="5">
        <f t="shared" si="139"/>
        <v>-155.03440648864043</v>
      </c>
      <c r="V298" s="5">
        <f t="shared" si="139"/>
        <v>-190.18866047492497</v>
      </c>
      <c r="W298" s="5">
        <f t="shared" si="139"/>
        <v>-374.05620748256013</v>
      </c>
      <c r="X298" s="5">
        <f t="shared" si="139"/>
        <v>-872.53002278074882</v>
      </c>
      <c r="Y298" s="5">
        <f t="shared" si="139"/>
        <v>-521.68719941272445</v>
      </c>
      <c r="Z298" s="48">
        <f t="shared" si="139"/>
        <v>611.33454696551382</v>
      </c>
      <c r="AA298" s="5">
        <f t="shared" ref="AA298:AG298" si="140">Z299*AA$399</f>
        <v>1081.8679512207671</v>
      </c>
      <c r="AB298" s="5">
        <f t="shared" si="140"/>
        <v>1086.1954230256501</v>
      </c>
      <c r="AC298" s="5">
        <f t="shared" si="140"/>
        <v>1063.2766995998088</v>
      </c>
      <c r="AD298" s="5">
        <f t="shared" si="140"/>
        <v>1149.5329770919595</v>
      </c>
      <c r="AE298" s="5">
        <f t="shared" si="140"/>
        <v>1126.876229510133</v>
      </c>
      <c r="AF298" s="5">
        <f t="shared" si="140"/>
        <v>1159.0938957596882</v>
      </c>
      <c r="AG298" s="5">
        <f t="shared" si="140"/>
        <v>1219.388856318159</v>
      </c>
      <c r="AH298" s="5"/>
      <c r="AI298" s="5"/>
      <c r="AJ298" s="5"/>
      <c r="AK298" s="5"/>
      <c r="AL298" s="48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48"/>
      <c r="AY298" s="5"/>
      <c r="AZ298" s="5"/>
      <c r="BA298" s="5"/>
      <c r="BB298" s="5"/>
      <c r="BC298" s="5"/>
      <c r="BD298" s="5"/>
      <c r="BE298" s="5"/>
      <c r="BF298" s="58"/>
      <c r="BG298" s="5"/>
    </row>
    <row r="299" spans="1:59" ht="15.75" hidden="1" customHeight="1" outlineLevel="1">
      <c r="A299" s="27" t="s">
        <v>49</v>
      </c>
      <c r="B299" s="27" t="s">
        <v>48</v>
      </c>
      <c r="C299" s="27">
        <v>2</v>
      </c>
      <c r="D299" s="51" t="s">
        <v>31</v>
      </c>
      <c r="E299" s="52"/>
      <c r="F299" s="53"/>
      <c r="G299" s="53"/>
      <c r="H299" s="53"/>
      <c r="I299" s="53"/>
      <c r="J299" s="53"/>
      <c r="K299" s="53"/>
      <c r="L299" s="53"/>
      <c r="M299" s="53"/>
      <c r="N299" s="54"/>
      <c r="O299" s="5">
        <f>SUM(O297:O298)</f>
        <v>280349.61380604486</v>
      </c>
      <c r="P299" s="5">
        <f>O299+SUM(P297:P298)</f>
        <v>545580.29948646913</v>
      </c>
      <c r="Q299" s="5">
        <f t="shared" ref="Q299" si="141">P299+SUM(Q297:Q298)</f>
        <v>566762.25948692358</v>
      </c>
      <c r="R299" s="5">
        <f t="shared" ref="R299:Z299" si="142">Q299+SUM(R297:R298)</f>
        <v>201775.25512964244</v>
      </c>
      <c r="S299" s="5">
        <f t="shared" si="142"/>
        <v>81033.765297157806</v>
      </c>
      <c r="T299" s="5">
        <f t="shared" si="142"/>
        <v>-42191.247555927053</v>
      </c>
      <c r="U299" s="5">
        <f t="shared" si="142"/>
        <v>-44094.01267758404</v>
      </c>
      <c r="V299" s="5">
        <f t="shared" si="142"/>
        <v>-71362.03081617874</v>
      </c>
      <c r="W299" s="5">
        <f t="shared" si="142"/>
        <v>-136821.02954828166</v>
      </c>
      <c r="X299" s="5">
        <f t="shared" si="142"/>
        <v>-335689.35062625515</v>
      </c>
      <c r="Y299" s="5">
        <f t="shared" si="142"/>
        <v>60595.453209619038</v>
      </c>
      <c r="Z299" s="48">
        <f t="shared" si="142"/>
        <v>270466.98780519178</v>
      </c>
      <c r="AA299" s="5">
        <f>Z299+AA298</f>
        <v>271548.85575641255</v>
      </c>
      <c r="AB299" s="5">
        <f t="shared" ref="AB299:AE299" si="143">AA299+AB298</f>
        <v>272635.05117943819</v>
      </c>
      <c r="AC299" s="5">
        <f t="shared" si="143"/>
        <v>273698.327879038</v>
      </c>
      <c r="AD299" s="5">
        <f t="shared" si="143"/>
        <v>274847.86085612996</v>
      </c>
      <c r="AE299" s="5">
        <f t="shared" si="143"/>
        <v>275974.73708564008</v>
      </c>
      <c r="AF299" s="5">
        <f>AE299+AF298</f>
        <v>277133.83098139975</v>
      </c>
      <c r="AG299" s="5">
        <f>AF299+AG298</f>
        <v>278353.21983771789</v>
      </c>
      <c r="AH299" s="5">
        <f>AG299</f>
        <v>278353.21983771789</v>
      </c>
      <c r="AI299" s="5"/>
      <c r="AJ299" s="5"/>
      <c r="AK299" s="5"/>
      <c r="AL299" s="48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48"/>
      <c r="AY299" s="5"/>
      <c r="AZ299" s="5"/>
      <c r="BA299" s="5"/>
      <c r="BB299" s="5"/>
      <c r="BC299" s="5"/>
      <c r="BD299" s="5"/>
      <c r="BE299" s="5"/>
      <c r="BF299" s="58"/>
      <c r="BG299" s="5"/>
    </row>
    <row r="300" spans="1:59" ht="15.75" hidden="1" customHeight="1" outlineLevel="1">
      <c r="A300" s="27" t="s">
        <v>49</v>
      </c>
      <c r="B300" s="27" t="s">
        <v>48</v>
      </c>
      <c r="C300" s="27">
        <v>2</v>
      </c>
      <c r="D300" s="55" t="s">
        <v>32</v>
      </c>
      <c r="E300" s="52"/>
      <c r="F300" s="53"/>
      <c r="G300" s="53"/>
      <c r="H300" s="53"/>
      <c r="I300" s="53"/>
      <c r="J300" s="53"/>
      <c r="K300" s="53"/>
      <c r="L300" s="53"/>
      <c r="M300" s="53"/>
      <c r="N300" s="54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48"/>
      <c r="AA300" s="5"/>
      <c r="AB300" s="5"/>
      <c r="AC300" s="5"/>
      <c r="AD300" s="5"/>
      <c r="AE300" s="5"/>
      <c r="AF300" s="5"/>
      <c r="AG300" s="5"/>
      <c r="AH300" s="56">
        <f>AH415+AH416</f>
        <v>928610.76471086394</v>
      </c>
      <c r="AI300" s="5"/>
      <c r="AJ300" s="5"/>
      <c r="AK300" s="5"/>
      <c r="AL300" s="48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48"/>
      <c r="AY300" s="5"/>
      <c r="AZ300" s="5"/>
      <c r="BA300" s="5"/>
      <c r="BB300" s="5"/>
      <c r="BC300" s="5"/>
      <c r="BD300" s="5"/>
      <c r="BE300" s="5"/>
      <c r="BF300" s="58"/>
      <c r="BG300" s="5"/>
    </row>
    <row r="301" spans="1:59" ht="15.75" hidden="1" customHeight="1" outlineLevel="1">
      <c r="A301" s="27" t="s">
        <v>49</v>
      </c>
      <c r="B301" s="27" t="s">
        <v>48</v>
      </c>
      <c r="C301" s="27">
        <v>2</v>
      </c>
      <c r="D301" s="55" t="s">
        <v>34</v>
      </c>
      <c r="E301" s="52"/>
      <c r="F301" s="53"/>
      <c r="G301" s="53"/>
      <c r="H301" s="53"/>
      <c r="I301" s="53"/>
      <c r="J301" s="53"/>
      <c r="K301" s="53"/>
      <c r="L301" s="53"/>
      <c r="M301" s="53"/>
      <c r="N301" s="54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48"/>
      <c r="AA301" s="5"/>
      <c r="AB301" s="5"/>
      <c r="AC301" s="5"/>
      <c r="AD301" s="5"/>
      <c r="AE301" s="5"/>
      <c r="AF301" s="5"/>
      <c r="AG301" s="5"/>
      <c r="AH301" s="5">
        <f>SUM(AH299:AH300)</f>
        <v>1206963.9845485818</v>
      </c>
      <c r="AI301" s="5"/>
      <c r="AJ301" s="5"/>
      <c r="AK301" s="5"/>
      <c r="AL301" s="48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48"/>
      <c r="AY301" s="5"/>
      <c r="AZ301" s="5"/>
      <c r="BA301" s="5"/>
      <c r="BB301" s="5"/>
      <c r="BC301" s="5"/>
      <c r="BD301" s="5"/>
      <c r="BE301" s="5"/>
      <c r="BF301" s="58"/>
      <c r="BG301" s="5"/>
    </row>
    <row r="302" spans="1:59" ht="15.75" hidden="1" customHeight="1" outlineLevel="1">
      <c r="A302" s="27"/>
      <c r="B302" s="27"/>
      <c r="C302" s="57"/>
      <c r="D302" s="55"/>
      <c r="E302" s="52"/>
      <c r="F302" s="53"/>
      <c r="G302" s="53"/>
      <c r="H302" s="53"/>
      <c r="I302" s="53"/>
      <c r="J302" s="53"/>
      <c r="K302" s="53"/>
      <c r="L302" s="53"/>
      <c r="M302" s="53"/>
      <c r="N302" s="54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48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48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48"/>
      <c r="AY302" s="5"/>
      <c r="AZ302" s="5"/>
      <c r="BA302" s="5"/>
      <c r="BB302" s="5"/>
      <c r="BC302" s="5"/>
      <c r="BD302" s="5"/>
      <c r="BE302" s="5"/>
      <c r="BF302" s="58"/>
      <c r="BG302" s="5"/>
    </row>
    <row r="303" spans="1:59" ht="15.75" hidden="1" customHeight="1" outlineLevel="1">
      <c r="A303" s="27" t="s">
        <v>49</v>
      </c>
      <c r="B303" s="27" t="s">
        <v>48</v>
      </c>
      <c r="C303" s="27">
        <v>3</v>
      </c>
      <c r="D303" s="51" t="s">
        <v>29</v>
      </c>
      <c r="E303" s="52"/>
      <c r="F303" s="53"/>
      <c r="G303" s="53"/>
      <c r="H303" s="53"/>
      <c r="I303" s="53"/>
      <c r="J303" s="53"/>
      <c r="K303" s="53"/>
      <c r="L303" s="53"/>
      <c r="M303" s="53"/>
      <c r="N303" s="54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48"/>
      <c r="AA303" s="5">
        <f>Deferral!AE136</f>
        <v>447342.07009062759</v>
      </c>
      <c r="AB303" s="5">
        <f>Deferral!AF136</f>
        <v>357486.64167652512</v>
      </c>
      <c r="AC303" s="5">
        <f>Deferral!AG136</f>
        <v>257180.39007869674</v>
      </c>
      <c r="AD303" s="5">
        <f>Deferral!AH136</f>
        <v>-66825.407699349831</v>
      </c>
      <c r="AE303" s="5">
        <f>Deferral!AI136</f>
        <v>-45745.180296176623</v>
      </c>
      <c r="AF303" s="5">
        <f>Deferral!AJ136</f>
        <v>-38.361228472146649</v>
      </c>
      <c r="AG303" s="5">
        <f>Deferral!AK136</f>
        <v>-164289.37132630887</v>
      </c>
      <c r="AH303" s="5">
        <f>Deferral!AL136</f>
        <v>158812.08994084466</v>
      </c>
      <c r="AI303" s="5">
        <f>Deferral!AM136</f>
        <v>34400.888285817768</v>
      </c>
      <c r="AJ303" s="5">
        <f>Deferral!AN136</f>
        <v>124976.86233018445</v>
      </c>
      <c r="AK303" s="5">
        <f>Deferral!AO136</f>
        <v>115006.45655647115</v>
      </c>
      <c r="AL303" s="48">
        <f>Deferral!AP136</f>
        <v>17523.183489369159</v>
      </c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48"/>
      <c r="AY303" s="5"/>
      <c r="AZ303" s="5"/>
      <c r="BA303" s="5"/>
      <c r="BB303" s="5"/>
      <c r="BC303" s="5"/>
      <c r="BD303" s="5"/>
      <c r="BE303" s="5"/>
      <c r="BF303" s="58"/>
      <c r="BG303" s="5"/>
    </row>
    <row r="304" spans="1:59" ht="15.75" hidden="1" customHeight="1" outlineLevel="1">
      <c r="A304" s="27" t="s">
        <v>49</v>
      </c>
      <c r="B304" s="27" t="s">
        <v>48</v>
      </c>
      <c r="C304" s="27">
        <v>3</v>
      </c>
      <c r="D304" s="55" t="s">
        <v>30</v>
      </c>
      <c r="E304" s="52"/>
      <c r="F304" s="53"/>
      <c r="G304" s="53"/>
      <c r="H304" s="53"/>
      <c r="I304" s="53"/>
      <c r="J304" s="53"/>
      <c r="K304" s="53"/>
      <c r="L304" s="53"/>
      <c r="M304" s="53"/>
      <c r="N304" s="54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48"/>
      <c r="AA304" s="5">
        <f>AA303/2*AA$399</f>
        <v>894.6841401812552</v>
      </c>
      <c r="AB304" s="5">
        <f t="shared" ref="AB304:AL304" si="144">(AA305+AB303/2)*AB$399</f>
        <v>2507.9203002762856</v>
      </c>
      <c r="AC304" s="5">
        <f t="shared" si="144"/>
        <v>3653.6038938631386</v>
      </c>
      <c r="AD304" s="5">
        <f t="shared" si="144"/>
        <v>4349.7409465880801</v>
      </c>
      <c r="AE304" s="5">
        <f t="shared" si="144"/>
        <v>4033.2399184452133</v>
      </c>
      <c r="AF304" s="5">
        <f t="shared" si="144"/>
        <v>4052.4057942288523</v>
      </c>
      <c r="AG304" s="5">
        <f t="shared" si="144"/>
        <v>3901.6870725900289</v>
      </c>
      <c r="AH304" s="5">
        <f t="shared" si="144"/>
        <v>3551.6404333285491</v>
      </c>
      <c r="AI304" s="5">
        <f t="shared" si="144"/>
        <v>4347.5002466667074</v>
      </c>
      <c r="AJ304" s="5">
        <f t="shared" si="144"/>
        <v>4824.4707604505902</v>
      </c>
      <c r="AK304" s="5">
        <f t="shared" si="144"/>
        <v>5505.8354207313178</v>
      </c>
      <c r="AL304" s="48">
        <f t="shared" si="144"/>
        <v>5709.1112958640251</v>
      </c>
      <c r="AM304" s="5">
        <f t="shared" ref="AM304:AS304" si="145">AL305*AM$399</f>
        <v>6030.8618799707838</v>
      </c>
      <c r="AN304" s="5">
        <f t="shared" si="145"/>
        <v>6059.2069308066466</v>
      </c>
      <c r="AO304" s="5">
        <f t="shared" si="145"/>
        <v>5828.6347691949932</v>
      </c>
      <c r="AP304" s="5">
        <f t="shared" si="145"/>
        <v>5984.9717062265127</v>
      </c>
      <c r="AQ304" s="5">
        <f t="shared" si="145"/>
        <v>5881.7959983343899</v>
      </c>
      <c r="AR304" s="5">
        <f t="shared" si="145"/>
        <v>6039.5588376674923</v>
      </c>
      <c r="AS304" s="5">
        <f t="shared" si="145"/>
        <v>5539.7459554233055</v>
      </c>
      <c r="AT304" s="5"/>
      <c r="AU304" s="5"/>
      <c r="AV304" s="5"/>
      <c r="AW304" s="5"/>
      <c r="AX304" s="48"/>
      <c r="AY304" s="5"/>
      <c r="AZ304" s="5"/>
      <c r="BA304" s="5"/>
      <c r="BB304" s="5"/>
      <c r="BC304" s="5"/>
      <c r="BD304" s="5"/>
      <c r="BE304" s="5"/>
      <c r="BF304" s="58"/>
      <c r="BG304" s="5"/>
    </row>
    <row r="305" spans="1:59" ht="15.75" hidden="1" customHeight="1" outlineLevel="1">
      <c r="A305" s="27" t="s">
        <v>49</v>
      </c>
      <c r="B305" s="27" t="s">
        <v>48</v>
      </c>
      <c r="C305" s="27">
        <v>3</v>
      </c>
      <c r="D305" s="51" t="s">
        <v>31</v>
      </c>
      <c r="E305" s="52"/>
      <c r="F305" s="53"/>
      <c r="G305" s="53"/>
      <c r="H305" s="53"/>
      <c r="I305" s="53"/>
      <c r="J305" s="53"/>
      <c r="K305" s="53"/>
      <c r="L305" s="53"/>
      <c r="M305" s="53"/>
      <c r="N305" s="54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48"/>
      <c r="AA305" s="5">
        <f>SUM(AA303:AA304)</f>
        <v>448236.75423080882</v>
      </c>
      <c r="AB305" s="5">
        <f>AA305+SUM(AB303:AB304)</f>
        <v>808231.3162076103</v>
      </c>
      <c r="AC305" s="5">
        <f t="shared" ref="AC305" si="146">AB305+SUM(AC303:AC304)</f>
        <v>1069065.3101801702</v>
      </c>
      <c r="AD305" s="5">
        <f t="shared" ref="AD305:AL305" si="147">AC305+SUM(AD303:AD304)</f>
        <v>1006589.6434274085</v>
      </c>
      <c r="AE305" s="5">
        <f t="shared" si="147"/>
        <v>964877.70304967707</v>
      </c>
      <c r="AF305" s="5">
        <f t="shared" si="147"/>
        <v>968891.74761543376</v>
      </c>
      <c r="AG305" s="5">
        <f t="shared" si="147"/>
        <v>808504.06336171494</v>
      </c>
      <c r="AH305" s="5">
        <f t="shared" si="147"/>
        <v>970867.79373588809</v>
      </c>
      <c r="AI305" s="5">
        <f t="shared" si="147"/>
        <v>1009616.1822683725</v>
      </c>
      <c r="AJ305" s="5">
        <f t="shared" si="147"/>
        <v>1139417.5153590075</v>
      </c>
      <c r="AK305" s="5">
        <f t="shared" si="147"/>
        <v>1259929.80733621</v>
      </c>
      <c r="AL305" s="48">
        <f t="shared" si="147"/>
        <v>1283162.1021214433</v>
      </c>
      <c r="AM305" s="5">
        <f>AL305+AM304</f>
        <v>1289192.9640014141</v>
      </c>
      <c r="AN305" s="5">
        <f t="shared" ref="AN305:AQ305" si="148">AM305+AN304</f>
        <v>1295252.1709322208</v>
      </c>
      <c r="AO305" s="5">
        <f t="shared" si="148"/>
        <v>1301080.8057014158</v>
      </c>
      <c r="AP305" s="5">
        <f t="shared" si="148"/>
        <v>1307065.7774076422</v>
      </c>
      <c r="AQ305" s="5">
        <f t="shared" si="148"/>
        <v>1312947.5734059766</v>
      </c>
      <c r="AR305" s="5">
        <f>AQ305+AR304</f>
        <v>1318987.1322436442</v>
      </c>
      <c r="AS305" s="5">
        <f>AR305+AS304</f>
        <v>1324526.8781990674</v>
      </c>
      <c r="AT305" s="5">
        <f>AS305</f>
        <v>1324526.8781990674</v>
      </c>
      <c r="AU305" s="5"/>
      <c r="AV305" s="5"/>
      <c r="AW305" s="5"/>
      <c r="AX305" s="48"/>
      <c r="AY305" s="5"/>
      <c r="AZ305" s="5"/>
      <c r="BA305" s="5"/>
      <c r="BB305" s="5"/>
      <c r="BC305" s="5"/>
      <c r="BD305" s="5"/>
      <c r="BE305" s="5"/>
      <c r="BF305" s="58"/>
      <c r="BG305" s="5"/>
    </row>
    <row r="306" spans="1:59" ht="15.75" hidden="1" customHeight="1" outlineLevel="1">
      <c r="A306" s="27" t="s">
        <v>49</v>
      </c>
      <c r="B306" s="27" t="s">
        <v>48</v>
      </c>
      <c r="C306" s="27">
        <v>3</v>
      </c>
      <c r="D306" s="55" t="s">
        <v>32</v>
      </c>
      <c r="E306" s="52"/>
      <c r="F306" s="53"/>
      <c r="G306" s="53"/>
      <c r="H306" s="53"/>
      <c r="I306" s="53"/>
      <c r="J306" s="53"/>
      <c r="K306" s="53"/>
      <c r="L306" s="53"/>
      <c r="M306" s="53"/>
      <c r="N306" s="54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48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48"/>
      <c r="AM306" s="5"/>
      <c r="AN306" s="5"/>
      <c r="AO306" s="5"/>
      <c r="AP306" s="5"/>
      <c r="AQ306" s="5"/>
      <c r="AR306" s="5"/>
      <c r="AS306" s="5"/>
      <c r="AT306" s="56">
        <f>AT423+AT424</f>
        <v>3086387.592938601</v>
      </c>
      <c r="AU306" s="5"/>
      <c r="AV306" s="5"/>
      <c r="AW306" s="5"/>
      <c r="AX306" s="48"/>
      <c r="AY306" s="5"/>
      <c r="AZ306" s="5"/>
      <c r="BA306" s="5"/>
      <c r="BB306" s="5"/>
      <c r="BC306" s="5"/>
      <c r="BD306" s="5"/>
      <c r="BE306" s="5"/>
      <c r="BF306" s="58"/>
      <c r="BG306" s="5"/>
    </row>
    <row r="307" spans="1:59" ht="15.75" hidden="1" customHeight="1" outlineLevel="1">
      <c r="A307" s="27" t="s">
        <v>49</v>
      </c>
      <c r="B307" s="27" t="s">
        <v>48</v>
      </c>
      <c r="C307" s="27">
        <v>3</v>
      </c>
      <c r="D307" s="55" t="s">
        <v>35</v>
      </c>
      <c r="E307" s="52"/>
      <c r="F307" s="53"/>
      <c r="G307" s="53"/>
      <c r="H307" s="53"/>
      <c r="I307" s="53"/>
      <c r="J307" s="53"/>
      <c r="K307" s="53"/>
      <c r="L307" s="53"/>
      <c r="M307" s="53"/>
      <c r="N307" s="54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48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48"/>
      <c r="AM307" s="5"/>
      <c r="AN307" s="5"/>
      <c r="AO307" s="5"/>
      <c r="AP307" s="5"/>
      <c r="AQ307" s="5"/>
      <c r="AR307" s="5"/>
      <c r="AS307" s="5"/>
      <c r="AT307" s="5">
        <f>SUM(AT305:AT306)</f>
        <v>4410914.4711376689</v>
      </c>
      <c r="AU307" s="5"/>
      <c r="AV307" s="5"/>
      <c r="AW307" s="5"/>
      <c r="AX307" s="48"/>
      <c r="AY307" s="5"/>
      <c r="AZ307" s="5"/>
      <c r="BA307" s="5"/>
      <c r="BB307" s="5"/>
      <c r="BC307" s="5"/>
      <c r="BD307" s="5"/>
      <c r="BE307" s="5"/>
      <c r="BF307" s="58"/>
      <c r="BG307" s="5"/>
    </row>
    <row r="308" spans="1:59" ht="15.75" hidden="1" customHeight="1" outlineLevel="1">
      <c r="A308" s="27"/>
      <c r="B308" s="27"/>
      <c r="C308" s="57"/>
      <c r="D308" s="55"/>
      <c r="E308" s="52"/>
      <c r="F308" s="53"/>
      <c r="G308" s="53"/>
      <c r="H308" s="53"/>
      <c r="I308" s="53"/>
      <c r="J308" s="53"/>
      <c r="K308" s="53"/>
      <c r="L308" s="53"/>
      <c r="M308" s="53"/>
      <c r="N308" s="54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48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48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48"/>
      <c r="AY308" s="5"/>
      <c r="AZ308" s="5"/>
      <c r="BA308" s="5"/>
      <c r="BB308" s="5"/>
      <c r="BC308" s="5"/>
      <c r="BD308" s="5"/>
      <c r="BE308" s="5"/>
      <c r="BF308" s="58"/>
      <c r="BG308" s="5"/>
    </row>
    <row r="309" spans="1:59" ht="15.75" hidden="1" customHeight="1" outlineLevel="1">
      <c r="A309" s="27" t="s">
        <v>49</v>
      </c>
      <c r="B309" s="27" t="s">
        <v>48</v>
      </c>
      <c r="C309" s="27">
        <v>4</v>
      </c>
      <c r="D309" s="51" t="s">
        <v>29</v>
      </c>
      <c r="E309" s="52"/>
      <c r="F309" s="53"/>
      <c r="G309" s="53"/>
      <c r="H309" s="53"/>
      <c r="I309" s="53"/>
      <c r="J309" s="53"/>
      <c r="K309" s="53"/>
      <c r="L309" s="53"/>
      <c r="M309" s="53"/>
      <c r="N309" s="54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48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48"/>
      <c r="AM309" s="5">
        <f>Deferral!AQ136</f>
        <v>537089.46337882848</v>
      </c>
      <c r="AN309" s="5">
        <f>Deferral!AR136</f>
        <v>84506.454132200437</v>
      </c>
      <c r="AO309" s="5">
        <f>Deferral!AS136</f>
        <v>296944.49705085333</v>
      </c>
      <c r="AP309" s="5">
        <f>Deferral!AT136</f>
        <v>-277255.79634380655</v>
      </c>
      <c r="AQ309" s="5">
        <f>Deferral!AU136</f>
        <v>-91255.42110351508</v>
      </c>
      <c r="AR309" s="5">
        <f>Deferral!AV136</f>
        <v>-114294.73987076369</v>
      </c>
      <c r="AS309" s="5">
        <f>Deferral!AW136</f>
        <v>39500.194620791211</v>
      </c>
      <c r="AT309" s="5">
        <f>Deferral!AX136</f>
        <v>278393.37651263882</v>
      </c>
      <c r="AU309" s="5">
        <f>Deferral!AY136</f>
        <v>513.47974219733442</v>
      </c>
      <c r="AV309" s="5">
        <f>Deferral!AZ136</f>
        <v>-83246.264199568235</v>
      </c>
      <c r="AW309" s="5">
        <f>Deferral!BA136</f>
        <v>-174737.20485293187</v>
      </c>
      <c r="AX309" s="48">
        <f>Deferral!BB136</f>
        <v>-122827.73108505174</v>
      </c>
      <c r="AY309" s="5"/>
      <c r="AZ309" s="5"/>
      <c r="BA309" s="5"/>
      <c r="BB309" s="5"/>
      <c r="BC309" s="5"/>
      <c r="BD309" s="5"/>
      <c r="BE309" s="5"/>
      <c r="BF309" s="58"/>
      <c r="BG309" s="5"/>
    </row>
    <row r="310" spans="1:59" ht="15.75" hidden="1" customHeight="1" outlineLevel="1">
      <c r="A310" s="27" t="s">
        <v>49</v>
      </c>
      <c r="B310" s="27" t="s">
        <v>48</v>
      </c>
      <c r="C310" s="27">
        <v>4</v>
      </c>
      <c r="D310" s="55" t="s">
        <v>30</v>
      </c>
      <c r="E310" s="52"/>
      <c r="F310" s="53"/>
      <c r="G310" s="53"/>
      <c r="H310" s="53"/>
      <c r="I310" s="53"/>
      <c r="J310" s="53"/>
      <c r="K310" s="53"/>
      <c r="L310" s="53"/>
      <c r="M310" s="53"/>
      <c r="N310" s="54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48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48"/>
      <c r="AM310" s="5">
        <f>AM309/2*AM$399</f>
        <v>1262.1602389402469</v>
      </c>
      <c r="AN310" s="5">
        <f t="shared" ref="AN310:AX310" si="149">(AM311+AN309/2)*AN$399</f>
        <v>2728.8427982141843</v>
      </c>
      <c r="AO310" s="5">
        <f t="shared" si="149"/>
        <v>3483.2662608312453</v>
      </c>
      <c r="AP310" s="5">
        <f t="shared" si="149"/>
        <v>3621.9792141646371</v>
      </c>
      <c r="AQ310" s="5">
        <f t="shared" si="149"/>
        <v>2730.3892028031087</v>
      </c>
      <c r="AR310" s="5">
        <f t="shared" si="149"/>
        <v>2330.8589385130085</v>
      </c>
      <c r="AS310" s="5">
        <f t="shared" si="149"/>
        <v>1980.8966150721681</v>
      </c>
      <c r="AT310" s="5">
        <f t="shared" si="149"/>
        <v>2467.0219602188404</v>
      </c>
      <c r="AU310" s="5">
        <f t="shared" si="149"/>
        <v>3252.8587706037492</v>
      </c>
      <c r="AV310" s="5">
        <f t="shared" si="149"/>
        <v>2871.868935074106</v>
      </c>
      <c r="AW310" s="5">
        <f t="shared" si="149"/>
        <v>2441.0271377113022</v>
      </c>
      <c r="AX310" s="48">
        <f t="shared" si="149"/>
        <v>1809.2698400265256</v>
      </c>
      <c r="AY310" s="5">
        <f t="shared" ref="AY310:BE310" si="150">AX311*AY$399</f>
        <v>1172.5011688927325</v>
      </c>
      <c r="AZ310" s="5">
        <f t="shared" si="150"/>
        <v>1175.9014222825215</v>
      </c>
      <c r="BA310" s="5">
        <f t="shared" si="150"/>
        <v>1138.6456213586187</v>
      </c>
      <c r="BB310" s="5">
        <f t="shared" si="150"/>
        <v>1141.8338290984227</v>
      </c>
      <c r="BC310" s="5">
        <f t="shared" si="150"/>
        <v>1104.1370008263307</v>
      </c>
      <c r="BD310" s="5">
        <f t="shared" si="150"/>
        <v>1148.1225474222119</v>
      </c>
      <c r="BE310" s="5">
        <f t="shared" si="150"/>
        <v>1151.3372905549941</v>
      </c>
      <c r="BF310" s="58"/>
      <c r="BG310" s="5"/>
    </row>
    <row r="311" spans="1:59" ht="15.75" hidden="1" customHeight="1" outlineLevel="1">
      <c r="A311" s="27" t="s">
        <v>49</v>
      </c>
      <c r="B311" s="27" t="s">
        <v>48</v>
      </c>
      <c r="C311" s="27">
        <v>4</v>
      </c>
      <c r="D311" s="51" t="s">
        <v>31</v>
      </c>
      <c r="E311" s="52"/>
      <c r="F311" s="53"/>
      <c r="G311" s="53"/>
      <c r="H311" s="53"/>
      <c r="I311" s="53"/>
      <c r="J311" s="53"/>
      <c r="K311" s="53"/>
      <c r="L311" s="53"/>
      <c r="M311" s="53"/>
      <c r="N311" s="54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48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48"/>
      <c r="AM311" s="5">
        <f>SUM(AM309:AM310)</f>
        <v>538351.62361776875</v>
      </c>
      <c r="AN311" s="5">
        <f>AM311+SUM(AN309:AN310)</f>
        <v>625586.92054818338</v>
      </c>
      <c r="AO311" s="5">
        <f t="shared" ref="AO311" si="151">AN311+SUM(AO309:AO310)</f>
        <v>926014.68385986798</v>
      </c>
      <c r="AP311" s="5">
        <f t="shared" ref="AP311:AX311" si="152">AO311+SUM(AP309:AP310)</f>
        <v>652380.86673022609</v>
      </c>
      <c r="AQ311" s="5">
        <f t="shared" si="152"/>
        <v>563855.83482951415</v>
      </c>
      <c r="AR311" s="5">
        <f t="shared" si="152"/>
        <v>451891.95389726345</v>
      </c>
      <c r="AS311" s="5">
        <f t="shared" si="152"/>
        <v>493373.04513312684</v>
      </c>
      <c r="AT311" s="5">
        <f t="shared" si="152"/>
        <v>774233.44360598456</v>
      </c>
      <c r="AU311" s="5">
        <f t="shared" si="152"/>
        <v>777999.78211878566</v>
      </c>
      <c r="AV311" s="5">
        <f t="shared" si="152"/>
        <v>697625.38685429154</v>
      </c>
      <c r="AW311" s="5">
        <f t="shared" si="152"/>
        <v>525329.20913907094</v>
      </c>
      <c r="AX311" s="48">
        <f t="shared" si="152"/>
        <v>404310.74789404572</v>
      </c>
      <c r="AY311" s="5">
        <f>AX311+AY310</f>
        <v>405483.24906293844</v>
      </c>
      <c r="AZ311" s="5">
        <f t="shared" ref="AZ311:BC311" si="153">AY311+AZ310</f>
        <v>406659.15048522095</v>
      </c>
      <c r="BA311" s="5">
        <f t="shared" si="153"/>
        <v>407797.79610657954</v>
      </c>
      <c r="BB311" s="5">
        <f t="shared" si="153"/>
        <v>408939.62993567798</v>
      </c>
      <c r="BC311" s="5">
        <f t="shared" si="153"/>
        <v>410043.76693650428</v>
      </c>
      <c r="BD311" s="5">
        <f>BC311+BD310</f>
        <v>411191.88948392647</v>
      </c>
      <c r="BE311" s="5">
        <f>BD311+BE310</f>
        <v>412343.22677448147</v>
      </c>
      <c r="BF311" s="58">
        <f>BE311</f>
        <v>412343.22677448147</v>
      </c>
      <c r="BG311" s="5"/>
    </row>
    <row r="312" spans="1:59" ht="15.75" hidden="1" customHeight="1" outlineLevel="1">
      <c r="A312" s="27" t="s">
        <v>49</v>
      </c>
      <c r="B312" s="27" t="s">
        <v>48</v>
      </c>
      <c r="C312" s="27">
        <v>4</v>
      </c>
      <c r="D312" s="55" t="s">
        <v>36</v>
      </c>
      <c r="E312" s="52"/>
      <c r="F312" s="53"/>
      <c r="G312" s="53"/>
      <c r="H312" s="53"/>
      <c r="I312" s="53"/>
      <c r="J312" s="53"/>
      <c r="K312" s="53"/>
      <c r="L312" s="53"/>
      <c r="M312" s="53"/>
      <c r="N312" s="54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48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48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48"/>
      <c r="AY312" s="5"/>
      <c r="AZ312" s="5"/>
      <c r="BA312" s="5"/>
      <c r="BB312" s="5"/>
      <c r="BC312" s="5"/>
      <c r="BD312" s="5"/>
      <c r="BE312" s="5"/>
      <c r="BF312" s="59">
        <f>BF431+BF432</f>
        <v>3441.255654262276</v>
      </c>
      <c r="BG312" s="5"/>
    </row>
    <row r="313" spans="1:59" ht="15.75" hidden="1" customHeight="1" outlineLevel="1">
      <c r="A313" s="27" t="s">
        <v>49</v>
      </c>
      <c r="B313" s="27" t="s">
        <v>48</v>
      </c>
      <c r="C313" s="27">
        <v>4</v>
      </c>
      <c r="D313" s="55" t="s">
        <v>37</v>
      </c>
      <c r="E313" s="52"/>
      <c r="F313" s="53"/>
      <c r="G313" s="53"/>
      <c r="H313" s="53"/>
      <c r="I313" s="53"/>
      <c r="J313" s="53"/>
      <c r="K313" s="53"/>
      <c r="L313" s="53"/>
      <c r="M313" s="53"/>
      <c r="N313" s="54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48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48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48"/>
      <c r="AY313" s="5"/>
      <c r="AZ313" s="5"/>
      <c r="BA313" s="5"/>
      <c r="BB313" s="5"/>
      <c r="BC313" s="5"/>
      <c r="BD313" s="5"/>
      <c r="BE313" s="5"/>
      <c r="BF313" s="58">
        <f>SUM(BF311:BF312)</f>
        <v>415784.48242874374</v>
      </c>
      <c r="BG313" s="5"/>
    </row>
    <row r="314" spans="1:59" ht="15.75" customHeight="1" collapsed="1">
      <c r="A314" s="27"/>
      <c r="B314" s="27"/>
      <c r="C314" s="57"/>
      <c r="D314" s="55"/>
      <c r="E314" s="52"/>
      <c r="F314" s="53"/>
      <c r="G314" s="53"/>
      <c r="H314" s="53"/>
      <c r="I314" s="53"/>
      <c r="J314" s="53"/>
      <c r="K314" s="53"/>
      <c r="L314" s="53"/>
      <c r="M314" s="53"/>
      <c r="N314" s="54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48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48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48"/>
      <c r="AY314" s="5"/>
      <c r="AZ314" s="5"/>
      <c r="BA314" s="5"/>
      <c r="BB314" s="5"/>
      <c r="BC314" s="5"/>
      <c r="BD314" s="5"/>
      <c r="BE314" s="5"/>
      <c r="BF314" s="58"/>
      <c r="BG314" s="5"/>
    </row>
    <row r="315" spans="1:59" ht="15.75" customHeight="1">
      <c r="A315" s="27" t="s">
        <v>49</v>
      </c>
      <c r="B315" s="27" t="s">
        <v>48</v>
      </c>
      <c r="C315" s="27">
        <v>5</v>
      </c>
      <c r="D315" s="51" t="s">
        <v>29</v>
      </c>
      <c r="E315" s="52"/>
      <c r="F315" s="53"/>
      <c r="G315" s="53"/>
      <c r="H315" s="53"/>
      <c r="I315" s="53"/>
      <c r="J315" s="53"/>
      <c r="K315" s="53"/>
      <c r="L315" s="53"/>
      <c r="M315" s="53"/>
      <c r="N315" s="54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48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48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48"/>
      <c r="AY315" s="5">
        <f>Deferral!BC136</f>
        <v>277388.25639211596</v>
      </c>
      <c r="AZ315" s="5">
        <f>Deferral!BD136</f>
        <v>111897.56319777292</v>
      </c>
      <c r="BA315" s="5">
        <f>Deferral!BE136</f>
        <v>66033.508478254109</v>
      </c>
      <c r="BB315" s="5">
        <f>Deferral!BF136</f>
        <v>-27791.460655772426</v>
      </c>
      <c r="BC315" s="5">
        <f>Deferral!BG136</f>
        <v>114276.14493537096</v>
      </c>
      <c r="BD315" s="5">
        <f>Deferral!BH136</f>
        <v>-349334.91722348222</v>
      </c>
      <c r="BE315" s="5">
        <f>Deferral!BI136+Deferral!BJ136</f>
        <v>80222.876812963732</v>
      </c>
      <c r="BF315" s="58">
        <f>Deferral!BK136+Deferral!BL136</f>
        <v>58099.771006554351</v>
      </c>
      <c r="BG315" s="5">
        <f>Deferral!BM136</f>
        <v>-59127.496836781298</v>
      </c>
    </row>
    <row r="316" spans="1:59" ht="15.75" customHeight="1">
      <c r="A316" s="27" t="s">
        <v>49</v>
      </c>
      <c r="B316" s="27" t="s">
        <v>48</v>
      </c>
      <c r="C316" s="27">
        <v>5</v>
      </c>
      <c r="D316" s="55" t="s">
        <v>30</v>
      </c>
      <c r="E316" s="52"/>
      <c r="F316" s="53"/>
      <c r="G316" s="53"/>
      <c r="H316" s="53"/>
      <c r="I316" s="53"/>
      <c r="J316" s="53"/>
      <c r="K316" s="53"/>
      <c r="L316" s="53"/>
      <c r="M316" s="53"/>
      <c r="N316" s="54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48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48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48"/>
      <c r="AY316" s="5">
        <f>AY315/2*AY$399</f>
        <v>402.21297176856814</v>
      </c>
      <c r="AZ316" s="5">
        <f t="shared" ref="AZ316:BG316" si="154">(AY317+AZ315/2)*AZ$399</f>
        <v>967.84382779203588</v>
      </c>
      <c r="BA316" s="5">
        <f t="shared" si="154"/>
        <v>1186.2833657600142</v>
      </c>
      <c r="BB316" s="5">
        <f t="shared" si="154"/>
        <v>1243.1438261356166</v>
      </c>
      <c r="BC316" s="5">
        <f t="shared" si="154"/>
        <v>1318.8566444530832</v>
      </c>
      <c r="BD316" s="5">
        <f t="shared" si="154"/>
        <v>1042.3137042413473</v>
      </c>
      <c r="BE316" s="5">
        <f t="shared" si="154"/>
        <v>668.47532603849731</v>
      </c>
      <c r="BF316" s="58">
        <f t="shared" si="154"/>
        <v>771.42746776672357</v>
      </c>
      <c r="BG316" s="5">
        <f t="shared" si="154"/>
        <v>864.71994464615955</v>
      </c>
    </row>
    <row r="317" spans="1:59" ht="15.75" customHeight="1">
      <c r="A317" s="27" t="s">
        <v>49</v>
      </c>
      <c r="B317" s="27" t="s">
        <v>48</v>
      </c>
      <c r="C317" s="27">
        <v>5</v>
      </c>
      <c r="D317" s="51" t="s">
        <v>31</v>
      </c>
      <c r="E317" s="52"/>
      <c r="F317" s="53"/>
      <c r="G317" s="53"/>
      <c r="H317" s="53"/>
      <c r="I317" s="53"/>
      <c r="J317" s="53"/>
      <c r="K317" s="53"/>
      <c r="L317" s="53"/>
      <c r="M317" s="53"/>
      <c r="N317" s="54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48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48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48"/>
      <c r="AY317" s="5">
        <f>SUM(AY315:AY316)</f>
        <v>277790.46936388453</v>
      </c>
      <c r="AZ317" s="5">
        <f>AY317+SUM(AZ315:AZ316)</f>
        <v>390655.87638944946</v>
      </c>
      <c r="BA317" s="5">
        <f t="shared" ref="BA317" si="155">AZ317+SUM(BA315:BA316)</f>
        <v>457875.6682334636</v>
      </c>
      <c r="BB317" s="5">
        <f t="shared" ref="BB317:BG317" si="156">BA317+SUM(BB315:BB316)</f>
        <v>431327.35140382679</v>
      </c>
      <c r="BC317" s="5">
        <f t="shared" si="156"/>
        <v>546922.35298365087</v>
      </c>
      <c r="BD317" s="5">
        <f t="shared" si="156"/>
        <v>198629.74946441001</v>
      </c>
      <c r="BE317" s="5">
        <f t="shared" si="156"/>
        <v>279521.10160341224</v>
      </c>
      <c r="BF317" s="58">
        <f t="shared" si="156"/>
        <v>338392.30007773335</v>
      </c>
      <c r="BG317" s="5">
        <f t="shared" si="156"/>
        <v>280129.5231855982</v>
      </c>
    </row>
    <row r="318" spans="1:59" ht="15.75" hidden="1" customHeight="1" outlineLevel="1">
      <c r="A318" s="27" t="s">
        <v>49</v>
      </c>
      <c r="B318" s="27" t="s">
        <v>48</v>
      </c>
      <c r="C318" s="27">
        <v>5</v>
      </c>
      <c r="D318" s="55" t="s">
        <v>38</v>
      </c>
      <c r="E318" s="52"/>
      <c r="F318" s="53"/>
      <c r="G318" s="53"/>
      <c r="H318" s="53"/>
      <c r="I318" s="53"/>
      <c r="J318" s="53"/>
      <c r="K318" s="53"/>
      <c r="L318" s="53"/>
      <c r="M318" s="53"/>
      <c r="N318" s="54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48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48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48"/>
      <c r="AY318" s="5"/>
      <c r="AZ318" s="5"/>
      <c r="BA318" s="5"/>
      <c r="BB318" s="5"/>
      <c r="BC318" s="5"/>
      <c r="BD318" s="5"/>
      <c r="BE318" s="5"/>
      <c r="BF318" s="58"/>
      <c r="BG318" s="5"/>
    </row>
    <row r="319" spans="1:59" ht="15.75" hidden="1" customHeight="1" outlineLevel="1">
      <c r="A319" s="27" t="s">
        <v>49</v>
      </c>
      <c r="B319" s="27" t="s">
        <v>48</v>
      </c>
      <c r="C319" s="27">
        <v>5</v>
      </c>
      <c r="D319" s="55" t="s">
        <v>39</v>
      </c>
      <c r="E319" s="52"/>
      <c r="F319" s="53"/>
      <c r="G319" s="53"/>
      <c r="H319" s="53"/>
      <c r="I319" s="53"/>
      <c r="J319" s="53"/>
      <c r="K319" s="53"/>
      <c r="L319" s="53"/>
      <c r="M319" s="53"/>
      <c r="N319" s="54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48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48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48"/>
      <c r="AY319" s="5"/>
      <c r="AZ319" s="5"/>
      <c r="BA319" s="5"/>
      <c r="BB319" s="5"/>
      <c r="BC319" s="5"/>
      <c r="BD319" s="5"/>
      <c r="BE319" s="5"/>
      <c r="BF319" s="58"/>
      <c r="BG319" s="5"/>
    </row>
    <row r="320" spans="1:59" ht="15.75" hidden="1" customHeight="1" outlineLevel="1">
      <c r="A320" s="27"/>
      <c r="B320" s="27"/>
      <c r="C320" s="27"/>
      <c r="D320" s="55"/>
      <c r="E320" s="52"/>
      <c r="F320" s="53"/>
      <c r="G320" s="53"/>
      <c r="H320" s="53"/>
      <c r="I320" s="53"/>
      <c r="J320" s="53"/>
      <c r="K320" s="53"/>
      <c r="L320" s="53"/>
      <c r="M320" s="53"/>
      <c r="N320" s="54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48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48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48"/>
      <c r="AY320" s="5"/>
      <c r="AZ320" s="5"/>
      <c r="BA320" s="5"/>
      <c r="BB320" s="5"/>
      <c r="BC320" s="5"/>
      <c r="BD320" s="5"/>
      <c r="BE320" s="5"/>
      <c r="BF320" s="58"/>
      <c r="BG320" s="5"/>
    </row>
    <row r="321" spans="1:59" ht="15.75" hidden="1" customHeight="1" outlineLevel="1">
      <c r="A321" s="27" t="s">
        <v>49</v>
      </c>
      <c r="B321" s="27" t="s">
        <v>48</v>
      </c>
      <c r="C321" s="27">
        <v>6</v>
      </c>
      <c r="D321" s="51" t="s">
        <v>29</v>
      </c>
      <c r="E321" s="52"/>
      <c r="F321" s="53"/>
      <c r="G321" s="53"/>
      <c r="H321" s="53"/>
      <c r="I321" s="53"/>
      <c r="J321" s="53"/>
      <c r="K321" s="53"/>
      <c r="L321" s="53"/>
      <c r="M321" s="53"/>
      <c r="N321" s="54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48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48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48"/>
      <c r="AY321" s="5"/>
      <c r="AZ321" s="5"/>
      <c r="BA321" s="5"/>
      <c r="BB321" s="5"/>
      <c r="BC321" s="5"/>
      <c r="BD321" s="5"/>
      <c r="BE321" s="5"/>
      <c r="BF321" s="58"/>
      <c r="BG321" s="5"/>
    </row>
    <row r="322" spans="1:59" ht="15.75" hidden="1" customHeight="1" outlineLevel="1">
      <c r="A322" s="27" t="s">
        <v>49</v>
      </c>
      <c r="B322" s="27" t="s">
        <v>48</v>
      </c>
      <c r="C322" s="27">
        <v>6</v>
      </c>
      <c r="D322" s="55" t="s">
        <v>30</v>
      </c>
      <c r="E322" s="52"/>
      <c r="F322" s="53"/>
      <c r="G322" s="53"/>
      <c r="H322" s="53"/>
      <c r="I322" s="53"/>
      <c r="J322" s="53"/>
      <c r="K322" s="53"/>
      <c r="L322" s="53"/>
      <c r="M322" s="53"/>
      <c r="N322" s="54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48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48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48"/>
      <c r="AY322" s="5"/>
      <c r="AZ322" s="5"/>
      <c r="BA322" s="5"/>
      <c r="BB322" s="5"/>
      <c r="BC322" s="5"/>
      <c r="BD322" s="5"/>
      <c r="BE322" s="5"/>
      <c r="BF322" s="58"/>
      <c r="BG322" s="5"/>
    </row>
    <row r="323" spans="1:59" ht="15.75" hidden="1" customHeight="1" outlineLevel="1">
      <c r="A323" s="27" t="s">
        <v>49</v>
      </c>
      <c r="B323" s="27" t="s">
        <v>48</v>
      </c>
      <c r="C323" s="27">
        <v>6</v>
      </c>
      <c r="D323" s="51" t="s">
        <v>31</v>
      </c>
      <c r="E323" s="52"/>
      <c r="F323" s="53"/>
      <c r="G323" s="53"/>
      <c r="H323" s="53"/>
      <c r="I323" s="53"/>
      <c r="J323" s="53"/>
      <c r="K323" s="53"/>
      <c r="L323" s="53"/>
      <c r="M323" s="53"/>
      <c r="N323" s="54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48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48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48"/>
      <c r="AY323" s="5"/>
      <c r="AZ323" s="5"/>
      <c r="BA323" s="5"/>
      <c r="BB323" s="5"/>
      <c r="BC323" s="5"/>
      <c r="BD323" s="5"/>
      <c r="BE323" s="5"/>
      <c r="BF323" s="58"/>
      <c r="BG323" s="5"/>
    </row>
    <row r="324" spans="1:59" ht="15.75" hidden="1" customHeight="1" outlineLevel="1">
      <c r="A324" s="27" t="s">
        <v>49</v>
      </c>
      <c r="B324" s="27" t="s">
        <v>48</v>
      </c>
      <c r="C324" s="27">
        <v>6</v>
      </c>
      <c r="D324" s="55" t="s">
        <v>38</v>
      </c>
      <c r="E324" s="52"/>
      <c r="F324" s="53"/>
      <c r="G324" s="53"/>
      <c r="H324" s="53"/>
      <c r="I324" s="53"/>
      <c r="J324" s="53"/>
      <c r="K324" s="53"/>
      <c r="L324" s="53"/>
      <c r="M324" s="53"/>
      <c r="N324" s="54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48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48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48"/>
      <c r="AY324" s="5"/>
      <c r="AZ324" s="5"/>
      <c r="BA324" s="5"/>
      <c r="BB324" s="5"/>
      <c r="BC324" s="5"/>
      <c r="BD324" s="5"/>
      <c r="BE324" s="5"/>
      <c r="BF324" s="58"/>
      <c r="BG324" s="5"/>
    </row>
    <row r="325" spans="1:59" ht="15.75" hidden="1" customHeight="1" outlineLevel="1">
      <c r="A325" s="27" t="s">
        <v>49</v>
      </c>
      <c r="B325" s="27" t="s">
        <v>48</v>
      </c>
      <c r="C325" s="27">
        <v>6</v>
      </c>
      <c r="D325" s="55" t="s">
        <v>40</v>
      </c>
      <c r="E325" s="52"/>
      <c r="F325" s="53"/>
      <c r="G325" s="53"/>
      <c r="H325" s="53"/>
      <c r="I325" s="53"/>
      <c r="J325" s="53"/>
      <c r="K325" s="53"/>
      <c r="L325" s="53"/>
      <c r="M325" s="53"/>
      <c r="N325" s="54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48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48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48"/>
      <c r="AY325" s="5"/>
      <c r="AZ325" s="5"/>
      <c r="BA325" s="5"/>
      <c r="BB325" s="5"/>
      <c r="BC325" s="5"/>
      <c r="BD325" s="5"/>
      <c r="BE325" s="5"/>
      <c r="BF325" s="58"/>
      <c r="BG325" s="5"/>
    </row>
    <row r="326" spans="1:59" ht="15.75" hidden="1" customHeight="1" outlineLevel="1">
      <c r="A326" s="27"/>
      <c r="B326" s="27"/>
      <c r="C326" s="27"/>
      <c r="D326" s="55"/>
      <c r="E326" s="52"/>
      <c r="F326" s="53"/>
      <c r="G326" s="53"/>
      <c r="H326" s="53"/>
      <c r="I326" s="53"/>
      <c r="J326" s="53"/>
      <c r="K326" s="53"/>
      <c r="L326" s="53"/>
      <c r="M326" s="53"/>
      <c r="N326" s="54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48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48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48"/>
      <c r="AY326" s="5"/>
      <c r="AZ326" s="5"/>
      <c r="BA326" s="5"/>
      <c r="BB326" s="5"/>
      <c r="BC326" s="5"/>
      <c r="BD326" s="5"/>
      <c r="BE326" s="5"/>
      <c r="BF326" s="58"/>
      <c r="BG326" s="5"/>
    </row>
    <row r="327" spans="1:59" ht="15.75" hidden="1" customHeight="1" outlineLevel="1">
      <c r="A327" s="27" t="s">
        <v>49</v>
      </c>
      <c r="B327" s="27" t="s">
        <v>48</v>
      </c>
      <c r="C327" s="27">
        <v>7</v>
      </c>
      <c r="D327" s="51" t="s">
        <v>29</v>
      </c>
      <c r="E327" s="52"/>
      <c r="F327" s="53"/>
      <c r="G327" s="53"/>
      <c r="H327" s="53"/>
      <c r="I327" s="53"/>
      <c r="J327" s="53"/>
      <c r="K327" s="53"/>
      <c r="L327" s="53"/>
      <c r="M327" s="53"/>
      <c r="N327" s="54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48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48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48"/>
      <c r="AY327" s="5"/>
      <c r="AZ327" s="5"/>
      <c r="BA327" s="5"/>
      <c r="BB327" s="5"/>
      <c r="BC327" s="5"/>
      <c r="BD327" s="5"/>
      <c r="BE327" s="5"/>
      <c r="BF327" s="58"/>
      <c r="BG327" s="5"/>
    </row>
    <row r="328" spans="1:59" ht="15.75" hidden="1" customHeight="1" outlineLevel="1">
      <c r="A328" s="27" t="s">
        <v>49</v>
      </c>
      <c r="B328" s="27" t="s">
        <v>48</v>
      </c>
      <c r="C328" s="27">
        <v>7</v>
      </c>
      <c r="D328" s="55" t="s">
        <v>30</v>
      </c>
      <c r="E328" s="52"/>
      <c r="F328" s="53"/>
      <c r="G328" s="53"/>
      <c r="H328" s="53"/>
      <c r="I328" s="53"/>
      <c r="J328" s="53"/>
      <c r="K328" s="53"/>
      <c r="L328" s="53"/>
      <c r="M328" s="53"/>
      <c r="N328" s="54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48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48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48"/>
      <c r="AY328" s="5"/>
      <c r="AZ328" s="5"/>
      <c r="BA328" s="5"/>
      <c r="BB328" s="5"/>
      <c r="BC328" s="5"/>
      <c r="BD328" s="5"/>
      <c r="BE328" s="5"/>
      <c r="BF328" s="58"/>
      <c r="BG328" s="5"/>
    </row>
    <row r="329" spans="1:59" ht="15.75" hidden="1" customHeight="1" outlineLevel="1">
      <c r="A329" s="27" t="s">
        <v>49</v>
      </c>
      <c r="B329" s="27" t="s">
        <v>48</v>
      </c>
      <c r="C329" s="27">
        <v>7</v>
      </c>
      <c r="D329" s="51" t="s">
        <v>31</v>
      </c>
      <c r="E329" s="52"/>
      <c r="F329" s="53"/>
      <c r="G329" s="53"/>
      <c r="H329" s="53"/>
      <c r="I329" s="53"/>
      <c r="J329" s="53"/>
      <c r="K329" s="53"/>
      <c r="L329" s="53"/>
      <c r="M329" s="53"/>
      <c r="N329" s="54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48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48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48"/>
      <c r="AY329" s="5"/>
      <c r="AZ329" s="5"/>
      <c r="BA329" s="5"/>
      <c r="BB329" s="5"/>
      <c r="BC329" s="5"/>
      <c r="BD329" s="5"/>
      <c r="BE329" s="5"/>
      <c r="BF329" s="58"/>
      <c r="BG329" s="5"/>
    </row>
    <row r="330" spans="1:59" ht="15.75" hidden="1" customHeight="1" outlineLevel="1">
      <c r="A330" s="27" t="s">
        <v>49</v>
      </c>
      <c r="B330" s="27" t="s">
        <v>48</v>
      </c>
      <c r="C330" s="27">
        <v>7</v>
      </c>
      <c r="D330" s="55" t="s">
        <v>38</v>
      </c>
      <c r="E330" s="52"/>
      <c r="F330" s="53"/>
      <c r="G330" s="53"/>
      <c r="H330" s="53"/>
      <c r="I330" s="53"/>
      <c r="J330" s="53"/>
      <c r="K330" s="53"/>
      <c r="L330" s="53"/>
      <c r="M330" s="53"/>
      <c r="N330" s="54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48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48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48"/>
      <c r="AY330" s="5"/>
      <c r="AZ330" s="5"/>
      <c r="BA330" s="5"/>
      <c r="BB330" s="5"/>
      <c r="BC330" s="5"/>
      <c r="BD330" s="5"/>
      <c r="BE330" s="5"/>
      <c r="BF330" s="58"/>
      <c r="BG330" s="5"/>
    </row>
    <row r="331" spans="1:59" ht="15.75" hidden="1" customHeight="1" outlineLevel="1">
      <c r="A331" s="27" t="s">
        <v>49</v>
      </c>
      <c r="B331" s="27" t="s">
        <v>48</v>
      </c>
      <c r="C331" s="27">
        <v>7</v>
      </c>
      <c r="D331" s="55" t="s">
        <v>41</v>
      </c>
      <c r="E331" s="52"/>
      <c r="F331" s="53"/>
      <c r="G331" s="53"/>
      <c r="H331" s="53"/>
      <c r="I331" s="53"/>
      <c r="J331" s="53"/>
      <c r="K331" s="53"/>
      <c r="L331" s="53"/>
      <c r="M331" s="53"/>
      <c r="N331" s="54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48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48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48"/>
      <c r="AY331" s="5"/>
      <c r="AZ331" s="5"/>
      <c r="BA331" s="5"/>
      <c r="BB331" s="5"/>
      <c r="BC331" s="5"/>
      <c r="BD331" s="5"/>
      <c r="BE331" s="5"/>
      <c r="BF331" s="58"/>
      <c r="BG331" s="5"/>
    </row>
    <row r="332" spans="1:59" ht="15.75" hidden="1" customHeight="1" outlineLevel="1">
      <c r="A332" s="27"/>
      <c r="B332" s="27"/>
      <c r="C332" s="57"/>
      <c r="D332" s="55"/>
      <c r="E332" s="52"/>
      <c r="F332" s="53"/>
      <c r="G332" s="53"/>
      <c r="H332" s="53"/>
      <c r="I332" s="53"/>
      <c r="J332" s="53"/>
      <c r="K332" s="53"/>
      <c r="L332" s="53"/>
      <c r="M332" s="53"/>
      <c r="N332" s="54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48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48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48"/>
      <c r="AY332" s="5"/>
      <c r="AZ332" s="5"/>
      <c r="BA332" s="5"/>
      <c r="BB332" s="5"/>
      <c r="BC332" s="5"/>
      <c r="BD332" s="5"/>
      <c r="BE332" s="5"/>
      <c r="BF332" s="58"/>
      <c r="BG332" s="5"/>
    </row>
    <row r="333" spans="1:59" ht="15.75" customHeight="1" collapsed="1">
      <c r="A333" s="27"/>
      <c r="B333" s="27"/>
      <c r="C333" s="57"/>
      <c r="D333" s="55"/>
      <c r="E333" s="52"/>
      <c r="F333" s="53"/>
      <c r="G333" s="53"/>
      <c r="H333" s="53"/>
      <c r="I333" s="53"/>
      <c r="J333" s="53"/>
      <c r="K333" s="53"/>
      <c r="L333" s="53"/>
      <c r="M333" s="53"/>
      <c r="N333" s="54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48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48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48"/>
      <c r="AY333" s="5"/>
      <c r="AZ333" s="5"/>
      <c r="BA333" s="5"/>
      <c r="BB333" s="5"/>
      <c r="BC333" s="5"/>
      <c r="BD333" s="5"/>
      <c r="BE333" s="5"/>
      <c r="BF333" s="58"/>
      <c r="BG333" s="5"/>
    </row>
    <row r="334" spans="1:59" ht="15.75" customHeight="1">
      <c r="A334" s="27" t="s">
        <v>49</v>
      </c>
      <c r="B334" s="27" t="s">
        <v>48</v>
      </c>
      <c r="C334" s="60"/>
      <c r="D334" s="55" t="s">
        <v>42</v>
      </c>
      <c r="E334" s="49">
        <f t="shared" ref="E334:BG334" si="157">E287+E240</f>
        <v>0</v>
      </c>
      <c r="F334" s="5">
        <f t="shared" si="157"/>
        <v>0</v>
      </c>
      <c r="G334" s="5">
        <f t="shared" si="157"/>
        <v>0</v>
      </c>
      <c r="H334" s="5">
        <f t="shared" si="157"/>
        <v>0</v>
      </c>
      <c r="I334" s="5">
        <f t="shared" si="157"/>
        <v>0</v>
      </c>
      <c r="J334" s="5">
        <f t="shared" si="157"/>
        <v>0</v>
      </c>
      <c r="K334" s="5">
        <f t="shared" si="157"/>
        <v>0</v>
      </c>
      <c r="L334" s="5">
        <f t="shared" si="157"/>
        <v>0</v>
      </c>
      <c r="M334" s="5">
        <f t="shared" si="157"/>
        <v>0</v>
      </c>
      <c r="N334" s="48">
        <f t="shared" si="157"/>
        <v>0</v>
      </c>
      <c r="O334" s="5">
        <f t="shared" si="157"/>
        <v>0</v>
      </c>
      <c r="P334" s="5">
        <f t="shared" si="157"/>
        <v>0</v>
      </c>
      <c r="Q334" s="5">
        <f t="shared" si="157"/>
        <v>0</v>
      </c>
      <c r="R334" s="5">
        <f t="shared" si="157"/>
        <v>0</v>
      </c>
      <c r="S334" s="5">
        <f t="shared" si="157"/>
        <v>0</v>
      </c>
      <c r="T334" s="5">
        <f t="shared" si="157"/>
        <v>0</v>
      </c>
      <c r="U334" s="5">
        <f t="shared" si="157"/>
        <v>0</v>
      </c>
      <c r="V334" s="5">
        <f t="shared" si="157"/>
        <v>0</v>
      </c>
      <c r="W334" s="5">
        <f t="shared" si="157"/>
        <v>0</v>
      </c>
      <c r="X334" s="5">
        <f t="shared" si="157"/>
        <v>0</v>
      </c>
      <c r="Y334" s="5">
        <f t="shared" si="157"/>
        <v>0</v>
      </c>
      <c r="Z334" s="48">
        <f t="shared" si="157"/>
        <v>0</v>
      </c>
      <c r="AA334" s="5">
        <f t="shared" si="157"/>
        <v>0</v>
      </c>
      <c r="AB334" s="5">
        <f t="shared" si="157"/>
        <v>0</v>
      </c>
      <c r="AC334" s="5">
        <f t="shared" si="157"/>
        <v>0</v>
      </c>
      <c r="AD334" s="5">
        <f t="shared" si="157"/>
        <v>0</v>
      </c>
      <c r="AE334" s="5">
        <f t="shared" si="157"/>
        <v>0</v>
      </c>
      <c r="AF334" s="5">
        <f t="shared" si="157"/>
        <v>0</v>
      </c>
      <c r="AG334" s="5">
        <f t="shared" si="157"/>
        <v>0</v>
      </c>
      <c r="AH334" s="5">
        <f t="shared" si="157"/>
        <v>-64256.914199999999</v>
      </c>
      <c r="AI334" s="5">
        <f t="shared" si="157"/>
        <v>-126805.12273999999</v>
      </c>
      <c r="AJ334" s="5">
        <f t="shared" si="157"/>
        <v>-126604.11801999999</v>
      </c>
      <c r="AK334" s="5">
        <f t="shared" si="157"/>
        <v>-121974.85066</v>
      </c>
      <c r="AL334" s="48">
        <f t="shared" si="157"/>
        <v>-126278.43853999999</v>
      </c>
      <c r="AM334" s="5">
        <f t="shared" si="157"/>
        <v>-141942.63433999999</v>
      </c>
      <c r="AN334" s="5">
        <f t="shared" si="157"/>
        <v>-136542.90466</v>
      </c>
      <c r="AO334" s="5">
        <f t="shared" si="157"/>
        <v>-160464.51155999998</v>
      </c>
      <c r="AP334" s="5">
        <f t="shared" si="157"/>
        <v>-151464.4008</v>
      </c>
      <c r="AQ334" s="5">
        <f t="shared" si="157"/>
        <v>-150280.57264</v>
      </c>
      <c r="AR334" s="5">
        <f t="shared" si="157"/>
        <v>-155197.66065999999</v>
      </c>
      <c r="AS334" s="5">
        <f t="shared" si="157"/>
        <v>-146131.94443999999</v>
      </c>
      <c r="AT334" s="5">
        <f t="shared" si="157"/>
        <v>-255674.09362882763</v>
      </c>
      <c r="AU334" s="5">
        <f t="shared" si="157"/>
        <v>-337596.57180131692</v>
      </c>
      <c r="AV334" s="5">
        <f t="shared" si="157"/>
        <v>-316756.07202985539</v>
      </c>
      <c r="AW334" s="5">
        <f t="shared" si="157"/>
        <v>-296536.02983999997</v>
      </c>
      <c r="AX334" s="48">
        <f t="shared" si="157"/>
        <v>-322323.16067999997</v>
      </c>
      <c r="AY334" s="5">
        <f t="shared" si="157"/>
        <v>-354655.15631999995</v>
      </c>
      <c r="AZ334" s="5">
        <f t="shared" si="157"/>
        <v>-367069.41395999998</v>
      </c>
      <c r="BA334" s="5">
        <f t="shared" si="157"/>
        <v>-440684.97606000002</v>
      </c>
      <c r="BB334" s="5">
        <f t="shared" si="157"/>
        <v>-380108.50722000003</v>
      </c>
      <c r="BC334" s="5">
        <f t="shared" si="157"/>
        <v>-412561.96398</v>
      </c>
      <c r="BD334" s="5">
        <f t="shared" si="157"/>
        <v>-381186.38231999998</v>
      </c>
      <c r="BE334" s="5">
        <f t="shared" si="157"/>
        <v>-390780.87281999993</v>
      </c>
      <c r="BF334" s="58">
        <f t="shared" si="157"/>
        <v>-182953.14479999998</v>
      </c>
      <c r="BG334" s="5">
        <f t="shared" si="157"/>
        <v>-3805.5306599999999</v>
      </c>
    </row>
    <row r="335" spans="1:59" ht="15.75" customHeight="1">
      <c r="A335" s="27" t="s">
        <v>49</v>
      </c>
      <c r="B335" s="27" t="s">
        <v>48</v>
      </c>
      <c r="C335" s="60"/>
      <c r="D335" s="55" t="s">
        <v>43</v>
      </c>
      <c r="E335" s="49">
        <v>0</v>
      </c>
      <c r="F335" s="5">
        <f>(E336+F295+F301+F307+F313+F319+F325+F331+F334/2)*F$399</f>
        <v>0</v>
      </c>
      <c r="G335" s="5">
        <f t="shared" ref="G335:BG335" si="158">(F336+G295+G301+G307+G313+G319+G325+G331+G334/2)*G$399</f>
        <v>0</v>
      </c>
      <c r="H335" s="5">
        <f t="shared" si="158"/>
        <v>0</v>
      </c>
      <c r="I335" s="5">
        <f t="shared" si="158"/>
        <v>0</v>
      </c>
      <c r="J335" s="5">
        <f t="shared" si="158"/>
        <v>0</v>
      </c>
      <c r="K335" s="5">
        <f t="shared" si="158"/>
        <v>0</v>
      </c>
      <c r="L335" s="5">
        <f t="shared" si="158"/>
        <v>0</v>
      </c>
      <c r="M335" s="5">
        <f t="shared" si="158"/>
        <v>0</v>
      </c>
      <c r="N335" s="48">
        <f t="shared" si="158"/>
        <v>0</v>
      </c>
      <c r="O335" s="5">
        <f t="shared" si="158"/>
        <v>1424.2425329691737</v>
      </c>
      <c r="P335" s="5">
        <f t="shared" si="158"/>
        <v>1429.0849575812688</v>
      </c>
      <c r="Q335" s="5">
        <f t="shared" si="158"/>
        <v>1391.7690274241907</v>
      </c>
      <c r="R335" s="5">
        <f t="shared" si="158"/>
        <v>1523.3038529614807</v>
      </c>
      <c r="S335" s="5">
        <f t="shared" si="158"/>
        <v>1486.3214205312493</v>
      </c>
      <c r="T335" s="5">
        <f t="shared" si="158"/>
        <v>1534.1385039460545</v>
      </c>
      <c r="U335" s="5">
        <f t="shared" si="158"/>
        <v>1539.6614025602603</v>
      </c>
      <c r="V335" s="5">
        <f t="shared" si="158"/>
        <v>1416.4371683086874</v>
      </c>
      <c r="W335" s="5">
        <f t="shared" si="158"/>
        <v>1550.3033574153885</v>
      </c>
      <c r="X335" s="5">
        <f t="shared" si="158"/>
        <v>1599.103461988253</v>
      </c>
      <c r="Y335" s="5">
        <f t="shared" si="158"/>
        <v>1648.3990676299773</v>
      </c>
      <c r="Z335" s="48">
        <f t="shared" si="158"/>
        <v>1611.1192213478407</v>
      </c>
      <c r="AA335" s="5">
        <f t="shared" si="158"/>
        <v>1748.1949864506244</v>
      </c>
      <c r="AB335" s="5">
        <f t="shared" si="158"/>
        <v>1755.1877663964269</v>
      </c>
      <c r="AC335" s="5">
        <f t="shared" si="158"/>
        <v>1718.1533045254621</v>
      </c>
      <c r="AD335" s="5">
        <f t="shared" si="158"/>
        <v>1857.53518721412</v>
      </c>
      <c r="AE335" s="5">
        <f t="shared" si="158"/>
        <v>1820.9240532146955</v>
      </c>
      <c r="AF335" s="5">
        <f t="shared" si="158"/>
        <v>1872.9847160239215</v>
      </c>
      <c r="AG335" s="5">
        <f t="shared" si="158"/>
        <v>1970.4155971565183</v>
      </c>
      <c r="AH335" s="5">
        <f t="shared" si="158"/>
        <v>6498.5106786888791</v>
      </c>
      <c r="AI335" s="5">
        <f t="shared" si="158"/>
        <v>6756.6187122759993</v>
      </c>
      <c r="AJ335" s="5">
        <f t="shared" si="158"/>
        <v>6370.4122209593306</v>
      </c>
      <c r="AK335" s="5">
        <f t="shared" si="158"/>
        <v>5969.5492052330628</v>
      </c>
      <c r="AL335" s="48">
        <f t="shared" si="158"/>
        <v>5308.0694671471974</v>
      </c>
      <c r="AM335" s="5">
        <f t="shared" si="158"/>
        <v>4938.6120709146653</v>
      </c>
      <c r="AN335" s="5">
        <f t="shared" si="158"/>
        <v>4307.3825309979638</v>
      </c>
      <c r="AO335" s="5">
        <f t="shared" si="158"/>
        <v>3475.2061922329663</v>
      </c>
      <c r="AP335" s="5">
        <f t="shared" si="158"/>
        <v>2850.9824465610823</v>
      </c>
      <c r="AQ335" s="5">
        <f t="shared" si="158"/>
        <v>2122.9077980575398</v>
      </c>
      <c r="AR335" s="5">
        <f t="shared" si="158"/>
        <v>1477.2489661843274</v>
      </c>
      <c r="AS335" s="5">
        <f t="shared" si="158"/>
        <v>722.20480929018629</v>
      </c>
      <c r="AT335" s="5">
        <f t="shared" si="158"/>
        <v>17092.48001344267</v>
      </c>
      <c r="AU335" s="5">
        <f t="shared" si="158"/>
        <v>17233.206186976029</v>
      </c>
      <c r="AV335" s="5">
        <f t="shared" si="158"/>
        <v>14793.484736564733</v>
      </c>
      <c r="AW335" s="5">
        <f t="shared" si="158"/>
        <v>14005.394593221657</v>
      </c>
      <c r="AX335" s="48">
        <f t="shared" si="158"/>
        <v>12503.10534579068</v>
      </c>
      <c r="AY335" s="5">
        <f t="shared" si="158"/>
        <v>8351.8213440048366</v>
      </c>
      <c r="AZ335" s="5">
        <f t="shared" si="158"/>
        <v>7329.540998996451</v>
      </c>
      <c r="BA335" s="5">
        <f t="shared" si="158"/>
        <v>5966.4647746967967</v>
      </c>
      <c r="BB335" s="5">
        <f t="shared" si="158"/>
        <v>4834.0599994739478</v>
      </c>
      <c r="BC335" s="5">
        <f t="shared" si="158"/>
        <v>3604.3618253713153</v>
      </c>
      <c r="BD335" s="5">
        <f t="shared" si="158"/>
        <v>2636.7012360835147</v>
      </c>
      <c r="BE335" s="5">
        <f t="shared" si="158"/>
        <v>1563.3298423485487</v>
      </c>
      <c r="BF335" s="58">
        <f t="shared" si="158"/>
        <v>1722.0322250353638</v>
      </c>
      <c r="BG335" s="5">
        <f t="shared" si="158"/>
        <v>1672.0356366257063</v>
      </c>
    </row>
    <row r="336" spans="1:59" ht="15.75" customHeight="1">
      <c r="A336" s="38" t="s">
        <v>49</v>
      </c>
      <c r="B336" s="38" t="s">
        <v>48</v>
      </c>
      <c r="C336" s="61"/>
      <c r="D336" s="62" t="s">
        <v>44</v>
      </c>
      <c r="E336" s="63">
        <v>0</v>
      </c>
      <c r="F336" s="56">
        <f>E336+F295+F301+F307+F313+F319+F334+F335+F325+F331</f>
        <v>0</v>
      </c>
      <c r="G336" s="56">
        <f t="shared" ref="G336:BG336" si="159">F336+G295+G301+G307+G313+G319+G334+G335+G325+G331</f>
        <v>0</v>
      </c>
      <c r="H336" s="56">
        <f t="shared" si="159"/>
        <v>0</v>
      </c>
      <c r="I336" s="56">
        <f t="shared" si="159"/>
        <v>0</v>
      </c>
      <c r="J336" s="56">
        <f t="shared" si="159"/>
        <v>0</v>
      </c>
      <c r="K336" s="56">
        <f t="shared" si="159"/>
        <v>0</v>
      </c>
      <c r="L336" s="56">
        <f t="shared" si="159"/>
        <v>0</v>
      </c>
      <c r="M336" s="56">
        <f t="shared" si="159"/>
        <v>0</v>
      </c>
      <c r="N336" s="64">
        <f t="shared" si="159"/>
        <v>0</v>
      </c>
      <c r="O336" s="56">
        <f t="shared" si="159"/>
        <v>420319.10517096141</v>
      </c>
      <c r="P336" s="56">
        <f t="shared" si="159"/>
        <v>421748.19012854266</v>
      </c>
      <c r="Q336" s="56">
        <f t="shared" si="159"/>
        <v>423139.95915596688</v>
      </c>
      <c r="R336" s="56">
        <f t="shared" si="159"/>
        <v>424663.26300892833</v>
      </c>
      <c r="S336" s="56">
        <f t="shared" si="159"/>
        <v>426149.58442945959</v>
      </c>
      <c r="T336" s="56">
        <f t="shared" si="159"/>
        <v>427683.72293340566</v>
      </c>
      <c r="U336" s="56">
        <f t="shared" si="159"/>
        <v>429223.38433596591</v>
      </c>
      <c r="V336" s="56">
        <f t="shared" si="159"/>
        <v>430639.82150427462</v>
      </c>
      <c r="W336" s="56">
        <f t="shared" si="159"/>
        <v>432190.12486168998</v>
      </c>
      <c r="X336" s="56">
        <f t="shared" si="159"/>
        <v>433789.22832367825</v>
      </c>
      <c r="Y336" s="56">
        <f t="shared" si="159"/>
        <v>435437.62739130826</v>
      </c>
      <c r="Z336" s="64">
        <f t="shared" si="159"/>
        <v>437048.7466126561</v>
      </c>
      <c r="AA336" s="56">
        <f t="shared" si="159"/>
        <v>438796.94159910671</v>
      </c>
      <c r="AB336" s="56">
        <f t="shared" si="159"/>
        <v>440552.12936550315</v>
      </c>
      <c r="AC336" s="56">
        <f t="shared" si="159"/>
        <v>442270.28267002862</v>
      </c>
      <c r="AD336" s="56">
        <f t="shared" si="159"/>
        <v>444127.81785724277</v>
      </c>
      <c r="AE336" s="56">
        <f t="shared" si="159"/>
        <v>445948.74191045749</v>
      </c>
      <c r="AF336" s="56">
        <f t="shared" si="159"/>
        <v>447821.7266264814</v>
      </c>
      <c r="AG336" s="56">
        <f t="shared" si="159"/>
        <v>449792.1422236379</v>
      </c>
      <c r="AH336" s="56">
        <f t="shared" si="159"/>
        <v>1598997.7232509088</v>
      </c>
      <c r="AI336" s="56">
        <f t="shared" si="159"/>
        <v>1478949.2192231847</v>
      </c>
      <c r="AJ336" s="56">
        <f t="shared" si="159"/>
        <v>1358715.5134241441</v>
      </c>
      <c r="AK336" s="56">
        <f t="shared" si="159"/>
        <v>1242710.2119693772</v>
      </c>
      <c r="AL336" s="64">
        <f t="shared" si="159"/>
        <v>1121739.8428965244</v>
      </c>
      <c r="AM336" s="56">
        <f t="shared" si="159"/>
        <v>984735.82062743907</v>
      </c>
      <c r="AN336" s="56">
        <f t="shared" si="159"/>
        <v>852500.29849843704</v>
      </c>
      <c r="AO336" s="56">
        <f t="shared" si="159"/>
        <v>695510.99313067005</v>
      </c>
      <c r="AP336" s="56">
        <f t="shared" si="159"/>
        <v>546897.57477723109</v>
      </c>
      <c r="AQ336" s="56">
        <f t="shared" si="159"/>
        <v>398739.9099352886</v>
      </c>
      <c r="AR336" s="56">
        <f t="shared" si="159"/>
        <v>245019.49824147293</v>
      </c>
      <c r="AS336" s="56">
        <f t="shared" si="159"/>
        <v>99609.758610763121</v>
      </c>
      <c r="AT336" s="56">
        <f t="shared" si="159"/>
        <v>4271942.6161330463</v>
      </c>
      <c r="AU336" s="56">
        <f t="shared" si="159"/>
        <v>3951579.2505187052</v>
      </c>
      <c r="AV336" s="56">
        <f t="shared" si="159"/>
        <v>3649616.6632254142</v>
      </c>
      <c r="AW336" s="56">
        <f t="shared" si="159"/>
        <v>3367086.0279786359</v>
      </c>
      <c r="AX336" s="64">
        <f t="shared" si="159"/>
        <v>3057265.9726444264</v>
      </c>
      <c r="AY336" s="56">
        <f t="shared" si="159"/>
        <v>2710962.6376684313</v>
      </c>
      <c r="AZ336" s="56">
        <f t="shared" si="159"/>
        <v>2351222.7647074275</v>
      </c>
      <c r="BA336" s="56">
        <f t="shared" si="159"/>
        <v>1916504.2534221243</v>
      </c>
      <c r="BB336" s="56">
        <f t="shared" si="159"/>
        <v>1541229.8062015981</v>
      </c>
      <c r="BC336" s="56">
        <f t="shared" si="159"/>
        <v>1132272.2040469695</v>
      </c>
      <c r="BD336" s="56">
        <f t="shared" si="159"/>
        <v>753722.52296305308</v>
      </c>
      <c r="BE336" s="56">
        <f t="shared" si="159"/>
        <v>364504.97998540167</v>
      </c>
      <c r="BF336" s="59">
        <f t="shared" si="159"/>
        <v>599058.34983918082</v>
      </c>
      <c r="BG336" s="56">
        <f t="shared" si="159"/>
        <v>596924.8548158065</v>
      </c>
    </row>
    <row r="337" spans="1:59" ht="15.75" hidden="1" customHeight="1" outlineLevel="1">
      <c r="C337" s="44"/>
      <c r="D337" s="55"/>
      <c r="E337" s="52"/>
      <c r="F337" s="53"/>
      <c r="G337" s="53"/>
      <c r="H337" s="53"/>
      <c r="I337" s="53"/>
      <c r="J337" s="53"/>
      <c r="K337" s="53"/>
      <c r="L337" s="53"/>
      <c r="M337" s="53"/>
      <c r="N337" s="54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48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48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48"/>
      <c r="AY337" s="5"/>
      <c r="AZ337" s="5"/>
      <c r="BA337" s="5"/>
      <c r="BB337" s="5"/>
      <c r="BC337" s="5"/>
      <c r="BD337" s="5"/>
      <c r="BE337" s="5"/>
      <c r="BF337" s="58"/>
      <c r="BG337" s="5"/>
    </row>
    <row r="338" spans="1:59" ht="15.75" hidden="1" customHeight="1" outlineLevel="1">
      <c r="A338" s="27" t="s">
        <v>50</v>
      </c>
      <c r="B338" s="27" t="s">
        <v>51</v>
      </c>
      <c r="C338" s="27">
        <v>1</v>
      </c>
      <c r="D338" s="51" t="s">
        <v>29</v>
      </c>
      <c r="E338" s="49">
        <f>Deferral!G160</f>
        <v>49935.649311219691</v>
      </c>
      <c r="F338" s="5">
        <f>Deferral!H160</f>
        <v>78875.045866021537</v>
      </c>
      <c r="G338" s="5">
        <f>Deferral!I160</f>
        <v>101822.80911024375</v>
      </c>
      <c r="H338" s="5">
        <f>Deferral!J160</f>
        <v>78116.686908816933</v>
      </c>
      <c r="I338" s="5">
        <f>Deferral!K160</f>
        <v>2719.5425653284619</v>
      </c>
      <c r="J338" s="5">
        <f>Deferral!L160</f>
        <v>587.82384124715827</v>
      </c>
      <c r="K338" s="5">
        <f>Deferral!M160</f>
        <v>-90811.078013697668</v>
      </c>
      <c r="L338" s="5">
        <f>Deferral!N160</f>
        <v>-473696.86699104228</v>
      </c>
      <c r="M338" s="5">
        <f>Deferral!O160</f>
        <v>-424557.88695518981</v>
      </c>
      <c r="N338" s="48">
        <f>Deferral!P160</f>
        <v>60767.968983161263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48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48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48"/>
      <c r="AY338" s="5"/>
      <c r="AZ338" s="5"/>
      <c r="BA338" s="5"/>
      <c r="BB338" s="5"/>
      <c r="BC338" s="5"/>
      <c r="BD338" s="5"/>
      <c r="BE338" s="5"/>
      <c r="BF338" s="58"/>
      <c r="BG338" s="5"/>
    </row>
    <row r="339" spans="1:59" ht="15.75" hidden="1" customHeight="1" outlineLevel="1">
      <c r="A339" s="27" t="s">
        <v>50</v>
      </c>
      <c r="B339" s="27" t="s">
        <v>51</v>
      </c>
      <c r="C339" s="27">
        <v>1</v>
      </c>
      <c r="D339" s="55" t="s">
        <v>30</v>
      </c>
      <c r="E339" s="52">
        <f>E338/2*E$399</f>
        <v>72.82282191219538</v>
      </c>
      <c r="F339" s="53">
        <f>(E340+F338/2)*F$399</f>
        <v>260.88415227624944</v>
      </c>
      <c r="G339" s="53">
        <f t="shared" ref="G339:N339" si="160">(F340+G338/2)*G$399</f>
        <v>525.16276956077536</v>
      </c>
      <c r="H339" s="53">
        <f t="shared" si="160"/>
        <v>789.1062593331244</v>
      </c>
      <c r="I339" s="53">
        <f t="shared" si="160"/>
        <v>935.27381544614536</v>
      </c>
      <c r="J339" s="53">
        <f t="shared" si="160"/>
        <v>848.73661785211254</v>
      </c>
      <c r="K339" s="53">
        <f t="shared" si="160"/>
        <v>810.25201509722785</v>
      </c>
      <c r="L339" s="53">
        <f t="shared" si="160"/>
        <v>-34.0791463645905</v>
      </c>
      <c r="M339" s="53">
        <f t="shared" si="160"/>
        <v>-1473.6677490379013</v>
      </c>
      <c r="N339" s="54">
        <f t="shared" si="160"/>
        <v>-1931.6693949281887</v>
      </c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48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48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48"/>
      <c r="AY339" s="5"/>
      <c r="AZ339" s="5"/>
      <c r="BA339" s="5"/>
      <c r="BB339" s="5"/>
      <c r="BC339" s="5"/>
      <c r="BD339" s="5"/>
      <c r="BE339" s="5"/>
      <c r="BF339" s="58"/>
      <c r="BG339" s="5"/>
    </row>
    <row r="340" spans="1:59" ht="15.75" hidden="1" customHeight="1" outlineLevel="1">
      <c r="A340" s="27" t="s">
        <v>50</v>
      </c>
      <c r="B340" s="27" t="s">
        <v>51</v>
      </c>
      <c r="C340" s="27">
        <v>1</v>
      </c>
      <c r="D340" s="51" t="s">
        <v>31</v>
      </c>
      <c r="E340" s="52">
        <f>E338+E339</f>
        <v>50008.472133131887</v>
      </c>
      <c r="F340" s="53">
        <f>E340+SUM(F338:F339)</f>
        <v>129144.40215142968</v>
      </c>
      <c r="G340" s="53">
        <f t="shared" ref="G340" si="161">F340+SUM(G338:G339)</f>
        <v>231492.37403123418</v>
      </c>
      <c r="H340" s="53">
        <f t="shared" ref="H340:N340" si="162">G340+SUM(H338:H339)</f>
        <v>310398.16719938425</v>
      </c>
      <c r="I340" s="53">
        <f t="shared" si="162"/>
        <v>314052.98358015885</v>
      </c>
      <c r="J340" s="53">
        <f t="shared" si="162"/>
        <v>315489.54403925809</v>
      </c>
      <c r="K340" s="53">
        <f t="shared" si="162"/>
        <v>225488.71804065764</v>
      </c>
      <c r="L340" s="53">
        <f t="shared" si="162"/>
        <v>-248242.22809674923</v>
      </c>
      <c r="M340" s="53">
        <f t="shared" si="162"/>
        <v>-674273.78280097689</v>
      </c>
      <c r="N340" s="54">
        <f t="shared" si="162"/>
        <v>-615437.48321274377</v>
      </c>
      <c r="O340" s="5">
        <f>N340</f>
        <v>-615437.48321274377</v>
      </c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48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48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48"/>
      <c r="AY340" s="5"/>
      <c r="AZ340" s="5"/>
      <c r="BA340" s="5"/>
      <c r="BB340" s="5"/>
      <c r="BC340" s="5"/>
      <c r="BD340" s="5"/>
      <c r="BE340" s="5"/>
      <c r="BF340" s="58"/>
      <c r="BG340" s="5"/>
    </row>
    <row r="341" spans="1:59" ht="15.75" hidden="1" customHeight="1" outlineLevel="1">
      <c r="A341" s="27" t="s">
        <v>50</v>
      </c>
      <c r="B341" s="27" t="s">
        <v>51</v>
      </c>
      <c r="C341" s="27">
        <v>1</v>
      </c>
      <c r="D341" s="55" t="s">
        <v>32</v>
      </c>
      <c r="E341" s="52"/>
      <c r="F341" s="53"/>
      <c r="G341" s="53"/>
      <c r="H341" s="53"/>
      <c r="I341" s="53"/>
      <c r="J341" s="53"/>
      <c r="K341" s="53"/>
      <c r="L341" s="53"/>
      <c r="M341" s="53"/>
      <c r="N341" s="54"/>
      <c r="O341" s="56">
        <f>O409</f>
        <v>95735.231123751597</v>
      </c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48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48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48"/>
      <c r="AY341" s="5"/>
      <c r="AZ341" s="5"/>
      <c r="BA341" s="5"/>
      <c r="BB341" s="5"/>
      <c r="BC341" s="5"/>
      <c r="BD341" s="5"/>
      <c r="BE341" s="5"/>
      <c r="BF341" s="58"/>
      <c r="BG341" s="5"/>
    </row>
    <row r="342" spans="1:59" ht="15.75" hidden="1" customHeight="1" outlineLevel="1">
      <c r="A342" s="27" t="s">
        <v>50</v>
      </c>
      <c r="B342" s="27" t="s">
        <v>51</v>
      </c>
      <c r="C342" s="27">
        <v>1</v>
      </c>
      <c r="D342" s="55" t="s">
        <v>33</v>
      </c>
      <c r="E342" s="52"/>
      <c r="F342" s="53"/>
      <c r="G342" s="53"/>
      <c r="H342" s="53"/>
      <c r="I342" s="53"/>
      <c r="J342" s="53"/>
      <c r="K342" s="53"/>
      <c r="L342" s="53"/>
      <c r="M342" s="53"/>
      <c r="N342" s="54"/>
      <c r="O342" s="5">
        <f>SUM(O340:O341)</f>
        <v>-519702.25208899216</v>
      </c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48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48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48"/>
      <c r="AY342" s="5"/>
      <c r="AZ342" s="5"/>
      <c r="BA342" s="5"/>
      <c r="BB342" s="5"/>
      <c r="BC342" s="5"/>
      <c r="BD342" s="5"/>
      <c r="BE342" s="5"/>
      <c r="BF342" s="58"/>
      <c r="BG342" s="5"/>
    </row>
    <row r="343" spans="1:59" ht="15.75" hidden="1" customHeight="1" outlineLevel="1">
      <c r="A343" s="27"/>
      <c r="B343" s="27"/>
      <c r="C343" s="27"/>
      <c r="D343" s="55"/>
      <c r="E343" s="52"/>
      <c r="F343" s="53"/>
      <c r="G343" s="53"/>
      <c r="H343" s="53"/>
      <c r="I343" s="53"/>
      <c r="J343" s="53"/>
      <c r="K343" s="53"/>
      <c r="L343" s="53"/>
      <c r="M343" s="53"/>
      <c r="N343" s="54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48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48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48"/>
      <c r="AY343" s="5"/>
      <c r="AZ343" s="5"/>
      <c r="BA343" s="5"/>
      <c r="BB343" s="5"/>
      <c r="BC343" s="5"/>
      <c r="BD343" s="5"/>
      <c r="BE343" s="5"/>
      <c r="BF343" s="58"/>
      <c r="BG343" s="5"/>
    </row>
    <row r="344" spans="1:59" ht="15.75" hidden="1" customHeight="1" outlineLevel="1">
      <c r="A344" s="27" t="s">
        <v>50</v>
      </c>
      <c r="B344" s="27" t="s">
        <v>51</v>
      </c>
      <c r="C344" s="27">
        <v>2</v>
      </c>
      <c r="D344" s="51" t="s">
        <v>29</v>
      </c>
      <c r="E344" s="52"/>
      <c r="F344" s="53"/>
      <c r="G344" s="53"/>
      <c r="H344" s="53"/>
      <c r="I344" s="53"/>
      <c r="J344" s="53"/>
      <c r="K344" s="53"/>
      <c r="L344" s="53"/>
      <c r="M344" s="53"/>
      <c r="N344" s="50"/>
      <c r="O344" s="5">
        <f>Deferral!Q160</f>
        <v>34584.044236295624</v>
      </c>
      <c r="P344" s="5">
        <f>Deferral!R160</f>
        <v>131900.36835857225</v>
      </c>
      <c r="Q344" s="5">
        <f>Deferral!S160+Deferral!T160</f>
        <v>203299.71117456356</v>
      </c>
      <c r="R344" s="5">
        <f>Deferral!U160+Deferral!V160</f>
        <v>-48413.553768502374</v>
      </c>
      <c r="S344" s="5">
        <f>Deferral!W160</f>
        <v>232228.82883383305</v>
      </c>
      <c r="T344" s="5">
        <f>Deferral!X160</f>
        <v>55818.464112352674</v>
      </c>
      <c r="U344" s="5">
        <f>Deferral!Y160</f>
        <v>10145.551626307715</v>
      </c>
      <c r="V344" s="5">
        <f>Deferral!Z160</f>
        <v>5696.7878541554855</v>
      </c>
      <c r="W344" s="5">
        <f>Deferral!AA160</f>
        <v>-115383.99136565477</v>
      </c>
      <c r="X344" s="5">
        <f>Deferral!AB160</f>
        <v>-364425.25771779608</v>
      </c>
      <c r="Y344" s="5">
        <f>Deferral!AC160</f>
        <v>-198206.88660597219</v>
      </c>
      <c r="Z344" s="48">
        <f>Deferral!AD160</f>
        <v>352823.04940688913</v>
      </c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48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48"/>
      <c r="AY344" s="5"/>
      <c r="AZ344" s="5"/>
      <c r="BA344" s="5"/>
      <c r="BB344" s="5"/>
      <c r="BC344" s="5"/>
      <c r="BD344" s="5"/>
      <c r="BE344" s="5"/>
      <c r="BF344" s="58"/>
      <c r="BG344" s="5"/>
    </row>
    <row r="345" spans="1:59" ht="15.75" hidden="1" customHeight="1" outlineLevel="1">
      <c r="A345" s="27" t="s">
        <v>50</v>
      </c>
      <c r="B345" s="27" t="s">
        <v>51</v>
      </c>
      <c r="C345" s="27">
        <v>2</v>
      </c>
      <c r="D345" s="55" t="s">
        <v>30</v>
      </c>
      <c r="E345" s="52"/>
      <c r="F345" s="53"/>
      <c r="G345" s="53"/>
      <c r="H345" s="53"/>
      <c r="I345" s="53"/>
      <c r="J345" s="53"/>
      <c r="K345" s="53"/>
      <c r="L345" s="53"/>
      <c r="M345" s="53"/>
      <c r="N345" s="54"/>
      <c r="O345" s="5">
        <f>O344/2*O$399</f>
        <v>58.792875201702557</v>
      </c>
      <c r="P345" s="5">
        <f t="shared" ref="P345:Z345" si="163">(O346+P344/2)*P$399</f>
        <v>342.01627238866371</v>
      </c>
      <c r="Q345" s="5">
        <f t="shared" si="163"/>
        <v>886.16575518814216</v>
      </c>
      <c r="R345" s="5">
        <f t="shared" si="163"/>
        <v>1248.7115584366513</v>
      </c>
      <c r="S345" s="5">
        <f t="shared" si="163"/>
        <v>1540.0723480767126</v>
      </c>
      <c r="T345" s="5">
        <f t="shared" si="163"/>
        <v>2108.1038029208289</v>
      </c>
      <c r="U345" s="5">
        <f t="shared" si="163"/>
        <v>2234.4282049409326</v>
      </c>
      <c r="V345" s="5">
        <f t="shared" si="163"/>
        <v>2081.7393277482574</v>
      </c>
      <c r="W345" s="5">
        <f t="shared" si="163"/>
        <v>2081.0456528027485</v>
      </c>
      <c r="X345" s="5">
        <f t="shared" si="163"/>
        <v>1258.9052346026997</v>
      </c>
      <c r="Y345" s="5">
        <f t="shared" si="163"/>
        <v>228.71246607910319</v>
      </c>
      <c r="Z345" s="48">
        <f t="shared" si="163"/>
        <v>509.57985427794739</v>
      </c>
      <c r="AA345" s="5">
        <f t="shared" ref="AA345:AG345" si="164">Z346*AA$399</f>
        <v>1258.5815579908333</v>
      </c>
      <c r="AB345" s="5">
        <f t="shared" si="164"/>
        <v>1263.6158842227965</v>
      </c>
      <c r="AC345" s="5">
        <f t="shared" si="164"/>
        <v>1236.9535890656953</v>
      </c>
      <c r="AD345" s="5">
        <f t="shared" si="164"/>
        <v>1337.2990702217478</v>
      </c>
      <c r="AE345" s="5">
        <f t="shared" si="164"/>
        <v>1310.9415423567582</v>
      </c>
      <c r="AF345" s="5">
        <f t="shared" si="164"/>
        <v>1348.4216807945772</v>
      </c>
      <c r="AG345" s="5">
        <f t="shared" si="164"/>
        <v>1418.5652924183869</v>
      </c>
      <c r="AH345" s="5"/>
      <c r="AI345" s="5"/>
      <c r="AJ345" s="5"/>
      <c r="AK345" s="5"/>
      <c r="AL345" s="48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48"/>
      <c r="AY345" s="5"/>
      <c r="AZ345" s="5"/>
      <c r="BA345" s="5"/>
      <c r="BB345" s="5"/>
      <c r="BC345" s="5"/>
      <c r="BD345" s="5"/>
      <c r="BE345" s="5"/>
      <c r="BF345" s="58"/>
      <c r="BG345" s="5"/>
    </row>
    <row r="346" spans="1:59" ht="15.75" hidden="1" customHeight="1" outlineLevel="1">
      <c r="A346" s="27" t="s">
        <v>50</v>
      </c>
      <c r="B346" s="27" t="s">
        <v>51</v>
      </c>
      <c r="C346" s="27">
        <v>2</v>
      </c>
      <c r="D346" s="51" t="s">
        <v>31</v>
      </c>
      <c r="E346" s="52"/>
      <c r="F346" s="53"/>
      <c r="G346" s="53"/>
      <c r="H346" s="53"/>
      <c r="I346" s="53"/>
      <c r="J346" s="53"/>
      <c r="K346" s="53"/>
      <c r="L346" s="53"/>
      <c r="M346" s="53"/>
      <c r="N346" s="54"/>
      <c r="O346" s="5">
        <f>SUM(O344:O345)</f>
        <v>34642.837111497327</v>
      </c>
      <c r="P346" s="5">
        <f>O346+SUM(P344:P345)</f>
        <v>166885.22174245823</v>
      </c>
      <c r="Q346" s="5">
        <f t="shared" ref="Q346" si="165">P346+SUM(Q344:Q345)</f>
        <v>371071.09867220995</v>
      </c>
      <c r="R346" s="5">
        <f t="shared" ref="R346:Z346" si="166">Q346+SUM(R344:R345)</f>
        <v>323906.2564621442</v>
      </c>
      <c r="S346" s="5">
        <f t="shared" si="166"/>
        <v>557675.15764405392</v>
      </c>
      <c r="T346" s="5">
        <f t="shared" si="166"/>
        <v>615601.7255593274</v>
      </c>
      <c r="U346" s="5">
        <f t="shared" si="166"/>
        <v>627981.70539057604</v>
      </c>
      <c r="V346" s="5">
        <f t="shared" si="166"/>
        <v>635760.23257247976</v>
      </c>
      <c r="W346" s="5">
        <f t="shared" si="166"/>
        <v>522457.2868596277</v>
      </c>
      <c r="X346" s="5">
        <f t="shared" si="166"/>
        <v>159290.93437643431</v>
      </c>
      <c r="Y346" s="5">
        <f t="shared" si="166"/>
        <v>-38687.239763458783</v>
      </c>
      <c r="Z346" s="48">
        <f t="shared" si="166"/>
        <v>314645.3894977083</v>
      </c>
      <c r="AA346" s="5">
        <f>Z346+AA345</f>
        <v>315903.9710556991</v>
      </c>
      <c r="AB346" s="5">
        <f t="shared" ref="AB346:AE346" si="167">AA346+AB345</f>
        <v>317167.58693992189</v>
      </c>
      <c r="AC346" s="5">
        <f t="shared" si="167"/>
        <v>318404.54052898759</v>
      </c>
      <c r="AD346" s="5">
        <f t="shared" si="167"/>
        <v>319741.83959920931</v>
      </c>
      <c r="AE346" s="5">
        <f t="shared" si="167"/>
        <v>321052.78114156605</v>
      </c>
      <c r="AF346" s="5">
        <f>AE346+AF345</f>
        <v>322401.20282236062</v>
      </c>
      <c r="AG346" s="5">
        <f>AF346+AG345</f>
        <v>323819.76811477903</v>
      </c>
      <c r="AH346" s="5">
        <f>AG346</f>
        <v>323819.76811477903</v>
      </c>
      <c r="AI346" s="5"/>
      <c r="AJ346" s="5"/>
      <c r="AK346" s="5"/>
      <c r="AL346" s="48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48"/>
      <c r="AY346" s="5"/>
      <c r="AZ346" s="5"/>
      <c r="BA346" s="5"/>
      <c r="BB346" s="5"/>
      <c r="BC346" s="5"/>
      <c r="BD346" s="5"/>
      <c r="BE346" s="5"/>
      <c r="BF346" s="58"/>
      <c r="BG346" s="5"/>
    </row>
    <row r="347" spans="1:59" ht="15.75" hidden="1" customHeight="1" outlineLevel="1">
      <c r="A347" s="27" t="s">
        <v>50</v>
      </c>
      <c r="B347" s="27" t="s">
        <v>51</v>
      </c>
      <c r="C347" s="27">
        <v>2</v>
      </c>
      <c r="D347" s="55" t="s">
        <v>32</v>
      </c>
      <c r="E347" s="52"/>
      <c r="F347" s="53"/>
      <c r="G347" s="53"/>
      <c r="H347" s="53"/>
      <c r="I347" s="53"/>
      <c r="J347" s="53"/>
      <c r="K347" s="53"/>
      <c r="L347" s="53"/>
      <c r="M347" s="53"/>
      <c r="N347" s="54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48"/>
      <c r="AA347" s="5"/>
      <c r="AB347" s="5"/>
      <c r="AC347" s="5"/>
      <c r="AD347" s="5"/>
      <c r="AE347" s="5"/>
      <c r="AF347" s="5"/>
      <c r="AG347" s="5"/>
      <c r="AH347" s="56">
        <f>AH417</f>
        <v>188378.04027892606</v>
      </c>
      <c r="AI347" s="5"/>
      <c r="AJ347" s="5"/>
      <c r="AK347" s="5"/>
      <c r="AL347" s="48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48"/>
      <c r="AY347" s="5"/>
      <c r="AZ347" s="5"/>
      <c r="BA347" s="5"/>
      <c r="BB347" s="5"/>
      <c r="BC347" s="5"/>
      <c r="BD347" s="5"/>
      <c r="BE347" s="5"/>
      <c r="BF347" s="58"/>
      <c r="BG347" s="5"/>
    </row>
    <row r="348" spans="1:59" ht="15.75" hidden="1" customHeight="1" outlineLevel="1">
      <c r="A348" s="27" t="s">
        <v>50</v>
      </c>
      <c r="B348" s="27" t="s">
        <v>51</v>
      </c>
      <c r="C348" s="27">
        <v>2</v>
      </c>
      <c r="D348" s="55" t="s">
        <v>34</v>
      </c>
      <c r="E348" s="52"/>
      <c r="F348" s="53"/>
      <c r="G348" s="53"/>
      <c r="H348" s="53"/>
      <c r="I348" s="53"/>
      <c r="J348" s="53"/>
      <c r="K348" s="53"/>
      <c r="L348" s="53"/>
      <c r="M348" s="53"/>
      <c r="N348" s="54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48"/>
      <c r="AA348" s="5"/>
      <c r="AB348" s="5"/>
      <c r="AC348" s="5"/>
      <c r="AD348" s="5"/>
      <c r="AE348" s="5"/>
      <c r="AF348" s="5"/>
      <c r="AG348" s="5"/>
      <c r="AH348" s="5">
        <f>SUM(AH346:AH347)</f>
        <v>512197.80839370505</v>
      </c>
      <c r="AI348" s="5"/>
      <c r="AJ348" s="5"/>
      <c r="AK348" s="5"/>
      <c r="AL348" s="48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48"/>
      <c r="AY348" s="5"/>
      <c r="AZ348" s="5"/>
      <c r="BA348" s="5"/>
      <c r="BB348" s="5"/>
      <c r="BC348" s="5"/>
      <c r="BD348" s="5"/>
      <c r="BE348" s="5"/>
      <c r="BF348" s="58"/>
      <c r="BG348" s="5"/>
    </row>
    <row r="349" spans="1:59" ht="15.75" hidden="1" customHeight="1" outlineLevel="1">
      <c r="A349" s="27"/>
      <c r="B349" s="27"/>
      <c r="C349" s="57"/>
      <c r="D349" s="55"/>
      <c r="E349" s="52"/>
      <c r="F349" s="53"/>
      <c r="G349" s="53"/>
      <c r="H349" s="53"/>
      <c r="I349" s="53"/>
      <c r="J349" s="53"/>
      <c r="K349" s="53"/>
      <c r="L349" s="53"/>
      <c r="M349" s="53"/>
      <c r="N349" s="54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48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48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48"/>
      <c r="AY349" s="5"/>
      <c r="AZ349" s="5"/>
      <c r="BA349" s="5"/>
      <c r="BB349" s="5"/>
      <c r="BC349" s="5"/>
      <c r="BD349" s="5"/>
      <c r="BE349" s="5"/>
      <c r="BF349" s="58"/>
      <c r="BG349" s="5"/>
    </row>
    <row r="350" spans="1:59" ht="15.75" hidden="1" customHeight="1" outlineLevel="1">
      <c r="A350" s="27" t="s">
        <v>50</v>
      </c>
      <c r="B350" s="27" t="s">
        <v>51</v>
      </c>
      <c r="C350" s="27">
        <v>3</v>
      </c>
      <c r="D350" s="51" t="s">
        <v>29</v>
      </c>
      <c r="E350" s="52"/>
      <c r="F350" s="53"/>
      <c r="G350" s="53"/>
      <c r="H350" s="53"/>
      <c r="I350" s="53"/>
      <c r="J350" s="53"/>
      <c r="K350" s="53"/>
      <c r="L350" s="53"/>
      <c r="M350" s="53"/>
      <c r="N350" s="54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48"/>
      <c r="AA350" s="5">
        <f>Deferral!AE160</f>
        <v>204691.50416231947</v>
      </c>
      <c r="AB350" s="5">
        <f>Deferral!AF160</f>
        <v>72003.3151811196</v>
      </c>
      <c r="AC350" s="5">
        <f>Deferral!AG160</f>
        <v>142443.04141146084</v>
      </c>
      <c r="AD350" s="5">
        <f>Deferral!AH160</f>
        <v>116407.49144768878</v>
      </c>
      <c r="AE350" s="5">
        <f>Deferral!AI160</f>
        <v>119718.595766616</v>
      </c>
      <c r="AF350" s="5">
        <f>Deferral!AJ160</f>
        <v>61503.008203832695</v>
      </c>
      <c r="AG350" s="5">
        <f>Deferral!AK160</f>
        <v>5458.0467195966776</v>
      </c>
      <c r="AH350" s="5">
        <f>Deferral!AL160</f>
        <v>-3022.5869070308399</v>
      </c>
      <c r="AI350" s="5">
        <f>Deferral!AM160</f>
        <v>-146412.43048204598</v>
      </c>
      <c r="AJ350" s="5">
        <f>Deferral!AN160</f>
        <v>-468841.97987799393</v>
      </c>
      <c r="AK350" s="5">
        <f>Deferral!AO160</f>
        <v>-225485.69262389396</v>
      </c>
      <c r="AL350" s="48">
        <f>Deferral!AP160</f>
        <v>65858.243261069525</v>
      </c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48"/>
      <c r="AY350" s="5"/>
      <c r="AZ350" s="5"/>
      <c r="BA350" s="5"/>
      <c r="BB350" s="5"/>
      <c r="BC350" s="5"/>
      <c r="BD350" s="5"/>
      <c r="BE350" s="5"/>
      <c r="BF350" s="58"/>
      <c r="BG350" s="5"/>
    </row>
    <row r="351" spans="1:59" ht="15.75" hidden="1" customHeight="1" outlineLevel="1">
      <c r="A351" s="27" t="s">
        <v>50</v>
      </c>
      <c r="B351" s="27" t="s">
        <v>51</v>
      </c>
      <c r="C351" s="27">
        <v>3</v>
      </c>
      <c r="D351" s="55" t="s">
        <v>30</v>
      </c>
      <c r="E351" s="52"/>
      <c r="F351" s="53"/>
      <c r="G351" s="53"/>
      <c r="H351" s="53"/>
      <c r="I351" s="53"/>
      <c r="J351" s="53"/>
      <c r="K351" s="53"/>
      <c r="L351" s="53"/>
      <c r="M351" s="53"/>
      <c r="N351" s="54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48"/>
      <c r="AA351" s="5">
        <f>AA350/2*AA$399</f>
        <v>409.38300832463892</v>
      </c>
      <c r="AB351" s="5">
        <f t="shared" ref="AB351:AL351" si="168">(AA352+AB350/2)*AB$399</f>
        <v>964.41017904481566</v>
      </c>
      <c r="AC351" s="5">
        <f t="shared" si="168"/>
        <v>1362.231519622502</v>
      </c>
      <c r="AD351" s="5">
        <f t="shared" si="168"/>
        <v>2016.3260509800923</v>
      </c>
      <c r="AE351" s="5">
        <f t="shared" si="168"/>
        <v>2460.6437034598625</v>
      </c>
      <c r="AF351" s="5">
        <f t="shared" si="168"/>
        <v>2911.5594754367221</v>
      </c>
      <c r="AG351" s="5">
        <f t="shared" si="168"/>
        <v>3210.3303472666998</v>
      </c>
      <c r="AH351" s="5">
        <f t="shared" si="168"/>
        <v>2936.1943748930162</v>
      </c>
      <c r="AI351" s="5">
        <f t="shared" si="168"/>
        <v>2913.9760293758782</v>
      </c>
      <c r="AJ351" s="5">
        <f t="shared" si="168"/>
        <v>1608.9932261383406</v>
      </c>
      <c r="AK351" s="5">
        <f t="shared" si="168"/>
        <v>55.196353249531434</v>
      </c>
      <c r="AL351" s="48">
        <f t="shared" si="168"/>
        <v>-304.9169449500165</v>
      </c>
      <c r="AM351" s="5">
        <f t="shared" ref="AM351:AS351" si="169">AL352*AM$399</f>
        <v>-165.13504714776894</v>
      </c>
      <c r="AN351" s="5">
        <f t="shared" si="169"/>
        <v>-165.91118186936347</v>
      </c>
      <c r="AO351" s="5">
        <f t="shared" si="169"/>
        <v>-159.59773189546226</v>
      </c>
      <c r="AP351" s="5">
        <f t="shared" si="169"/>
        <v>-163.87849772652498</v>
      </c>
      <c r="AQ351" s="5">
        <f t="shared" si="169"/>
        <v>-161.05337492876117</v>
      </c>
      <c r="AR351" s="5">
        <f t="shared" si="169"/>
        <v>-165.37318434073933</v>
      </c>
      <c r="AS351" s="5">
        <f t="shared" si="169"/>
        <v>-151.68747481577569</v>
      </c>
      <c r="AT351" s="5"/>
      <c r="AU351" s="5"/>
      <c r="AV351" s="5"/>
      <c r="AW351" s="5"/>
      <c r="AX351" s="48"/>
      <c r="AY351" s="5"/>
      <c r="AZ351" s="5"/>
      <c r="BA351" s="5"/>
      <c r="BB351" s="5"/>
      <c r="BC351" s="5"/>
      <c r="BD351" s="5"/>
      <c r="BE351" s="5"/>
      <c r="BF351" s="58"/>
      <c r="BG351" s="5"/>
    </row>
    <row r="352" spans="1:59" ht="15.75" hidden="1" customHeight="1" outlineLevel="1">
      <c r="A352" s="27" t="s">
        <v>50</v>
      </c>
      <c r="B352" s="27" t="s">
        <v>51</v>
      </c>
      <c r="C352" s="27">
        <v>3</v>
      </c>
      <c r="D352" s="51" t="s">
        <v>31</v>
      </c>
      <c r="E352" s="52"/>
      <c r="F352" s="53"/>
      <c r="G352" s="53"/>
      <c r="H352" s="53"/>
      <c r="I352" s="53"/>
      <c r="J352" s="53"/>
      <c r="K352" s="53"/>
      <c r="L352" s="53"/>
      <c r="M352" s="53"/>
      <c r="N352" s="54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48"/>
      <c r="AA352" s="5">
        <f>SUM(AA350:AA351)</f>
        <v>205100.8871706441</v>
      </c>
      <c r="AB352" s="5">
        <f>AA352+SUM(AB350:AB351)</f>
        <v>278068.61253080855</v>
      </c>
      <c r="AC352" s="5">
        <f t="shared" ref="AC352" si="170">AB352+SUM(AC350:AC351)</f>
        <v>421873.88546189188</v>
      </c>
      <c r="AD352" s="5">
        <f t="shared" ref="AD352:AL352" si="171">AC352+SUM(AD350:AD351)</f>
        <v>540297.7029605608</v>
      </c>
      <c r="AE352" s="5">
        <f t="shared" si="171"/>
        <v>662476.94243063661</v>
      </c>
      <c r="AF352" s="5">
        <f t="shared" si="171"/>
        <v>726891.51010990608</v>
      </c>
      <c r="AG352" s="5">
        <f t="shared" si="171"/>
        <v>735559.88717676944</v>
      </c>
      <c r="AH352" s="5">
        <f t="shared" si="171"/>
        <v>735473.49464463163</v>
      </c>
      <c r="AI352" s="5">
        <f t="shared" si="171"/>
        <v>591975.04019196157</v>
      </c>
      <c r="AJ352" s="5">
        <f t="shared" si="171"/>
        <v>124742.05354010599</v>
      </c>
      <c r="AK352" s="5">
        <f t="shared" si="171"/>
        <v>-100688.44273053843</v>
      </c>
      <c r="AL352" s="48">
        <f t="shared" si="171"/>
        <v>-35135.116414418924</v>
      </c>
      <c r="AM352" s="5">
        <f>AL352+AM351</f>
        <v>-35300.251461566695</v>
      </c>
      <c r="AN352" s="5">
        <f t="shared" ref="AN352:AQ352" si="172">AM352+AN351</f>
        <v>-35466.162643436059</v>
      </c>
      <c r="AO352" s="5">
        <f t="shared" si="172"/>
        <v>-35625.76037533152</v>
      </c>
      <c r="AP352" s="5">
        <f t="shared" si="172"/>
        <v>-35789.638873058044</v>
      </c>
      <c r="AQ352" s="5">
        <f t="shared" si="172"/>
        <v>-35950.692247986808</v>
      </c>
      <c r="AR352" s="5">
        <f>AQ352+AR351</f>
        <v>-36116.065432327545</v>
      </c>
      <c r="AS352" s="5">
        <f>AR352+AS351</f>
        <v>-36267.752907143324</v>
      </c>
      <c r="AT352" s="5">
        <f>AS352</f>
        <v>-36267.752907143324</v>
      </c>
      <c r="AU352" s="5"/>
      <c r="AV352" s="5"/>
      <c r="AW352" s="5"/>
      <c r="AX352" s="48"/>
      <c r="AY352" s="5"/>
      <c r="AZ352" s="5"/>
      <c r="BA352" s="5"/>
      <c r="BB352" s="5"/>
      <c r="BC352" s="5"/>
      <c r="BD352" s="5"/>
      <c r="BE352" s="5"/>
      <c r="BF352" s="58"/>
      <c r="BG352" s="5"/>
    </row>
    <row r="353" spans="1:59" ht="15.75" hidden="1" customHeight="1" outlineLevel="1">
      <c r="A353" s="27" t="s">
        <v>50</v>
      </c>
      <c r="B353" s="27" t="s">
        <v>51</v>
      </c>
      <c r="C353" s="27">
        <v>3</v>
      </c>
      <c r="D353" s="55" t="s">
        <v>32</v>
      </c>
      <c r="E353" s="52"/>
      <c r="F353" s="53"/>
      <c r="G353" s="53"/>
      <c r="H353" s="53"/>
      <c r="I353" s="53"/>
      <c r="J353" s="53"/>
      <c r="K353" s="53"/>
      <c r="L353" s="53"/>
      <c r="M353" s="53"/>
      <c r="N353" s="54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48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48"/>
      <c r="AM353" s="5"/>
      <c r="AN353" s="5"/>
      <c r="AO353" s="5"/>
      <c r="AP353" s="5"/>
      <c r="AQ353" s="5"/>
      <c r="AR353" s="5"/>
      <c r="AS353" s="5"/>
      <c r="AT353" s="56">
        <f>AT425</f>
        <v>636197.22504340089</v>
      </c>
      <c r="AU353" s="5"/>
      <c r="AV353" s="5"/>
      <c r="AW353" s="5"/>
      <c r="AX353" s="48"/>
      <c r="AY353" s="5"/>
      <c r="AZ353" s="5"/>
      <c r="BA353" s="5"/>
      <c r="BB353" s="5"/>
      <c r="BC353" s="5"/>
      <c r="BD353" s="5"/>
      <c r="BE353" s="5"/>
      <c r="BF353" s="58"/>
      <c r="BG353" s="5"/>
    </row>
    <row r="354" spans="1:59" ht="15.75" hidden="1" customHeight="1" outlineLevel="1">
      <c r="A354" s="27" t="s">
        <v>50</v>
      </c>
      <c r="B354" s="27" t="s">
        <v>51</v>
      </c>
      <c r="C354" s="27">
        <v>3</v>
      </c>
      <c r="D354" s="55" t="s">
        <v>35</v>
      </c>
      <c r="E354" s="52"/>
      <c r="F354" s="53"/>
      <c r="G354" s="53"/>
      <c r="H354" s="53"/>
      <c r="I354" s="53"/>
      <c r="J354" s="53"/>
      <c r="K354" s="53"/>
      <c r="L354" s="53"/>
      <c r="M354" s="53"/>
      <c r="N354" s="54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48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48"/>
      <c r="AM354" s="5"/>
      <c r="AN354" s="5"/>
      <c r="AO354" s="5"/>
      <c r="AP354" s="5"/>
      <c r="AQ354" s="5"/>
      <c r="AR354" s="5"/>
      <c r="AS354" s="5"/>
      <c r="AT354" s="5">
        <f>SUM(AT352:AT353)</f>
        <v>599929.47213625757</v>
      </c>
      <c r="AU354" s="5"/>
      <c r="AV354" s="5"/>
      <c r="AW354" s="5"/>
      <c r="AX354" s="48"/>
      <c r="AY354" s="5"/>
      <c r="AZ354" s="5"/>
      <c r="BA354" s="5"/>
      <c r="BB354" s="5"/>
      <c r="BC354" s="5"/>
      <c r="BD354" s="5"/>
      <c r="BE354" s="5"/>
      <c r="BF354" s="58"/>
      <c r="BG354" s="5"/>
    </row>
    <row r="355" spans="1:59" ht="15.75" hidden="1" customHeight="1" outlineLevel="1">
      <c r="A355" s="27"/>
      <c r="B355" s="27"/>
      <c r="C355" s="57"/>
      <c r="D355" s="55"/>
      <c r="E355" s="52"/>
      <c r="F355" s="53"/>
      <c r="G355" s="53"/>
      <c r="H355" s="53"/>
      <c r="I355" s="53"/>
      <c r="J355" s="53"/>
      <c r="K355" s="53"/>
      <c r="L355" s="53"/>
      <c r="M355" s="53"/>
      <c r="N355" s="54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48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48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48"/>
      <c r="AY355" s="5"/>
      <c r="AZ355" s="5"/>
      <c r="BA355" s="5"/>
      <c r="BB355" s="5"/>
      <c r="BC355" s="5"/>
      <c r="BD355" s="5"/>
      <c r="BE355" s="5"/>
      <c r="BF355" s="58"/>
      <c r="BG355" s="5"/>
    </row>
    <row r="356" spans="1:59" ht="15.75" hidden="1" customHeight="1" outlineLevel="1">
      <c r="A356" s="27" t="s">
        <v>50</v>
      </c>
      <c r="B356" s="27" t="s">
        <v>51</v>
      </c>
      <c r="C356" s="27">
        <v>4</v>
      </c>
      <c r="D356" s="51" t="s">
        <v>29</v>
      </c>
      <c r="E356" s="52"/>
      <c r="F356" s="53"/>
      <c r="G356" s="53"/>
      <c r="H356" s="53"/>
      <c r="I356" s="53"/>
      <c r="J356" s="53"/>
      <c r="K356" s="53"/>
      <c r="L356" s="53"/>
      <c r="M356" s="53"/>
      <c r="N356" s="54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48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48"/>
      <c r="AM356" s="5">
        <f>Deferral!AQ160</f>
        <v>255613.48468294227</v>
      </c>
      <c r="AN356" s="5">
        <f>Deferral!AR160</f>
        <v>47536.403955873568</v>
      </c>
      <c r="AO356" s="5">
        <f>Deferral!AS160</f>
        <v>130102.94711114396</v>
      </c>
      <c r="AP356" s="5">
        <f>Deferral!AT160</f>
        <v>-118291.08122711501</v>
      </c>
      <c r="AQ356" s="5">
        <f>Deferral!AU160</f>
        <v>139130.01859289675</v>
      </c>
      <c r="AR356" s="5">
        <f>Deferral!AV160</f>
        <v>55351.431989637946</v>
      </c>
      <c r="AS356" s="5">
        <f>Deferral!AW160</f>
        <v>11098.070810471309</v>
      </c>
      <c r="AT356" s="5">
        <f>Deferral!AX160</f>
        <v>5657.1794298133282</v>
      </c>
      <c r="AU356" s="5">
        <f>Deferral!AY160</f>
        <v>-33056.302816397947</v>
      </c>
      <c r="AV356" s="5">
        <f>Deferral!AZ160</f>
        <v>-122201.28146768076</v>
      </c>
      <c r="AW356" s="5">
        <f>Deferral!BA160</f>
        <v>35917.514211418806</v>
      </c>
      <c r="AX356" s="48">
        <f>Deferral!BB160</f>
        <v>123918.03813997027</v>
      </c>
      <c r="AY356" s="5"/>
      <c r="AZ356" s="5"/>
      <c r="BA356" s="5"/>
      <c r="BB356" s="5"/>
      <c r="BC356" s="5"/>
      <c r="BD356" s="5"/>
      <c r="BE356" s="5"/>
      <c r="BF356" s="58"/>
      <c r="BG356" s="5"/>
    </row>
    <row r="357" spans="1:59" ht="15.75" hidden="1" customHeight="1" outlineLevel="1">
      <c r="A357" s="27" t="s">
        <v>50</v>
      </c>
      <c r="B357" s="27" t="s">
        <v>51</v>
      </c>
      <c r="C357" s="27">
        <v>4</v>
      </c>
      <c r="D357" s="55" t="s">
        <v>30</v>
      </c>
      <c r="E357" s="52"/>
      <c r="F357" s="53"/>
      <c r="G357" s="53"/>
      <c r="H357" s="53"/>
      <c r="I357" s="53"/>
      <c r="J357" s="53"/>
      <c r="K357" s="53"/>
      <c r="L357" s="53"/>
      <c r="M357" s="53"/>
      <c r="N357" s="54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48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48"/>
      <c r="AM357" s="5">
        <f>AM356/2*AM$399</f>
        <v>600.69168900491434</v>
      </c>
      <c r="AN357" s="5">
        <f t="shared" ref="AN357:AX357" si="173">(AM358+AN356/2)*AN$399</f>
        <v>1315.9171782444546</v>
      </c>
      <c r="AO357" s="5">
        <f t="shared" si="173"/>
        <v>1665.5308697773673</v>
      </c>
      <c r="AP357" s="5">
        <f t="shared" si="173"/>
        <v>1737.3714004177737</v>
      </c>
      <c r="AQ357" s="5">
        <f t="shared" si="173"/>
        <v>1754.3082373053196</v>
      </c>
      <c r="AR357" s="5">
        <f t="shared" si="173"/>
        <v>2248.6700190324277</v>
      </c>
      <c r="AS357" s="5">
        <f t="shared" si="173"/>
        <v>2202.121865598469</v>
      </c>
      <c r="AT357" s="5">
        <f t="shared" si="173"/>
        <v>2086.0884598715388</v>
      </c>
      <c r="AU357" s="5">
        <f t="shared" si="173"/>
        <v>2197.7802153582134</v>
      </c>
      <c r="AV357" s="5">
        <f t="shared" si="173"/>
        <v>1746.6149677471417</v>
      </c>
      <c r="AW357" s="5">
        <f t="shared" si="173"/>
        <v>1625.8188922786101</v>
      </c>
      <c r="AX357" s="48">
        <f t="shared" si="173"/>
        <v>1903.1934407367398</v>
      </c>
      <c r="AY357" s="5">
        <f t="shared" ref="AY357:BE357" si="174">AX358*AY$399</f>
        <v>1600.3955388802076</v>
      </c>
      <c r="AZ357" s="5">
        <f t="shared" si="174"/>
        <v>1605.0366859429603</v>
      </c>
      <c r="BA357" s="5">
        <f t="shared" si="174"/>
        <v>1554.1846960448777</v>
      </c>
      <c r="BB357" s="5">
        <f t="shared" si="174"/>
        <v>1558.5364131938034</v>
      </c>
      <c r="BC357" s="5">
        <f t="shared" si="174"/>
        <v>1507.0824467525051</v>
      </c>
      <c r="BD357" s="5">
        <f t="shared" si="174"/>
        <v>1567.120146001653</v>
      </c>
      <c r="BE357" s="5">
        <f t="shared" si="174"/>
        <v>1571.5080824104577</v>
      </c>
      <c r="BF357" s="58"/>
      <c r="BG357" s="5"/>
    </row>
    <row r="358" spans="1:59" ht="15.75" hidden="1" customHeight="1" outlineLevel="1">
      <c r="A358" s="27" t="s">
        <v>50</v>
      </c>
      <c r="B358" s="27" t="s">
        <v>51</v>
      </c>
      <c r="C358" s="27">
        <v>4</v>
      </c>
      <c r="D358" s="51" t="s">
        <v>31</v>
      </c>
      <c r="E358" s="52"/>
      <c r="F358" s="53"/>
      <c r="G358" s="53"/>
      <c r="H358" s="53"/>
      <c r="I358" s="53"/>
      <c r="J358" s="53"/>
      <c r="K358" s="53"/>
      <c r="L358" s="53"/>
      <c r="M358" s="53"/>
      <c r="N358" s="54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48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48"/>
      <c r="AM358" s="5">
        <f>SUM(AM356:AM357)</f>
        <v>256214.17637194719</v>
      </c>
      <c r="AN358" s="5">
        <f>AM358+SUM(AN356:AN357)</f>
        <v>305066.49750606524</v>
      </c>
      <c r="AO358" s="5">
        <f t="shared" ref="AO358" si="175">AN358+SUM(AO356:AO357)</f>
        <v>436834.97548698657</v>
      </c>
      <c r="AP358" s="5">
        <f t="shared" ref="AP358:AX358" si="176">AO358+SUM(AP356:AP357)</f>
        <v>320281.26566028933</v>
      </c>
      <c r="AQ358" s="5">
        <f t="shared" si="176"/>
        <v>461165.5924904914</v>
      </c>
      <c r="AR358" s="5">
        <f t="shared" si="176"/>
        <v>518765.69449916179</v>
      </c>
      <c r="AS358" s="5">
        <f t="shared" si="176"/>
        <v>532065.88717523159</v>
      </c>
      <c r="AT358" s="5">
        <f t="shared" si="176"/>
        <v>539809.15506491647</v>
      </c>
      <c r="AU358" s="5">
        <f t="shared" si="176"/>
        <v>508950.63246387674</v>
      </c>
      <c r="AV358" s="5">
        <f t="shared" si="176"/>
        <v>388495.9659639431</v>
      </c>
      <c r="AW358" s="5">
        <f t="shared" si="176"/>
        <v>426039.2990676405</v>
      </c>
      <c r="AX358" s="48">
        <f t="shared" si="176"/>
        <v>551860.53064834746</v>
      </c>
      <c r="AY358" s="5">
        <f>AX358+AY357</f>
        <v>553460.92618722771</v>
      </c>
      <c r="AZ358" s="5">
        <f t="shared" ref="AZ358:BC358" si="177">AY358+AZ357</f>
        <v>555065.96287317062</v>
      </c>
      <c r="BA358" s="5">
        <f t="shared" si="177"/>
        <v>556620.14756921551</v>
      </c>
      <c r="BB358" s="5">
        <f t="shared" si="177"/>
        <v>558178.6839824093</v>
      </c>
      <c r="BC358" s="5">
        <f t="shared" si="177"/>
        <v>559685.76642916177</v>
      </c>
      <c r="BD358" s="5">
        <f>BC358+BD357</f>
        <v>561252.88657516346</v>
      </c>
      <c r="BE358" s="5">
        <f>BD358+BE357</f>
        <v>562824.3946575739</v>
      </c>
      <c r="BF358" s="58">
        <f>BE358</f>
        <v>562824.3946575739</v>
      </c>
      <c r="BG358" s="5"/>
    </row>
    <row r="359" spans="1:59" ht="15.75" hidden="1" customHeight="1" outlineLevel="1">
      <c r="A359" s="27" t="s">
        <v>50</v>
      </c>
      <c r="B359" s="27" t="s">
        <v>51</v>
      </c>
      <c r="C359" s="27">
        <v>4</v>
      </c>
      <c r="D359" s="55" t="s">
        <v>36</v>
      </c>
      <c r="E359" s="52"/>
      <c r="F359" s="53"/>
      <c r="G359" s="53"/>
      <c r="H359" s="53"/>
      <c r="I359" s="53"/>
      <c r="J359" s="53"/>
      <c r="K359" s="53"/>
      <c r="L359" s="53"/>
      <c r="M359" s="53"/>
      <c r="N359" s="54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48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48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48"/>
      <c r="AY359" s="5"/>
      <c r="AZ359" s="5"/>
      <c r="BA359" s="5"/>
      <c r="BB359" s="5"/>
      <c r="BC359" s="5"/>
      <c r="BD359" s="5"/>
      <c r="BE359" s="5"/>
      <c r="BF359" s="59">
        <f>BF433</f>
        <v>710.65121207624532</v>
      </c>
      <c r="BG359" s="5"/>
    </row>
    <row r="360" spans="1:59" ht="15.75" hidden="1" customHeight="1" outlineLevel="1">
      <c r="A360" s="27" t="s">
        <v>50</v>
      </c>
      <c r="B360" s="27" t="s">
        <v>51</v>
      </c>
      <c r="C360" s="27">
        <v>4</v>
      </c>
      <c r="D360" s="55" t="s">
        <v>37</v>
      </c>
      <c r="E360" s="52"/>
      <c r="F360" s="53"/>
      <c r="G360" s="53"/>
      <c r="H360" s="53"/>
      <c r="I360" s="53"/>
      <c r="J360" s="53"/>
      <c r="K360" s="53"/>
      <c r="L360" s="53"/>
      <c r="M360" s="53"/>
      <c r="N360" s="54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48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48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48"/>
      <c r="AY360" s="5"/>
      <c r="AZ360" s="5"/>
      <c r="BA360" s="5"/>
      <c r="BB360" s="5"/>
      <c r="BC360" s="5"/>
      <c r="BD360" s="5"/>
      <c r="BE360" s="5"/>
      <c r="BF360" s="58">
        <f>SUM(BF358:BF359)</f>
        <v>563535.04586965009</v>
      </c>
      <c r="BG360" s="5"/>
    </row>
    <row r="361" spans="1:59" ht="15.75" customHeight="1" collapsed="1">
      <c r="A361" s="27"/>
      <c r="B361" s="27"/>
      <c r="C361" s="57"/>
      <c r="D361" s="55"/>
      <c r="E361" s="52"/>
      <c r="F361" s="53"/>
      <c r="G361" s="53"/>
      <c r="H361" s="53"/>
      <c r="I361" s="53"/>
      <c r="J361" s="53"/>
      <c r="K361" s="53"/>
      <c r="L361" s="53"/>
      <c r="M361" s="53"/>
      <c r="N361" s="54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48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48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48"/>
      <c r="AY361" s="5"/>
      <c r="AZ361" s="5"/>
      <c r="BA361" s="5"/>
      <c r="BB361" s="5"/>
      <c r="BC361" s="5"/>
      <c r="BD361" s="5"/>
      <c r="BE361" s="5"/>
      <c r="BF361" s="58"/>
      <c r="BG361" s="5"/>
    </row>
    <row r="362" spans="1:59" ht="15.75" customHeight="1">
      <c r="A362" s="27" t="s">
        <v>50</v>
      </c>
      <c r="B362" s="27" t="s">
        <v>51</v>
      </c>
      <c r="C362" s="27">
        <v>5</v>
      </c>
      <c r="D362" s="51" t="s">
        <v>29</v>
      </c>
      <c r="E362" s="52"/>
      <c r="F362" s="53"/>
      <c r="G362" s="53"/>
      <c r="H362" s="53"/>
      <c r="I362" s="53"/>
      <c r="J362" s="53"/>
      <c r="K362" s="53"/>
      <c r="L362" s="53"/>
      <c r="M362" s="53"/>
      <c r="N362" s="54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48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48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48"/>
      <c r="AY362" s="5">
        <f>Deferral!BC160</f>
        <v>119231.75878168806</v>
      </c>
      <c r="AZ362" s="5">
        <f>Deferral!BD160</f>
        <v>208238.63370283064</v>
      </c>
      <c r="BA362" s="5">
        <f>Deferral!BE160</f>
        <v>172876.45553231076</v>
      </c>
      <c r="BB362" s="5">
        <f>Deferral!BF160</f>
        <v>223977.96149821777</v>
      </c>
      <c r="BC362" s="5">
        <f>Deferral!BG160</f>
        <v>199085.51611971972</v>
      </c>
      <c r="BD362" s="5">
        <f>Deferral!BH160</f>
        <v>72940.849306165357</v>
      </c>
      <c r="BE362" s="5">
        <f>Deferral!BI160+Deferral!BJ160</f>
        <v>-15753.422387893041</v>
      </c>
      <c r="BF362" s="58">
        <f>Deferral!BK160+Deferral!BL160</f>
        <v>-42105.07593522434</v>
      </c>
      <c r="BG362" s="5">
        <f>Deferral!BM160</f>
        <v>-45309.584908792509</v>
      </c>
    </row>
    <row r="363" spans="1:59" ht="15.75" customHeight="1">
      <c r="A363" s="27" t="s">
        <v>50</v>
      </c>
      <c r="B363" s="27" t="s">
        <v>51</v>
      </c>
      <c r="C363" s="27">
        <v>5</v>
      </c>
      <c r="D363" s="55" t="s">
        <v>30</v>
      </c>
      <c r="E363" s="52"/>
      <c r="F363" s="53"/>
      <c r="G363" s="53"/>
      <c r="H363" s="53"/>
      <c r="I363" s="53"/>
      <c r="J363" s="53"/>
      <c r="K363" s="53"/>
      <c r="L363" s="53"/>
      <c r="M363" s="53"/>
      <c r="N363" s="54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48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48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48"/>
      <c r="AY363" s="5">
        <f>AY362/2*AY$399</f>
        <v>172.88605023344766</v>
      </c>
      <c r="AZ363" s="5">
        <f t="shared" ref="AZ363:BG363" si="178">(AY364+AZ362/2)*AZ$399</f>
        <v>648.21948888167674</v>
      </c>
      <c r="BA363" s="5">
        <f t="shared" si="178"/>
        <v>1161.2432322114098</v>
      </c>
      <c r="BB363" s="5">
        <f t="shared" si="178"/>
        <v>1720.090897104342</v>
      </c>
      <c r="BC363" s="5">
        <f t="shared" si="178"/>
        <v>2234.4390195570127</v>
      </c>
      <c r="BD363" s="5">
        <f t="shared" si="178"/>
        <v>2704.2893611323448</v>
      </c>
      <c r="BE363" s="5">
        <f t="shared" si="178"/>
        <v>2791.9237690290965</v>
      </c>
      <c r="BF363" s="58">
        <f t="shared" si="178"/>
        <v>2427.4457660089411</v>
      </c>
      <c r="BG363" s="5">
        <f t="shared" si="178"/>
        <v>2603.1555808932153</v>
      </c>
    </row>
    <row r="364" spans="1:59" ht="15.75" customHeight="1">
      <c r="A364" s="27" t="s">
        <v>50</v>
      </c>
      <c r="B364" s="27" t="s">
        <v>51</v>
      </c>
      <c r="C364" s="27">
        <v>5</v>
      </c>
      <c r="D364" s="51" t="s">
        <v>31</v>
      </c>
      <c r="E364" s="52"/>
      <c r="F364" s="53"/>
      <c r="G364" s="53"/>
      <c r="H364" s="53"/>
      <c r="I364" s="53"/>
      <c r="J364" s="53"/>
      <c r="K364" s="53"/>
      <c r="L364" s="53"/>
      <c r="M364" s="53"/>
      <c r="N364" s="54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48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48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48"/>
      <c r="AY364" s="5">
        <f>SUM(AY362:AY363)</f>
        <v>119404.6448319215</v>
      </c>
      <c r="AZ364" s="5">
        <f>AY364+SUM(AZ362:AZ363)</f>
        <v>328291.49802363385</v>
      </c>
      <c r="BA364" s="5">
        <f t="shared" ref="BA364" si="179">AZ364+SUM(BA362:BA363)</f>
        <v>502329.19678815606</v>
      </c>
      <c r="BB364" s="5">
        <f t="shared" ref="BB364:BG364" si="180">BA364+SUM(BB362:BB363)</f>
        <v>728027.24918347818</v>
      </c>
      <c r="BC364" s="5">
        <f t="shared" si="180"/>
        <v>929347.20432275487</v>
      </c>
      <c r="BD364" s="5">
        <f t="shared" si="180"/>
        <v>1004992.3429900525</v>
      </c>
      <c r="BE364" s="5">
        <f t="shared" si="180"/>
        <v>992030.84437118855</v>
      </c>
      <c r="BF364" s="58">
        <f t="shared" si="180"/>
        <v>952353.21420197317</v>
      </c>
      <c r="BG364" s="5">
        <f t="shared" si="180"/>
        <v>909646.78487407393</v>
      </c>
    </row>
    <row r="365" spans="1:59" ht="15.75" hidden="1" customHeight="1" outlineLevel="1">
      <c r="A365" s="27" t="s">
        <v>50</v>
      </c>
      <c r="B365" s="27" t="s">
        <v>51</v>
      </c>
      <c r="C365" s="27">
        <v>5</v>
      </c>
      <c r="D365" s="55" t="s">
        <v>38</v>
      </c>
      <c r="E365" s="52"/>
      <c r="F365" s="53"/>
      <c r="G365" s="53"/>
      <c r="H365" s="53"/>
      <c r="I365" s="53"/>
      <c r="J365" s="53"/>
      <c r="K365" s="53"/>
      <c r="L365" s="53"/>
      <c r="M365" s="53"/>
      <c r="N365" s="54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48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48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48"/>
      <c r="AY365" s="5"/>
      <c r="AZ365" s="5"/>
      <c r="BA365" s="5"/>
      <c r="BB365" s="5"/>
      <c r="BC365" s="5"/>
      <c r="BD365" s="5"/>
      <c r="BE365" s="5"/>
      <c r="BF365" s="58"/>
      <c r="BG365" s="5"/>
    </row>
    <row r="366" spans="1:59" ht="15.75" hidden="1" customHeight="1" outlineLevel="1">
      <c r="A366" s="27" t="s">
        <v>50</v>
      </c>
      <c r="B366" s="27" t="s">
        <v>51</v>
      </c>
      <c r="C366" s="27">
        <v>5</v>
      </c>
      <c r="D366" s="55" t="s">
        <v>39</v>
      </c>
      <c r="E366" s="52"/>
      <c r="F366" s="53"/>
      <c r="G366" s="53"/>
      <c r="H366" s="53"/>
      <c r="I366" s="53"/>
      <c r="J366" s="53"/>
      <c r="K366" s="53"/>
      <c r="L366" s="53"/>
      <c r="M366" s="53"/>
      <c r="N366" s="54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48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48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48"/>
      <c r="AY366" s="5"/>
      <c r="AZ366" s="5"/>
      <c r="BA366" s="5"/>
      <c r="BB366" s="5"/>
      <c r="BC366" s="5"/>
      <c r="BD366" s="5"/>
      <c r="BE366" s="5"/>
      <c r="BF366" s="58"/>
      <c r="BG366" s="5"/>
    </row>
    <row r="367" spans="1:59" ht="15.75" hidden="1" customHeight="1" outlineLevel="1">
      <c r="A367" s="27"/>
      <c r="B367" s="27"/>
      <c r="C367" s="27"/>
      <c r="D367" s="55"/>
      <c r="E367" s="52"/>
      <c r="F367" s="53"/>
      <c r="G367" s="53"/>
      <c r="H367" s="53"/>
      <c r="I367" s="53"/>
      <c r="J367" s="53"/>
      <c r="K367" s="53"/>
      <c r="L367" s="53"/>
      <c r="M367" s="53"/>
      <c r="N367" s="54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48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48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48"/>
      <c r="AY367" s="5"/>
      <c r="AZ367" s="5"/>
      <c r="BA367" s="5"/>
      <c r="BB367" s="5"/>
      <c r="BC367" s="5"/>
      <c r="BD367" s="5"/>
      <c r="BE367" s="5"/>
      <c r="BF367" s="58"/>
      <c r="BG367" s="5"/>
    </row>
    <row r="368" spans="1:59" ht="15.75" hidden="1" customHeight="1" outlineLevel="1">
      <c r="A368" s="27" t="s">
        <v>50</v>
      </c>
      <c r="B368" s="27" t="s">
        <v>51</v>
      </c>
      <c r="C368" s="27">
        <v>6</v>
      </c>
      <c r="D368" s="51" t="s">
        <v>29</v>
      </c>
      <c r="E368" s="52"/>
      <c r="F368" s="53"/>
      <c r="G368" s="53"/>
      <c r="H368" s="53"/>
      <c r="I368" s="53"/>
      <c r="J368" s="53"/>
      <c r="K368" s="53"/>
      <c r="L368" s="53"/>
      <c r="M368" s="53"/>
      <c r="N368" s="54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48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48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48"/>
      <c r="AY368" s="5"/>
      <c r="AZ368" s="5"/>
      <c r="BA368" s="5"/>
      <c r="BB368" s="5"/>
      <c r="BC368" s="5"/>
      <c r="BD368" s="5"/>
      <c r="BE368" s="5"/>
      <c r="BF368" s="58"/>
      <c r="BG368" s="5"/>
    </row>
    <row r="369" spans="1:59" ht="15.75" hidden="1" customHeight="1" outlineLevel="1">
      <c r="A369" s="27" t="s">
        <v>50</v>
      </c>
      <c r="B369" s="27" t="s">
        <v>51</v>
      </c>
      <c r="C369" s="27">
        <v>6</v>
      </c>
      <c r="D369" s="55" t="s">
        <v>30</v>
      </c>
      <c r="E369" s="52"/>
      <c r="F369" s="53"/>
      <c r="G369" s="53"/>
      <c r="H369" s="53"/>
      <c r="I369" s="53"/>
      <c r="J369" s="53"/>
      <c r="K369" s="53"/>
      <c r="L369" s="53"/>
      <c r="M369" s="53"/>
      <c r="N369" s="54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48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48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48"/>
      <c r="AY369" s="5"/>
      <c r="AZ369" s="5"/>
      <c r="BA369" s="5"/>
      <c r="BB369" s="5"/>
      <c r="BC369" s="5"/>
      <c r="BD369" s="5"/>
      <c r="BE369" s="5"/>
      <c r="BF369" s="58"/>
      <c r="BG369" s="5"/>
    </row>
    <row r="370" spans="1:59" ht="15.75" hidden="1" customHeight="1" outlineLevel="1">
      <c r="A370" s="27" t="s">
        <v>50</v>
      </c>
      <c r="B370" s="27" t="s">
        <v>51</v>
      </c>
      <c r="C370" s="27">
        <v>6</v>
      </c>
      <c r="D370" s="51" t="s">
        <v>31</v>
      </c>
      <c r="E370" s="52"/>
      <c r="F370" s="53"/>
      <c r="G370" s="53"/>
      <c r="H370" s="53"/>
      <c r="I370" s="53"/>
      <c r="J370" s="53"/>
      <c r="K370" s="53"/>
      <c r="L370" s="53"/>
      <c r="M370" s="53"/>
      <c r="N370" s="54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48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48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48"/>
      <c r="AY370" s="5"/>
      <c r="AZ370" s="5"/>
      <c r="BA370" s="5"/>
      <c r="BB370" s="5"/>
      <c r="BC370" s="5"/>
      <c r="BD370" s="5"/>
      <c r="BE370" s="5"/>
      <c r="BF370" s="58"/>
      <c r="BG370" s="5"/>
    </row>
    <row r="371" spans="1:59" ht="15.75" hidden="1" customHeight="1" outlineLevel="1">
      <c r="A371" s="27" t="s">
        <v>50</v>
      </c>
      <c r="B371" s="27" t="s">
        <v>51</v>
      </c>
      <c r="C371" s="27">
        <v>6</v>
      </c>
      <c r="D371" s="55" t="s">
        <v>38</v>
      </c>
      <c r="E371" s="52"/>
      <c r="F371" s="53"/>
      <c r="G371" s="53"/>
      <c r="H371" s="53"/>
      <c r="I371" s="53"/>
      <c r="J371" s="53"/>
      <c r="K371" s="53"/>
      <c r="L371" s="53"/>
      <c r="M371" s="53"/>
      <c r="N371" s="54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48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48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48"/>
      <c r="AY371" s="5"/>
      <c r="AZ371" s="5"/>
      <c r="BA371" s="5"/>
      <c r="BB371" s="5"/>
      <c r="BC371" s="5"/>
      <c r="BD371" s="5"/>
      <c r="BE371" s="5"/>
      <c r="BF371" s="58"/>
      <c r="BG371" s="5"/>
    </row>
    <row r="372" spans="1:59" ht="15.75" hidden="1" customHeight="1" outlineLevel="1">
      <c r="A372" s="27" t="s">
        <v>50</v>
      </c>
      <c r="B372" s="27" t="s">
        <v>51</v>
      </c>
      <c r="C372" s="27">
        <v>6</v>
      </c>
      <c r="D372" s="55" t="s">
        <v>40</v>
      </c>
      <c r="E372" s="52"/>
      <c r="F372" s="53"/>
      <c r="G372" s="53"/>
      <c r="H372" s="53"/>
      <c r="I372" s="53"/>
      <c r="J372" s="53"/>
      <c r="K372" s="53"/>
      <c r="L372" s="53"/>
      <c r="M372" s="53"/>
      <c r="N372" s="54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48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48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48"/>
      <c r="AY372" s="5"/>
      <c r="AZ372" s="5"/>
      <c r="BA372" s="5"/>
      <c r="BB372" s="5"/>
      <c r="BC372" s="5"/>
      <c r="BD372" s="5"/>
      <c r="BE372" s="5"/>
      <c r="BF372" s="58"/>
      <c r="BG372" s="5"/>
    </row>
    <row r="373" spans="1:59" ht="15.75" hidden="1" customHeight="1" outlineLevel="1">
      <c r="A373" s="27"/>
      <c r="B373" s="27"/>
      <c r="C373" s="27"/>
      <c r="D373" s="55"/>
      <c r="E373" s="52"/>
      <c r="F373" s="53"/>
      <c r="G373" s="53"/>
      <c r="H373" s="53"/>
      <c r="I373" s="53"/>
      <c r="J373" s="53"/>
      <c r="K373" s="53"/>
      <c r="L373" s="53"/>
      <c r="M373" s="53"/>
      <c r="N373" s="54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48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48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48"/>
      <c r="AY373" s="5"/>
      <c r="AZ373" s="5"/>
      <c r="BA373" s="5"/>
      <c r="BB373" s="5"/>
      <c r="BC373" s="5"/>
      <c r="BD373" s="5"/>
      <c r="BE373" s="5"/>
      <c r="BF373" s="58"/>
      <c r="BG373" s="5"/>
    </row>
    <row r="374" spans="1:59" ht="15.75" hidden="1" customHeight="1" outlineLevel="1">
      <c r="A374" s="27" t="s">
        <v>50</v>
      </c>
      <c r="B374" s="27" t="s">
        <v>51</v>
      </c>
      <c r="C374" s="27">
        <v>7</v>
      </c>
      <c r="D374" s="51" t="s">
        <v>29</v>
      </c>
      <c r="E374" s="52"/>
      <c r="F374" s="53"/>
      <c r="G374" s="53"/>
      <c r="H374" s="53"/>
      <c r="I374" s="53"/>
      <c r="J374" s="53"/>
      <c r="K374" s="53"/>
      <c r="L374" s="53"/>
      <c r="M374" s="53"/>
      <c r="N374" s="54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48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48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48"/>
      <c r="AY374" s="5"/>
      <c r="AZ374" s="5"/>
      <c r="BA374" s="5"/>
      <c r="BB374" s="5"/>
      <c r="BC374" s="5"/>
      <c r="BD374" s="5"/>
      <c r="BE374" s="5"/>
      <c r="BF374" s="58"/>
      <c r="BG374" s="5"/>
    </row>
    <row r="375" spans="1:59" ht="15.75" hidden="1" customHeight="1" outlineLevel="1">
      <c r="A375" s="27" t="s">
        <v>50</v>
      </c>
      <c r="B375" s="27" t="s">
        <v>51</v>
      </c>
      <c r="C375" s="27">
        <v>7</v>
      </c>
      <c r="D375" s="55" t="s">
        <v>30</v>
      </c>
      <c r="E375" s="52"/>
      <c r="F375" s="53"/>
      <c r="G375" s="53"/>
      <c r="H375" s="53"/>
      <c r="I375" s="53"/>
      <c r="J375" s="53"/>
      <c r="K375" s="53"/>
      <c r="L375" s="53"/>
      <c r="M375" s="53"/>
      <c r="N375" s="54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48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48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48"/>
      <c r="AY375" s="5"/>
      <c r="AZ375" s="5"/>
      <c r="BA375" s="5"/>
      <c r="BB375" s="5"/>
      <c r="BC375" s="5"/>
      <c r="BD375" s="5"/>
      <c r="BE375" s="5"/>
      <c r="BF375" s="58"/>
      <c r="BG375" s="5"/>
    </row>
    <row r="376" spans="1:59" ht="15.75" hidden="1" customHeight="1" outlineLevel="1">
      <c r="A376" s="27" t="s">
        <v>50</v>
      </c>
      <c r="B376" s="27" t="s">
        <v>51</v>
      </c>
      <c r="C376" s="27">
        <v>7</v>
      </c>
      <c r="D376" s="51" t="s">
        <v>31</v>
      </c>
      <c r="E376" s="52"/>
      <c r="F376" s="53"/>
      <c r="G376" s="53"/>
      <c r="H376" s="53"/>
      <c r="I376" s="53"/>
      <c r="J376" s="53"/>
      <c r="K376" s="53"/>
      <c r="L376" s="53"/>
      <c r="M376" s="53"/>
      <c r="N376" s="54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48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48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48"/>
      <c r="AY376" s="5"/>
      <c r="AZ376" s="5"/>
      <c r="BA376" s="5"/>
      <c r="BB376" s="5"/>
      <c r="BC376" s="5"/>
      <c r="BD376" s="5"/>
      <c r="BE376" s="5"/>
      <c r="BF376" s="58"/>
      <c r="BG376" s="5"/>
    </row>
    <row r="377" spans="1:59" ht="15.75" hidden="1" customHeight="1" outlineLevel="1">
      <c r="A377" s="27" t="s">
        <v>50</v>
      </c>
      <c r="B377" s="27" t="s">
        <v>51</v>
      </c>
      <c r="C377" s="27">
        <v>7</v>
      </c>
      <c r="D377" s="55" t="s">
        <v>38</v>
      </c>
      <c r="E377" s="52"/>
      <c r="F377" s="53"/>
      <c r="G377" s="53"/>
      <c r="H377" s="53"/>
      <c r="I377" s="53"/>
      <c r="J377" s="53"/>
      <c r="K377" s="53"/>
      <c r="L377" s="53"/>
      <c r="M377" s="53"/>
      <c r="N377" s="54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48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48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48"/>
      <c r="AY377" s="5"/>
      <c r="AZ377" s="5"/>
      <c r="BA377" s="5"/>
      <c r="BB377" s="5"/>
      <c r="BC377" s="5"/>
      <c r="BD377" s="5"/>
      <c r="BE377" s="5"/>
      <c r="BF377" s="58"/>
      <c r="BG377" s="5"/>
    </row>
    <row r="378" spans="1:59" ht="15.75" hidden="1" customHeight="1" outlineLevel="1">
      <c r="A378" s="27" t="s">
        <v>50</v>
      </c>
      <c r="B378" s="27" t="s">
        <v>51</v>
      </c>
      <c r="C378" s="27">
        <v>7</v>
      </c>
      <c r="D378" s="55" t="s">
        <v>41</v>
      </c>
      <c r="E378" s="52"/>
      <c r="F378" s="53"/>
      <c r="G378" s="53"/>
      <c r="H378" s="53"/>
      <c r="I378" s="53"/>
      <c r="J378" s="53"/>
      <c r="K378" s="53"/>
      <c r="L378" s="53"/>
      <c r="M378" s="53"/>
      <c r="N378" s="54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48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48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48"/>
      <c r="AY378" s="5"/>
      <c r="AZ378" s="5"/>
      <c r="BA378" s="5"/>
      <c r="BB378" s="5"/>
      <c r="BC378" s="5"/>
      <c r="BD378" s="5"/>
      <c r="BE378" s="5"/>
      <c r="BF378" s="58"/>
      <c r="BG378" s="5"/>
    </row>
    <row r="379" spans="1:59" ht="15.75" hidden="1" customHeight="1" outlineLevel="1">
      <c r="A379" s="27"/>
      <c r="B379" s="27"/>
      <c r="C379" s="57"/>
      <c r="D379" s="55"/>
      <c r="E379" s="52"/>
      <c r="F379" s="53"/>
      <c r="G379" s="53"/>
      <c r="H379" s="53"/>
      <c r="I379" s="53"/>
      <c r="J379" s="53"/>
      <c r="K379" s="53"/>
      <c r="L379" s="53"/>
      <c r="M379" s="53"/>
      <c r="N379" s="54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48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48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48"/>
      <c r="AY379" s="5"/>
      <c r="AZ379" s="5"/>
      <c r="BA379" s="5"/>
      <c r="BB379" s="5"/>
      <c r="BC379" s="5"/>
      <c r="BD379" s="5"/>
      <c r="BE379" s="5"/>
      <c r="BF379" s="58"/>
      <c r="BG379" s="5"/>
    </row>
    <row r="380" spans="1:59" ht="15.75" customHeight="1" collapsed="1">
      <c r="A380" s="27"/>
      <c r="B380" s="27"/>
      <c r="C380" s="57"/>
      <c r="D380" s="55"/>
      <c r="E380" s="52"/>
      <c r="F380" s="53"/>
      <c r="G380" s="53"/>
      <c r="H380" s="53"/>
      <c r="I380" s="53"/>
      <c r="J380" s="53"/>
      <c r="K380" s="53"/>
      <c r="L380" s="53"/>
      <c r="M380" s="53"/>
      <c r="N380" s="54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48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48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48"/>
      <c r="AY380" s="5"/>
      <c r="AZ380" s="5"/>
      <c r="BA380" s="5"/>
      <c r="BB380" s="5"/>
      <c r="BC380" s="5"/>
      <c r="BD380" s="5"/>
      <c r="BE380" s="5"/>
      <c r="BF380" s="58"/>
      <c r="BG380" s="5"/>
    </row>
    <row r="381" spans="1:59" ht="15.75" customHeight="1">
      <c r="A381" s="27" t="s">
        <v>50</v>
      </c>
      <c r="B381" s="27" t="s">
        <v>51</v>
      </c>
      <c r="C381" s="60"/>
      <c r="D381" s="55" t="s">
        <v>42</v>
      </c>
      <c r="E381" s="49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48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6028</v>
      </c>
      <c r="Y381" s="5">
        <v>39191</v>
      </c>
      <c r="Z381" s="48">
        <v>81340</v>
      </c>
      <c r="AA381" s="5">
        <v>108943</v>
      </c>
      <c r="AB381" s="5">
        <v>114100</v>
      </c>
      <c r="AC381" s="5">
        <v>97432</v>
      </c>
      <c r="AD381" s="5">
        <v>59535</v>
      </c>
      <c r="AE381" s="5">
        <v>22476.687399999999</v>
      </c>
      <c r="AF381" s="5">
        <v>5962.0646800000004</v>
      </c>
      <c r="AG381" s="5">
        <v>1708.8702499999999</v>
      </c>
      <c r="AH381" s="5">
        <v>-265</v>
      </c>
      <c r="AI381" s="5">
        <v>-2164</v>
      </c>
      <c r="AJ381" s="5">
        <v>-6949</v>
      </c>
      <c r="AK381" s="5">
        <v>-37376</v>
      </c>
      <c r="AL381" s="48">
        <v>-61642</v>
      </c>
      <c r="AM381" s="5">
        <v>-106584</v>
      </c>
      <c r="AN381" s="5">
        <v>-107463</v>
      </c>
      <c r="AO381" s="5">
        <v>-92102</v>
      </c>
      <c r="AP381" s="5">
        <v>-44201</v>
      </c>
      <c r="AQ381" s="5">
        <v>-22508.84116</v>
      </c>
      <c r="AR381" s="5">
        <v>-5360.2732400000004</v>
      </c>
      <c r="AS381" s="5">
        <v>-1938.2808</v>
      </c>
      <c r="AT381" s="5">
        <v>-1941.106599845449</v>
      </c>
      <c r="AU381" s="5">
        <v>-10252.345336858178</v>
      </c>
      <c r="AV381" s="5">
        <v>-31871.95314329637</v>
      </c>
      <c r="AW381" s="5">
        <v>-63942.220719999998</v>
      </c>
      <c r="AX381" s="48">
        <v>-80296.817439999999</v>
      </c>
      <c r="AY381" s="5">
        <v>-122859.90695999999</v>
      </c>
      <c r="AZ381" s="5">
        <v>-143798.48895999999</v>
      </c>
      <c r="BA381" s="5">
        <v>-117105.26071999999</v>
      </c>
      <c r="BB381" s="5">
        <v>-77656.73272</v>
      </c>
      <c r="BC381" s="5">
        <v>-31926.68304</v>
      </c>
      <c r="BD381" s="5">
        <v>-7823.1557599999996</v>
      </c>
      <c r="BE381" s="5">
        <v>-1856.2179999999998</v>
      </c>
      <c r="BF381" s="58">
        <v>-1954.69911</v>
      </c>
      <c r="BG381" s="58">
        <v>-3800.19346</v>
      </c>
    </row>
    <row r="382" spans="1:59" ht="15.75" customHeight="1">
      <c r="A382" s="27" t="s">
        <v>50</v>
      </c>
      <c r="B382" s="27" t="s">
        <v>51</v>
      </c>
      <c r="C382" s="60"/>
      <c r="D382" s="55" t="s">
        <v>43</v>
      </c>
      <c r="E382" s="49">
        <v>0</v>
      </c>
      <c r="F382" s="5">
        <f>(E383+F342+F348+F354+F360+F366+F372+F378+F381/2)*F$399</f>
        <v>0</v>
      </c>
      <c r="G382" s="5">
        <f t="shared" ref="G382:BG382" si="181">(F383+G342+G348+G354+G360+G366+G372+G378+G381/2)*G$399</f>
        <v>0</v>
      </c>
      <c r="H382" s="5">
        <f t="shared" si="181"/>
        <v>0</v>
      </c>
      <c r="I382" s="5">
        <f t="shared" si="181"/>
        <v>0</v>
      </c>
      <c r="J382" s="5">
        <f t="shared" si="181"/>
        <v>0</v>
      </c>
      <c r="K382" s="5">
        <f t="shared" si="181"/>
        <v>0</v>
      </c>
      <c r="L382" s="5">
        <f t="shared" si="181"/>
        <v>0</v>
      </c>
      <c r="M382" s="5">
        <f t="shared" si="181"/>
        <v>0</v>
      </c>
      <c r="N382" s="48">
        <f t="shared" si="181"/>
        <v>0</v>
      </c>
      <c r="O382" s="5">
        <f t="shared" si="181"/>
        <v>-1766.9876571025732</v>
      </c>
      <c r="P382" s="5">
        <f t="shared" si="181"/>
        <v>-1772.9954151367219</v>
      </c>
      <c r="Q382" s="5">
        <f t="shared" si="181"/>
        <v>-1726.6993760320638</v>
      </c>
      <c r="R382" s="5">
        <f t="shared" si="181"/>
        <v>-1889.8881643341488</v>
      </c>
      <c r="S382" s="5">
        <f t="shared" si="181"/>
        <v>-1844.0058794555921</v>
      </c>
      <c r="T382" s="5">
        <f t="shared" si="181"/>
        <v>-1903.3301828917918</v>
      </c>
      <c r="U382" s="5">
        <f t="shared" si="181"/>
        <v>-1910.1821715502024</v>
      </c>
      <c r="V382" s="5">
        <f t="shared" si="181"/>
        <v>-1757.3039250871345</v>
      </c>
      <c r="W382" s="5">
        <f t="shared" si="181"/>
        <v>-1923.3851214980966</v>
      </c>
      <c r="X382" s="5">
        <f t="shared" si="181"/>
        <v>-1972.7772109336981</v>
      </c>
      <c r="Y382" s="5">
        <f t="shared" si="181"/>
        <v>-1947.6759673334543</v>
      </c>
      <c r="Z382" s="48">
        <f t="shared" si="181"/>
        <v>-1680.6453876932867</v>
      </c>
      <c r="AA382" s="5">
        <f t="shared" si="181"/>
        <v>-1443.0705141921642</v>
      </c>
      <c r="AB382" s="5">
        <f t="shared" si="181"/>
        <v>-1002.7567962489328</v>
      </c>
      <c r="AC382" s="5">
        <f t="shared" si="181"/>
        <v>-569.11122784808026</v>
      </c>
      <c r="AD382" s="5">
        <f t="shared" si="181"/>
        <v>-285.6485817625869</v>
      </c>
      <c r="AE382" s="5">
        <f t="shared" si="181"/>
        <v>-111.89462506918053</v>
      </c>
      <c r="AF382" s="5">
        <f t="shared" si="181"/>
        <v>-55.372340323280362</v>
      </c>
      <c r="AG382" s="5">
        <f t="shared" si="181"/>
        <v>-41.376699885335199</v>
      </c>
      <c r="AH382" s="5">
        <f t="shared" si="181"/>
        <v>2013.8982855613378</v>
      </c>
      <c r="AI382" s="5">
        <f t="shared" si="181"/>
        <v>2218.8054665739419</v>
      </c>
      <c r="AJ382" s="5">
        <f t="shared" si="181"/>
        <v>2258.7132381411138</v>
      </c>
      <c r="AK382" s="5">
        <f t="shared" si="181"/>
        <v>2217.3494465508097</v>
      </c>
      <c r="AL382" s="48">
        <f t="shared" si="181"/>
        <v>1956.3337702222273</v>
      </c>
      <c r="AM382" s="5">
        <f t="shared" si="181"/>
        <v>1657.1456065077041</v>
      </c>
      <c r="AN382" s="5">
        <f t="shared" si="181"/>
        <v>1161.9237408582906</v>
      </c>
      <c r="AO382" s="5">
        <f t="shared" si="181"/>
        <v>668.68758425137446</v>
      </c>
      <c r="AP382" s="5">
        <f t="shared" si="181"/>
        <v>373.12637123340573</v>
      </c>
      <c r="AQ382" s="5">
        <f t="shared" si="181"/>
        <v>216.59685444105594</v>
      </c>
      <c r="AR382" s="5">
        <f t="shared" si="181"/>
        <v>158.30750028350829</v>
      </c>
      <c r="AS382" s="5">
        <f t="shared" si="181"/>
        <v>129.87955871082872</v>
      </c>
      <c r="AT382" s="5">
        <f t="shared" si="181"/>
        <v>2453.269113555019</v>
      </c>
      <c r="AU382" s="5">
        <f t="shared" si="181"/>
        <v>2626.6796034998738</v>
      </c>
      <c r="AV382" s="5">
        <f t="shared" si="181"/>
        <v>2367.1613002386594</v>
      </c>
      <c r="AW382" s="5">
        <f t="shared" si="181"/>
        <v>2245.6980413088841</v>
      </c>
      <c r="AX382" s="48">
        <f t="shared" si="181"/>
        <v>1917.0476882252667</v>
      </c>
      <c r="AY382" s="5">
        <f t="shared" si="181"/>
        <v>1136.4791868525901</v>
      </c>
      <c r="AZ382" s="5">
        <f t="shared" si="181"/>
        <v>753.12030241046273</v>
      </c>
      <c r="BA382" s="5">
        <f t="shared" si="181"/>
        <v>363.99412410485132</v>
      </c>
      <c r="BB382" s="5">
        <f t="shared" si="181"/>
        <v>92.346516836344918</v>
      </c>
      <c r="BC382" s="5">
        <f t="shared" si="181"/>
        <v>-58.63984873120927</v>
      </c>
      <c r="BD382" s="5">
        <f t="shared" si="181"/>
        <v>-116.62566087696069</v>
      </c>
      <c r="BE382" s="5">
        <f t="shared" si="181"/>
        <v>-130.50333599141618</v>
      </c>
      <c r="BF382" s="58">
        <f t="shared" si="181"/>
        <v>1287.2268742400252</v>
      </c>
      <c r="BG382" s="5">
        <f t="shared" si="181"/>
        <v>1437.2414847987002</v>
      </c>
    </row>
    <row r="383" spans="1:59" ht="15.75" customHeight="1">
      <c r="A383" s="38" t="s">
        <v>50</v>
      </c>
      <c r="B383" s="38" t="s">
        <v>51</v>
      </c>
      <c r="C383" s="61"/>
      <c r="D383" s="62" t="s">
        <v>44</v>
      </c>
      <c r="E383" s="63">
        <v>0</v>
      </c>
      <c r="F383" s="56">
        <f>E383+F342+F348+F354+F360+F366+F381+F382+F372+F378</f>
        <v>0</v>
      </c>
      <c r="G383" s="56">
        <f t="shared" ref="G383:BG383" si="182">F383+G342+G348+G354+G360+G366+G381+G382+G372+G378</f>
        <v>0</v>
      </c>
      <c r="H383" s="56">
        <f t="shared" si="182"/>
        <v>0</v>
      </c>
      <c r="I383" s="56">
        <f t="shared" si="182"/>
        <v>0</v>
      </c>
      <c r="J383" s="56">
        <f t="shared" si="182"/>
        <v>0</v>
      </c>
      <c r="K383" s="56">
        <f t="shared" si="182"/>
        <v>0</v>
      </c>
      <c r="L383" s="56">
        <f t="shared" si="182"/>
        <v>0</v>
      </c>
      <c r="M383" s="56">
        <f t="shared" si="182"/>
        <v>0</v>
      </c>
      <c r="N383" s="64">
        <f t="shared" si="182"/>
        <v>0</v>
      </c>
      <c r="O383" s="56">
        <f t="shared" si="182"/>
        <v>-521469.23974609474</v>
      </c>
      <c r="P383" s="56">
        <f t="shared" si="182"/>
        <v>-523242.23516123148</v>
      </c>
      <c r="Q383" s="56">
        <f t="shared" si="182"/>
        <v>-524968.93453726359</v>
      </c>
      <c r="R383" s="56">
        <f t="shared" si="182"/>
        <v>-526858.8227015977</v>
      </c>
      <c r="S383" s="56">
        <f t="shared" si="182"/>
        <v>-528702.8285810533</v>
      </c>
      <c r="T383" s="56">
        <f t="shared" si="182"/>
        <v>-530606.1587639451</v>
      </c>
      <c r="U383" s="56">
        <f t="shared" si="182"/>
        <v>-532516.34093549533</v>
      </c>
      <c r="V383" s="56">
        <f t="shared" si="182"/>
        <v>-534273.64486058243</v>
      </c>
      <c r="W383" s="56">
        <f t="shared" si="182"/>
        <v>-536197.02998208057</v>
      </c>
      <c r="X383" s="56">
        <f t="shared" si="182"/>
        <v>-532141.80719301431</v>
      </c>
      <c r="Y383" s="56">
        <f t="shared" si="182"/>
        <v>-494898.48316034774</v>
      </c>
      <c r="Z383" s="64">
        <f t="shared" si="182"/>
        <v>-415239.12854804104</v>
      </c>
      <c r="AA383" s="56">
        <f t="shared" si="182"/>
        <v>-307739.19906223321</v>
      </c>
      <c r="AB383" s="56">
        <f t="shared" si="182"/>
        <v>-194641.95585848214</v>
      </c>
      <c r="AC383" s="56">
        <f t="shared" si="182"/>
        <v>-97779.067086330222</v>
      </c>
      <c r="AD383" s="56">
        <f t="shared" si="182"/>
        <v>-38529.715668092809</v>
      </c>
      <c r="AE383" s="56">
        <f t="shared" si="182"/>
        <v>-16164.922893161991</v>
      </c>
      <c r="AF383" s="56">
        <f t="shared" si="182"/>
        <v>-10258.230553485271</v>
      </c>
      <c r="AG383" s="56">
        <f t="shared" si="182"/>
        <v>-8590.7370033706065</v>
      </c>
      <c r="AH383" s="56">
        <f t="shared" si="182"/>
        <v>505355.96967589582</v>
      </c>
      <c r="AI383" s="56">
        <f t="shared" si="182"/>
        <v>505410.77514246973</v>
      </c>
      <c r="AJ383" s="56">
        <f t="shared" si="182"/>
        <v>500720.48838061083</v>
      </c>
      <c r="AK383" s="56">
        <f t="shared" si="182"/>
        <v>465561.83782716165</v>
      </c>
      <c r="AL383" s="64">
        <f t="shared" si="182"/>
        <v>405876.17159738386</v>
      </c>
      <c r="AM383" s="56">
        <f t="shared" si="182"/>
        <v>300949.31720389158</v>
      </c>
      <c r="AN383" s="56">
        <f t="shared" si="182"/>
        <v>194648.24094474988</v>
      </c>
      <c r="AO383" s="56">
        <f t="shared" si="182"/>
        <v>103214.92852900125</v>
      </c>
      <c r="AP383" s="56">
        <f t="shared" si="182"/>
        <v>59387.054900234652</v>
      </c>
      <c r="AQ383" s="56">
        <f t="shared" si="182"/>
        <v>37094.810594675713</v>
      </c>
      <c r="AR383" s="56">
        <f t="shared" si="182"/>
        <v>31892.844854959218</v>
      </c>
      <c r="AS383" s="56">
        <f t="shared" si="182"/>
        <v>30084.443613670046</v>
      </c>
      <c r="AT383" s="56">
        <f t="shared" si="182"/>
        <v>630526.07826363714</v>
      </c>
      <c r="AU383" s="56">
        <f t="shared" si="182"/>
        <v>622900.41253027879</v>
      </c>
      <c r="AV383" s="56">
        <f t="shared" si="182"/>
        <v>593395.62068722106</v>
      </c>
      <c r="AW383" s="56">
        <f t="shared" si="182"/>
        <v>531699.09800852998</v>
      </c>
      <c r="AX383" s="64">
        <f t="shared" si="182"/>
        <v>453319.32825675525</v>
      </c>
      <c r="AY383" s="56">
        <f t="shared" si="182"/>
        <v>331595.90048360784</v>
      </c>
      <c r="AZ383" s="56">
        <f t="shared" si="182"/>
        <v>188550.53182601833</v>
      </c>
      <c r="BA383" s="56">
        <f t="shared" si="182"/>
        <v>71809.265230123186</v>
      </c>
      <c r="BB383" s="56">
        <f t="shared" si="182"/>
        <v>-5755.1209730404689</v>
      </c>
      <c r="BC383" s="56">
        <f t="shared" si="182"/>
        <v>-37740.443861771681</v>
      </c>
      <c r="BD383" s="56">
        <f t="shared" si="182"/>
        <v>-45680.225282648644</v>
      </c>
      <c r="BE383" s="56">
        <f t="shared" si="182"/>
        <v>-47666.94661864006</v>
      </c>
      <c r="BF383" s="59">
        <f t="shared" si="182"/>
        <v>515200.62701525009</v>
      </c>
      <c r="BG383" s="56">
        <f t="shared" si="182"/>
        <v>512837.67504004884</v>
      </c>
    </row>
    <row r="384" spans="1:59" ht="15.75" customHeight="1">
      <c r="A384" s="27"/>
      <c r="B384" s="27"/>
      <c r="C384" s="60"/>
      <c r="D384" s="55"/>
      <c r="E384" s="52"/>
      <c r="F384" s="53"/>
      <c r="G384" s="53"/>
      <c r="H384" s="53"/>
      <c r="I384" s="53"/>
      <c r="J384" s="53"/>
      <c r="K384" s="53"/>
      <c r="L384" s="53"/>
      <c r="M384" s="53"/>
      <c r="N384" s="54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48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48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48"/>
      <c r="AY384" s="5"/>
      <c r="AZ384" s="5"/>
      <c r="BA384" s="5"/>
      <c r="BB384" s="5"/>
      <c r="BC384" s="5"/>
      <c r="BD384" s="5"/>
      <c r="BE384" s="5"/>
      <c r="BF384" s="58"/>
      <c r="BG384" s="5"/>
    </row>
    <row r="385" spans="1:59" ht="15.75" hidden="1" customHeight="1" outlineLevel="1">
      <c r="A385" s="27" t="s">
        <v>52</v>
      </c>
      <c r="B385" s="27" t="s">
        <v>52</v>
      </c>
      <c r="C385" s="27">
        <v>1</v>
      </c>
      <c r="D385" s="51" t="s">
        <v>31</v>
      </c>
      <c r="E385" s="52">
        <f t="shared" ref="E385:BG385" si="183">E11+E152+E293+E340</f>
        <v>-51637.846580869998</v>
      </c>
      <c r="F385" s="53">
        <f t="shared" si="183"/>
        <v>-1055434.5972079923</v>
      </c>
      <c r="G385" s="53">
        <f t="shared" si="183"/>
        <v>-1769933.7491881135</v>
      </c>
      <c r="H385" s="53">
        <f t="shared" si="183"/>
        <v>-4329718.0588467624</v>
      </c>
      <c r="I385" s="53">
        <f t="shared" si="183"/>
        <v>-1826020.9600286635</v>
      </c>
      <c r="J385" s="53">
        <f t="shared" si="183"/>
        <v>-199270.42845633673</v>
      </c>
      <c r="K385" s="53">
        <f t="shared" si="183"/>
        <v>268756.95544840745</v>
      </c>
      <c r="L385" s="53">
        <f t="shared" si="183"/>
        <v>-540763.67567401007</v>
      </c>
      <c r="M385" s="53">
        <f t="shared" si="183"/>
        <v>-566981.01617597323</v>
      </c>
      <c r="N385" s="54">
        <f t="shared" si="183"/>
        <v>639553.90713790769</v>
      </c>
      <c r="O385" s="53">
        <f t="shared" si="183"/>
        <v>639553.90713790769</v>
      </c>
      <c r="P385" s="53">
        <f t="shared" si="183"/>
        <v>0</v>
      </c>
      <c r="Q385" s="53">
        <f t="shared" si="183"/>
        <v>0</v>
      </c>
      <c r="R385" s="53">
        <f t="shared" si="183"/>
        <v>0</v>
      </c>
      <c r="S385" s="53">
        <f t="shared" si="183"/>
        <v>0</v>
      </c>
      <c r="T385" s="53">
        <f t="shared" si="183"/>
        <v>0</v>
      </c>
      <c r="U385" s="53">
        <f t="shared" si="183"/>
        <v>0</v>
      </c>
      <c r="V385" s="53">
        <f t="shared" si="183"/>
        <v>0</v>
      </c>
      <c r="W385" s="53">
        <f t="shared" si="183"/>
        <v>0</v>
      </c>
      <c r="X385" s="53">
        <f t="shared" si="183"/>
        <v>0</v>
      </c>
      <c r="Y385" s="53">
        <f t="shared" si="183"/>
        <v>0</v>
      </c>
      <c r="Z385" s="54">
        <f t="shared" si="183"/>
        <v>0</v>
      </c>
      <c r="AA385" s="53">
        <f t="shared" si="183"/>
        <v>0</v>
      </c>
      <c r="AB385" s="53">
        <f t="shared" si="183"/>
        <v>0</v>
      </c>
      <c r="AC385" s="53">
        <f t="shared" si="183"/>
        <v>0</v>
      </c>
      <c r="AD385" s="53">
        <f t="shared" si="183"/>
        <v>0</v>
      </c>
      <c r="AE385" s="53">
        <f t="shared" si="183"/>
        <v>0</v>
      </c>
      <c r="AF385" s="53">
        <f t="shared" si="183"/>
        <v>0</v>
      </c>
      <c r="AG385" s="53">
        <f t="shared" si="183"/>
        <v>0</v>
      </c>
      <c r="AH385" s="53">
        <f t="shared" si="183"/>
        <v>0</v>
      </c>
      <c r="AI385" s="53">
        <f t="shared" si="183"/>
        <v>0</v>
      </c>
      <c r="AJ385" s="53">
        <f t="shared" si="183"/>
        <v>0</v>
      </c>
      <c r="AK385" s="53">
        <f t="shared" si="183"/>
        <v>0</v>
      </c>
      <c r="AL385" s="54">
        <f t="shared" si="183"/>
        <v>0</v>
      </c>
      <c r="AM385" s="53">
        <f t="shared" si="183"/>
        <v>0</v>
      </c>
      <c r="AN385" s="53">
        <f t="shared" si="183"/>
        <v>0</v>
      </c>
      <c r="AO385" s="53">
        <f t="shared" si="183"/>
        <v>0</v>
      </c>
      <c r="AP385" s="53">
        <f t="shared" si="183"/>
        <v>0</v>
      </c>
      <c r="AQ385" s="53">
        <f t="shared" si="183"/>
        <v>0</v>
      </c>
      <c r="AR385" s="53">
        <f t="shared" si="183"/>
        <v>0</v>
      </c>
      <c r="AS385" s="53">
        <f t="shared" si="183"/>
        <v>0</v>
      </c>
      <c r="AT385" s="53">
        <f t="shared" si="183"/>
        <v>0</v>
      </c>
      <c r="AU385" s="53">
        <f t="shared" si="183"/>
        <v>0</v>
      </c>
      <c r="AV385" s="53">
        <f t="shared" si="183"/>
        <v>0</v>
      </c>
      <c r="AW385" s="53">
        <f t="shared" si="183"/>
        <v>0</v>
      </c>
      <c r="AX385" s="54">
        <f t="shared" si="183"/>
        <v>0</v>
      </c>
      <c r="AY385" s="53">
        <f t="shared" si="183"/>
        <v>0</v>
      </c>
      <c r="AZ385" s="53">
        <f t="shared" si="183"/>
        <v>0</v>
      </c>
      <c r="BA385" s="53">
        <f t="shared" si="183"/>
        <v>0</v>
      </c>
      <c r="BB385" s="53">
        <f t="shared" si="183"/>
        <v>0</v>
      </c>
      <c r="BC385" s="53">
        <f t="shared" si="183"/>
        <v>0</v>
      </c>
      <c r="BD385" s="53">
        <f t="shared" si="183"/>
        <v>0</v>
      </c>
      <c r="BE385" s="53">
        <f t="shared" si="183"/>
        <v>0</v>
      </c>
      <c r="BF385" s="65">
        <f t="shared" si="183"/>
        <v>0</v>
      </c>
      <c r="BG385" s="53">
        <f t="shared" si="183"/>
        <v>0</v>
      </c>
    </row>
    <row r="386" spans="1:59" ht="15.75" hidden="1" customHeight="1" outlineLevel="1">
      <c r="A386" s="27" t="s">
        <v>52</v>
      </c>
      <c r="B386" s="27" t="s">
        <v>52</v>
      </c>
      <c r="C386" s="27">
        <v>2</v>
      </c>
      <c r="D386" s="51" t="s">
        <v>31</v>
      </c>
      <c r="E386" s="49">
        <f t="shared" ref="E386:BG386" si="184">E17+E158+E299+E346</f>
        <v>0</v>
      </c>
      <c r="F386" s="5">
        <f t="shared" si="184"/>
        <v>0</v>
      </c>
      <c r="G386" s="5">
        <f t="shared" si="184"/>
        <v>0</v>
      </c>
      <c r="H386" s="5">
        <f t="shared" si="184"/>
        <v>0</v>
      </c>
      <c r="I386" s="5">
        <f t="shared" si="184"/>
        <v>0</v>
      </c>
      <c r="J386" s="5">
        <f t="shared" si="184"/>
        <v>0</v>
      </c>
      <c r="K386" s="5">
        <f t="shared" si="184"/>
        <v>0</v>
      </c>
      <c r="L386" s="5">
        <f t="shared" si="184"/>
        <v>0</v>
      </c>
      <c r="M386" s="5">
        <f t="shared" si="184"/>
        <v>0</v>
      </c>
      <c r="N386" s="48">
        <f t="shared" si="184"/>
        <v>0</v>
      </c>
      <c r="O386" s="5">
        <f t="shared" si="184"/>
        <v>1734552.2443850674</v>
      </c>
      <c r="P386" s="5">
        <f t="shared" si="184"/>
        <v>2650694.2630417491</v>
      </c>
      <c r="Q386" s="5">
        <f t="shared" si="184"/>
        <v>2899935.1515365778</v>
      </c>
      <c r="R386" s="5">
        <f t="shared" si="184"/>
        <v>1530470.5791831957</v>
      </c>
      <c r="S386" s="5">
        <f t="shared" si="184"/>
        <v>1987897.3386385399</v>
      </c>
      <c r="T386" s="5">
        <f t="shared" si="184"/>
        <v>-539108.61488132912</v>
      </c>
      <c r="U386" s="5">
        <f t="shared" si="184"/>
        <v>-1279843.7088941669</v>
      </c>
      <c r="V386" s="5">
        <f t="shared" si="184"/>
        <v>-3282451.8167228741</v>
      </c>
      <c r="W386" s="5">
        <f t="shared" si="184"/>
        <v>-3440594.5434888504</v>
      </c>
      <c r="X386" s="5">
        <f t="shared" si="184"/>
        <v>-4214454.8438439509</v>
      </c>
      <c r="Y386" s="5">
        <f t="shared" si="184"/>
        <v>-3703521.9245658792</v>
      </c>
      <c r="Z386" s="48">
        <f t="shared" si="184"/>
        <v>-1969204.6597172234</v>
      </c>
      <c r="AA386" s="5">
        <f t="shared" si="184"/>
        <v>-1977081.4783560922</v>
      </c>
      <c r="AB386" s="5">
        <f t="shared" si="184"/>
        <v>-1984989.8042695166</v>
      </c>
      <c r="AC386" s="5">
        <f t="shared" si="184"/>
        <v>-1992731.2645061677</v>
      </c>
      <c r="AD386" s="5">
        <f t="shared" si="184"/>
        <v>-2001100.7358170939</v>
      </c>
      <c r="AE386" s="5">
        <f t="shared" si="184"/>
        <v>-2009305.2488339436</v>
      </c>
      <c r="AF386" s="5">
        <f t="shared" si="184"/>
        <v>-2017744.3308790461</v>
      </c>
      <c r="AG386" s="5">
        <f t="shared" si="184"/>
        <v>-2026622.405934914</v>
      </c>
      <c r="AH386" s="5">
        <f t="shared" si="184"/>
        <v>-2026622.405934914</v>
      </c>
      <c r="AI386" s="5">
        <f t="shared" si="184"/>
        <v>0</v>
      </c>
      <c r="AJ386" s="5">
        <f t="shared" si="184"/>
        <v>0</v>
      </c>
      <c r="AK386" s="5">
        <f t="shared" si="184"/>
        <v>0</v>
      </c>
      <c r="AL386" s="48">
        <f t="shared" si="184"/>
        <v>0</v>
      </c>
      <c r="AM386" s="5">
        <f t="shared" si="184"/>
        <v>0</v>
      </c>
      <c r="AN386" s="5">
        <f t="shared" si="184"/>
        <v>0</v>
      </c>
      <c r="AO386" s="5">
        <f t="shared" si="184"/>
        <v>0</v>
      </c>
      <c r="AP386" s="5">
        <f t="shared" si="184"/>
        <v>0</v>
      </c>
      <c r="AQ386" s="5">
        <f t="shared" si="184"/>
        <v>0</v>
      </c>
      <c r="AR386" s="5">
        <f t="shared" si="184"/>
        <v>0</v>
      </c>
      <c r="AS386" s="5">
        <f t="shared" si="184"/>
        <v>0</v>
      </c>
      <c r="AT386" s="5">
        <f t="shared" si="184"/>
        <v>0</v>
      </c>
      <c r="AU386" s="5">
        <f t="shared" si="184"/>
        <v>0</v>
      </c>
      <c r="AV386" s="5">
        <f t="shared" si="184"/>
        <v>0</v>
      </c>
      <c r="AW386" s="5">
        <f t="shared" si="184"/>
        <v>0</v>
      </c>
      <c r="AX386" s="48">
        <f t="shared" si="184"/>
        <v>0</v>
      </c>
      <c r="AY386" s="5">
        <f t="shared" si="184"/>
        <v>0</v>
      </c>
      <c r="AZ386" s="5">
        <f t="shared" si="184"/>
        <v>0</v>
      </c>
      <c r="BA386" s="5">
        <f t="shared" si="184"/>
        <v>0</v>
      </c>
      <c r="BB386" s="5">
        <f t="shared" si="184"/>
        <v>0</v>
      </c>
      <c r="BC386" s="5">
        <f t="shared" si="184"/>
        <v>0</v>
      </c>
      <c r="BD386" s="5">
        <f t="shared" si="184"/>
        <v>0</v>
      </c>
      <c r="BE386" s="5">
        <f t="shared" si="184"/>
        <v>0</v>
      </c>
      <c r="BF386" s="58">
        <f t="shared" si="184"/>
        <v>0</v>
      </c>
      <c r="BG386" s="5">
        <f t="shared" si="184"/>
        <v>0</v>
      </c>
    </row>
    <row r="387" spans="1:59" ht="15.75" hidden="1" customHeight="1" outlineLevel="1">
      <c r="A387" s="27" t="s">
        <v>52</v>
      </c>
      <c r="B387" s="27" t="s">
        <v>52</v>
      </c>
      <c r="C387" s="27">
        <v>3</v>
      </c>
      <c r="D387" s="51" t="s">
        <v>31</v>
      </c>
      <c r="E387" s="49">
        <f t="shared" ref="E387:BG387" si="185">E23+E164+E305+E352</f>
        <v>0</v>
      </c>
      <c r="F387" s="5">
        <f t="shared" si="185"/>
        <v>0</v>
      </c>
      <c r="G387" s="5">
        <f t="shared" si="185"/>
        <v>0</v>
      </c>
      <c r="H387" s="5">
        <f t="shared" si="185"/>
        <v>0</v>
      </c>
      <c r="I387" s="5">
        <f t="shared" si="185"/>
        <v>0</v>
      </c>
      <c r="J387" s="5">
        <f t="shared" si="185"/>
        <v>0</v>
      </c>
      <c r="K387" s="5">
        <f t="shared" si="185"/>
        <v>0</v>
      </c>
      <c r="L387" s="5">
        <f t="shared" si="185"/>
        <v>0</v>
      </c>
      <c r="M387" s="5">
        <f t="shared" si="185"/>
        <v>0</v>
      </c>
      <c r="N387" s="48">
        <f t="shared" si="185"/>
        <v>0</v>
      </c>
      <c r="O387" s="5">
        <f t="shared" si="185"/>
        <v>0</v>
      </c>
      <c r="P387" s="5">
        <f t="shared" si="185"/>
        <v>0</v>
      </c>
      <c r="Q387" s="5">
        <f t="shared" si="185"/>
        <v>0</v>
      </c>
      <c r="R387" s="5">
        <f t="shared" si="185"/>
        <v>0</v>
      </c>
      <c r="S387" s="5">
        <f t="shared" si="185"/>
        <v>0</v>
      </c>
      <c r="T387" s="5">
        <f t="shared" si="185"/>
        <v>0</v>
      </c>
      <c r="U387" s="5">
        <f t="shared" si="185"/>
        <v>0</v>
      </c>
      <c r="V387" s="5">
        <f t="shared" si="185"/>
        <v>0</v>
      </c>
      <c r="W387" s="5">
        <f t="shared" si="185"/>
        <v>0</v>
      </c>
      <c r="X387" s="5">
        <f t="shared" si="185"/>
        <v>0</v>
      </c>
      <c r="Y387" s="5">
        <f t="shared" si="185"/>
        <v>0</v>
      </c>
      <c r="Z387" s="48">
        <f t="shared" si="185"/>
        <v>0</v>
      </c>
      <c r="AA387" s="5">
        <f t="shared" si="185"/>
        <v>1688819.1198487999</v>
      </c>
      <c r="AB387" s="5">
        <f t="shared" si="185"/>
        <v>2695591.3556883461</v>
      </c>
      <c r="AC387" s="5">
        <f t="shared" si="185"/>
        <v>2323636.4408879336</v>
      </c>
      <c r="AD387" s="5">
        <f t="shared" si="185"/>
        <v>1002636.3907346292</v>
      </c>
      <c r="AE387" s="5">
        <f t="shared" si="185"/>
        <v>1067802.1512456778</v>
      </c>
      <c r="AF387" s="5">
        <f t="shared" si="185"/>
        <v>-1119171.3411527355</v>
      </c>
      <c r="AG387" s="5">
        <f t="shared" si="185"/>
        <v>-3060449.4008612912</v>
      </c>
      <c r="AH387" s="5">
        <f t="shared" si="185"/>
        <v>-2633591.019775846</v>
      </c>
      <c r="AI387" s="5">
        <f t="shared" si="185"/>
        <v>-72420.114436232601</v>
      </c>
      <c r="AJ387" s="5">
        <f t="shared" si="185"/>
        <v>-436677.38265008846</v>
      </c>
      <c r="AK387" s="5">
        <f t="shared" si="185"/>
        <v>-719516.85025132878</v>
      </c>
      <c r="AL387" s="48">
        <f t="shared" si="185"/>
        <v>455861.6811071008</v>
      </c>
      <c r="AM387" s="5">
        <f t="shared" si="185"/>
        <v>458004.23100830422</v>
      </c>
      <c r="AN387" s="5">
        <f t="shared" si="185"/>
        <v>460156.85089404328</v>
      </c>
      <c r="AO387" s="5">
        <f t="shared" si="185"/>
        <v>462227.55672306649</v>
      </c>
      <c r="AP387" s="5">
        <f t="shared" si="185"/>
        <v>464353.80348399258</v>
      </c>
      <c r="AQ387" s="5">
        <f t="shared" si="185"/>
        <v>466443.39559967048</v>
      </c>
      <c r="AR387" s="5">
        <f t="shared" si="185"/>
        <v>468589.03521942906</v>
      </c>
      <c r="AS387" s="5">
        <f t="shared" si="185"/>
        <v>470557.10916735057</v>
      </c>
      <c r="AT387" s="5">
        <f t="shared" si="185"/>
        <v>470557.10916735057</v>
      </c>
      <c r="AU387" s="5">
        <f t="shared" si="185"/>
        <v>0</v>
      </c>
      <c r="AV387" s="5">
        <f t="shared" si="185"/>
        <v>0</v>
      </c>
      <c r="AW387" s="5">
        <f t="shared" si="185"/>
        <v>0</v>
      </c>
      <c r="AX387" s="48">
        <f t="shared" si="185"/>
        <v>0</v>
      </c>
      <c r="AY387" s="5">
        <f t="shared" si="185"/>
        <v>0</v>
      </c>
      <c r="AZ387" s="5">
        <f t="shared" si="185"/>
        <v>0</v>
      </c>
      <c r="BA387" s="5">
        <f t="shared" si="185"/>
        <v>0</v>
      </c>
      <c r="BB387" s="5">
        <f t="shared" si="185"/>
        <v>0</v>
      </c>
      <c r="BC387" s="5">
        <f t="shared" si="185"/>
        <v>0</v>
      </c>
      <c r="BD387" s="5">
        <f t="shared" si="185"/>
        <v>0</v>
      </c>
      <c r="BE387" s="5">
        <f t="shared" si="185"/>
        <v>0</v>
      </c>
      <c r="BF387" s="58">
        <f t="shared" si="185"/>
        <v>0</v>
      </c>
      <c r="BG387" s="5">
        <f t="shared" si="185"/>
        <v>0</v>
      </c>
    </row>
    <row r="388" spans="1:59" ht="15.75" hidden="1" customHeight="1" outlineLevel="1">
      <c r="A388" s="27" t="s">
        <v>52</v>
      </c>
      <c r="B388" s="27" t="s">
        <v>52</v>
      </c>
      <c r="C388" s="27">
        <v>4</v>
      </c>
      <c r="D388" s="51" t="s">
        <v>31</v>
      </c>
      <c r="E388" s="49">
        <f t="shared" ref="E388:BG388" si="186">E29+E170+E311+E358</f>
        <v>0</v>
      </c>
      <c r="F388" s="5">
        <f t="shared" si="186"/>
        <v>0</v>
      </c>
      <c r="G388" s="5">
        <f t="shared" si="186"/>
        <v>0</v>
      </c>
      <c r="H388" s="5">
        <f t="shared" si="186"/>
        <v>0</v>
      </c>
      <c r="I388" s="5">
        <f t="shared" si="186"/>
        <v>0</v>
      </c>
      <c r="J388" s="5">
        <f t="shared" si="186"/>
        <v>0</v>
      </c>
      <c r="K388" s="5">
        <f t="shared" si="186"/>
        <v>0</v>
      </c>
      <c r="L388" s="5">
        <f t="shared" si="186"/>
        <v>0</v>
      </c>
      <c r="M388" s="5">
        <f t="shared" si="186"/>
        <v>0</v>
      </c>
      <c r="N388" s="48">
        <f t="shared" si="186"/>
        <v>0</v>
      </c>
      <c r="O388" s="5">
        <f t="shared" si="186"/>
        <v>0</v>
      </c>
      <c r="P388" s="5">
        <f t="shared" si="186"/>
        <v>0</v>
      </c>
      <c r="Q388" s="5">
        <f t="shared" si="186"/>
        <v>0</v>
      </c>
      <c r="R388" s="5">
        <f t="shared" si="186"/>
        <v>0</v>
      </c>
      <c r="S388" s="5">
        <f t="shared" si="186"/>
        <v>0</v>
      </c>
      <c r="T388" s="5">
        <f t="shared" si="186"/>
        <v>0</v>
      </c>
      <c r="U388" s="5">
        <f t="shared" si="186"/>
        <v>0</v>
      </c>
      <c r="V388" s="5">
        <f t="shared" si="186"/>
        <v>0</v>
      </c>
      <c r="W388" s="5">
        <f t="shared" si="186"/>
        <v>0</v>
      </c>
      <c r="X388" s="5">
        <f t="shared" si="186"/>
        <v>0</v>
      </c>
      <c r="Y388" s="5">
        <f t="shared" si="186"/>
        <v>0</v>
      </c>
      <c r="Z388" s="48">
        <f t="shared" si="186"/>
        <v>0</v>
      </c>
      <c r="AA388" s="5">
        <f t="shared" si="186"/>
        <v>0</v>
      </c>
      <c r="AB388" s="5">
        <f t="shared" si="186"/>
        <v>0</v>
      </c>
      <c r="AC388" s="5">
        <f t="shared" si="186"/>
        <v>0</v>
      </c>
      <c r="AD388" s="5">
        <f t="shared" si="186"/>
        <v>0</v>
      </c>
      <c r="AE388" s="5">
        <f t="shared" si="186"/>
        <v>0</v>
      </c>
      <c r="AF388" s="5">
        <f t="shared" si="186"/>
        <v>0</v>
      </c>
      <c r="AG388" s="5">
        <f t="shared" si="186"/>
        <v>0</v>
      </c>
      <c r="AH388" s="5">
        <f t="shared" si="186"/>
        <v>0</v>
      </c>
      <c r="AI388" s="5">
        <f t="shared" si="186"/>
        <v>0</v>
      </c>
      <c r="AJ388" s="5">
        <f t="shared" si="186"/>
        <v>0</v>
      </c>
      <c r="AK388" s="5">
        <f t="shared" si="186"/>
        <v>0</v>
      </c>
      <c r="AL388" s="48">
        <f t="shared" si="186"/>
        <v>0</v>
      </c>
      <c r="AM388" s="5">
        <f t="shared" si="186"/>
        <v>1440472.0031400754</v>
      </c>
      <c r="AN388" s="5">
        <f t="shared" si="186"/>
        <v>1056999.7681584735</v>
      </c>
      <c r="AO388" s="5">
        <f t="shared" si="186"/>
        <v>1054632.445339673</v>
      </c>
      <c r="AP388" s="5">
        <f t="shared" si="186"/>
        <v>-300431.62036303454</v>
      </c>
      <c r="AQ388" s="5">
        <f t="shared" si="186"/>
        <v>504064.04805179749</v>
      </c>
      <c r="AR388" s="5">
        <f t="shared" si="186"/>
        <v>-1327159.354952689</v>
      </c>
      <c r="AS388" s="5">
        <f t="shared" si="186"/>
        <v>-3081577.0833226987</v>
      </c>
      <c r="AT388" s="5">
        <f t="shared" si="186"/>
        <v>-4592856.1527024349</v>
      </c>
      <c r="AU388" s="5">
        <f t="shared" si="186"/>
        <v>-5537791.1828072267</v>
      </c>
      <c r="AV388" s="5">
        <f t="shared" si="186"/>
        <v>-5790300.9993523089</v>
      </c>
      <c r="AW388" s="5">
        <f t="shared" si="186"/>
        <v>-6315986.0651450194</v>
      </c>
      <c r="AX388" s="48">
        <f t="shared" si="186"/>
        <v>-5657860.2749112882</v>
      </c>
      <c r="AY388" s="5">
        <f t="shared" si="186"/>
        <v>-5674268.0697085317</v>
      </c>
      <c r="AZ388" s="5">
        <f t="shared" si="186"/>
        <v>-5690723.4471106865</v>
      </c>
      <c r="BA388" s="5">
        <f t="shared" si="186"/>
        <v>-5706657.4727625959</v>
      </c>
      <c r="BB388" s="5">
        <f t="shared" si="186"/>
        <v>-5722636.1136863306</v>
      </c>
      <c r="BC388" s="5">
        <f t="shared" si="186"/>
        <v>-5738087.2311932845</v>
      </c>
      <c r="BD388" s="5">
        <f t="shared" si="186"/>
        <v>-5754153.8754406255</v>
      </c>
      <c r="BE388" s="5">
        <f t="shared" si="186"/>
        <v>-5770265.5062918598</v>
      </c>
      <c r="BF388" s="58">
        <f t="shared" si="186"/>
        <v>-5770265.5062918598</v>
      </c>
      <c r="BG388" s="5">
        <f t="shared" si="186"/>
        <v>0</v>
      </c>
    </row>
    <row r="389" spans="1:59" ht="15.75" customHeight="1" collapsed="1">
      <c r="A389" s="27" t="s">
        <v>52</v>
      </c>
      <c r="B389" s="27" t="s">
        <v>52</v>
      </c>
      <c r="C389" s="27">
        <v>5</v>
      </c>
      <c r="D389" s="51" t="s">
        <v>31</v>
      </c>
      <c r="E389" s="49">
        <f t="shared" ref="E389:BG389" si="187">E35+E176+E317+E364</f>
        <v>0</v>
      </c>
      <c r="F389" s="5">
        <f t="shared" si="187"/>
        <v>0</v>
      </c>
      <c r="G389" s="5">
        <f t="shared" si="187"/>
        <v>0</v>
      </c>
      <c r="H389" s="5">
        <f t="shared" si="187"/>
        <v>0</v>
      </c>
      <c r="I389" s="5">
        <f t="shared" si="187"/>
        <v>0</v>
      </c>
      <c r="J389" s="5">
        <f t="shared" si="187"/>
        <v>0</v>
      </c>
      <c r="K389" s="5">
        <f t="shared" si="187"/>
        <v>0</v>
      </c>
      <c r="L389" s="5">
        <f t="shared" si="187"/>
        <v>0</v>
      </c>
      <c r="M389" s="5">
        <f t="shared" si="187"/>
        <v>0</v>
      </c>
      <c r="N389" s="48">
        <f t="shared" si="187"/>
        <v>0</v>
      </c>
      <c r="O389" s="5">
        <f t="shared" si="187"/>
        <v>0</v>
      </c>
      <c r="P389" s="5">
        <f t="shared" si="187"/>
        <v>0</v>
      </c>
      <c r="Q389" s="5">
        <f t="shared" si="187"/>
        <v>0</v>
      </c>
      <c r="R389" s="5">
        <f t="shared" si="187"/>
        <v>0</v>
      </c>
      <c r="S389" s="5">
        <f t="shared" si="187"/>
        <v>0</v>
      </c>
      <c r="T389" s="5">
        <f t="shared" si="187"/>
        <v>0</v>
      </c>
      <c r="U389" s="5">
        <f t="shared" si="187"/>
        <v>0</v>
      </c>
      <c r="V389" s="5">
        <f t="shared" si="187"/>
        <v>0</v>
      </c>
      <c r="W389" s="5">
        <f t="shared" si="187"/>
        <v>0</v>
      </c>
      <c r="X389" s="5">
        <f t="shared" si="187"/>
        <v>0</v>
      </c>
      <c r="Y389" s="5">
        <f t="shared" si="187"/>
        <v>0</v>
      </c>
      <c r="Z389" s="48">
        <f t="shared" si="187"/>
        <v>0</v>
      </c>
      <c r="AA389" s="5">
        <f t="shared" si="187"/>
        <v>0</v>
      </c>
      <c r="AB389" s="5">
        <f t="shared" si="187"/>
        <v>0</v>
      </c>
      <c r="AC389" s="5">
        <f t="shared" si="187"/>
        <v>0</v>
      </c>
      <c r="AD389" s="5">
        <f t="shared" si="187"/>
        <v>0</v>
      </c>
      <c r="AE389" s="5">
        <f t="shared" si="187"/>
        <v>0</v>
      </c>
      <c r="AF389" s="5">
        <f t="shared" si="187"/>
        <v>0</v>
      </c>
      <c r="AG389" s="5">
        <f t="shared" si="187"/>
        <v>0</v>
      </c>
      <c r="AH389" s="5">
        <f t="shared" si="187"/>
        <v>0</v>
      </c>
      <c r="AI389" s="5">
        <f t="shared" si="187"/>
        <v>0</v>
      </c>
      <c r="AJ389" s="5">
        <f t="shared" si="187"/>
        <v>0</v>
      </c>
      <c r="AK389" s="5">
        <f t="shared" si="187"/>
        <v>0</v>
      </c>
      <c r="AL389" s="48">
        <f t="shared" si="187"/>
        <v>0</v>
      </c>
      <c r="AM389" s="5">
        <f t="shared" si="187"/>
        <v>0</v>
      </c>
      <c r="AN389" s="5">
        <f t="shared" si="187"/>
        <v>0</v>
      </c>
      <c r="AO389" s="5">
        <f t="shared" si="187"/>
        <v>0</v>
      </c>
      <c r="AP389" s="5">
        <f t="shared" si="187"/>
        <v>0</v>
      </c>
      <c r="AQ389" s="5">
        <f t="shared" si="187"/>
        <v>0</v>
      </c>
      <c r="AR389" s="5">
        <f t="shared" si="187"/>
        <v>0</v>
      </c>
      <c r="AS389" s="5">
        <f t="shared" si="187"/>
        <v>0</v>
      </c>
      <c r="AT389" s="5">
        <f t="shared" si="187"/>
        <v>0</v>
      </c>
      <c r="AU389" s="5">
        <f t="shared" si="187"/>
        <v>0</v>
      </c>
      <c r="AV389" s="5">
        <f t="shared" si="187"/>
        <v>0</v>
      </c>
      <c r="AW389" s="5">
        <f t="shared" si="187"/>
        <v>0</v>
      </c>
      <c r="AX389" s="48">
        <f t="shared" si="187"/>
        <v>0</v>
      </c>
      <c r="AY389" s="5">
        <f t="shared" si="187"/>
        <v>1047824.4849507541</v>
      </c>
      <c r="AZ389" s="5">
        <f t="shared" si="187"/>
        <v>1390710.2267062091</v>
      </c>
      <c r="BA389" s="5">
        <f t="shared" si="187"/>
        <v>1351542.0584526248</v>
      </c>
      <c r="BB389" s="5">
        <f t="shared" si="187"/>
        <v>239281.81323113333</v>
      </c>
      <c r="BC389" s="5">
        <f t="shared" si="187"/>
        <v>836844.9247348333</v>
      </c>
      <c r="BD389" s="5">
        <f t="shared" si="187"/>
        <v>-1723176.7690876983</v>
      </c>
      <c r="BE389" s="5">
        <f t="shared" si="187"/>
        <v>-2670754.6257078862</v>
      </c>
      <c r="BF389" s="58">
        <f t="shared" si="187"/>
        <v>-336986.66804002051</v>
      </c>
      <c r="BG389" s="5">
        <f t="shared" si="187"/>
        <v>-1514925.0352637235</v>
      </c>
    </row>
    <row r="390" spans="1:59" ht="15.75" hidden="1" customHeight="1" outlineLevel="1">
      <c r="A390" s="27" t="s">
        <v>52</v>
      </c>
      <c r="B390" s="27" t="s">
        <v>52</v>
      </c>
      <c r="C390" s="27">
        <v>6</v>
      </c>
      <c r="D390" s="51" t="s">
        <v>31</v>
      </c>
      <c r="E390" s="49">
        <f>E41+E182+E323+E370</f>
        <v>0</v>
      </c>
      <c r="F390" s="5">
        <f t="shared" ref="F390:BG390" si="188">F41+F182+F323+F370</f>
        <v>0</v>
      </c>
      <c r="G390" s="5">
        <f t="shared" si="188"/>
        <v>0</v>
      </c>
      <c r="H390" s="5">
        <f t="shared" si="188"/>
        <v>0</v>
      </c>
      <c r="I390" s="5">
        <f t="shared" si="188"/>
        <v>0</v>
      </c>
      <c r="J390" s="5">
        <f t="shared" si="188"/>
        <v>0</v>
      </c>
      <c r="K390" s="5">
        <f t="shared" si="188"/>
        <v>0</v>
      </c>
      <c r="L390" s="5">
        <f t="shared" si="188"/>
        <v>0</v>
      </c>
      <c r="M390" s="5">
        <f t="shared" si="188"/>
        <v>0</v>
      </c>
      <c r="N390" s="48">
        <f t="shared" si="188"/>
        <v>0</v>
      </c>
      <c r="O390" s="5">
        <f t="shared" si="188"/>
        <v>0</v>
      </c>
      <c r="P390" s="5">
        <f t="shared" si="188"/>
        <v>0</v>
      </c>
      <c r="Q390" s="5">
        <f t="shared" si="188"/>
        <v>0</v>
      </c>
      <c r="R390" s="5">
        <f t="shared" si="188"/>
        <v>0</v>
      </c>
      <c r="S390" s="5">
        <f t="shared" si="188"/>
        <v>0</v>
      </c>
      <c r="T390" s="5">
        <f t="shared" si="188"/>
        <v>0</v>
      </c>
      <c r="U390" s="5">
        <f t="shared" si="188"/>
        <v>0</v>
      </c>
      <c r="V390" s="5">
        <f t="shared" si="188"/>
        <v>0</v>
      </c>
      <c r="W390" s="5">
        <f t="shared" si="188"/>
        <v>0</v>
      </c>
      <c r="X390" s="5">
        <f t="shared" si="188"/>
        <v>0</v>
      </c>
      <c r="Y390" s="5">
        <f t="shared" si="188"/>
        <v>0</v>
      </c>
      <c r="Z390" s="48">
        <f t="shared" si="188"/>
        <v>0</v>
      </c>
      <c r="AA390" s="5">
        <f t="shared" si="188"/>
        <v>0</v>
      </c>
      <c r="AB390" s="5">
        <f t="shared" si="188"/>
        <v>0</v>
      </c>
      <c r="AC390" s="5">
        <f t="shared" si="188"/>
        <v>0</v>
      </c>
      <c r="AD390" s="5">
        <f t="shared" si="188"/>
        <v>0</v>
      </c>
      <c r="AE390" s="5">
        <f t="shared" si="188"/>
        <v>0</v>
      </c>
      <c r="AF390" s="5">
        <f t="shared" si="188"/>
        <v>0</v>
      </c>
      <c r="AG390" s="5">
        <f t="shared" si="188"/>
        <v>0</v>
      </c>
      <c r="AH390" s="5">
        <f t="shared" si="188"/>
        <v>0</v>
      </c>
      <c r="AI390" s="5">
        <f t="shared" si="188"/>
        <v>0</v>
      </c>
      <c r="AJ390" s="5">
        <f t="shared" si="188"/>
        <v>0</v>
      </c>
      <c r="AK390" s="5">
        <f t="shared" si="188"/>
        <v>0</v>
      </c>
      <c r="AL390" s="48">
        <f t="shared" si="188"/>
        <v>0</v>
      </c>
      <c r="AM390" s="5">
        <f t="shared" si="188"/>
        <v>0</v>
      </c>
      <c r="AN390" s="5">
        <f t="shared" si="188"/>
        <v>0</v>
      </c>
      <c r="AO390" s="5">
        <f t="shared" si="188"/>
        <v>0</v>
      </c>
      <c r="AP390" s="5">
        <f t="shared" si="188"/>
        <v>0</v>
      </c>
      <c r="AQ390" s="5">
        <f t="shared" si="188"/>
        <v>0</v>
      </c>
      <c r="AR390" s="5">
        <f t="shared" si="188"/>
        <v>0</v>
      </c>
      <c r="AS390" s="5">
        <f t="shared" si="188"/>
        <v>0</v>
      </c>
      <c r="AT390" s="5">
        <f t="shared" si="188"/>
        <v>0</v>
      </c>
      <c r="AU390" s="5">
        <f t="shared" si="188"/>
        <v>0</v>
      </c>
      <c r="AV390" s="5">
        <f t="shared" si="188"/>
        <v>0</v>
      </c>
      <c r="AW390" s="5">
        <f t="shared" si="188"/>
        <v>0</v>
      </c>
      <c r="AX390" s="48">
        <f t="shared" si="188"/>
        <v>0</v>
      </c>
      <c r="AY390" s="5">
        <f t="shared" si="188"/>
        <v>0</v>
      </c>
      <c r="AZ390" s="5">
        <f t="shared" si="188"/>
        <v>0</v>
      </c>
      <c r="BA390" s="5">
        <f t="shared" si="188"/>
        <v>0</v>
      </c>
      <c r="BB390" s="5">
        <f t="shared" si="188"/>
        <v>0</v>
      </c>
      <c r="BC390" s="5">
        <f t="shared" si="188"/>
        <v>0</v>
      </c>
      <c r="BD390" s="5">
        <f t="shared" si="188"/>
        <v>0</v>
      </c>
      <c r="BE390" s="5">
        <f t="shared" si="188"/>
        <v>0</v>
      </c>
      <c r="BF390" s="58">
        <f t="shared" si="188"/>
        <v>0</v>
      </c>
      <c r="BG390" s="5">
        <f t="shared" si="188"/>
        <v>0</v>
      </c>
    </row>
    <row r="391" spans="1:59" ht="15.75" hidden="1" customHeight="1" outlineLevel="1">
      <c r="A391" s="27" t="s">
        <v>52</v>
      </c>
      <c r="B391" s="27" t="s">
        <v>52</v>
      </c>
      <c r="C391" s="27">
        <v>7</v>
      </c>
      <c r="D391" s="51" t="s">
        <v>31</v>
      </c>
      <c r="E391" s="49">
        <f>E47+E188+E329+E376</f>
        <v>0</v>
      </c>
      <c r="F391" s="5">
        <f t="shared" ref="F391:BG391" si="189">F47+F188+F329+F376</f>
        <v>0</v>
      </c>
      <c r="G391" s="5">
        <f t="shared" si="189"/>
        <v>0</v>
      </c>
      <c r="H391" s="5">
        <f t="shared" si="189"/>
        <v>0</v>
      </c>
      <c r="I391" s="5">
        <f t="shared" si="189"/>
        <v>0</v>
      </c>
      <c r="J391" s="5">
        <f t="shared" si="189"/>
        <v>0</v>
      </c>
      <c r="K391" s="5">
        <f t="shared" si="189"/>
        <v>0</v>
      </c>
      <c r="L391" s="5">
        <f t="shared" si="189"/>
        <v>0</v>
      </c>
      <c r="M391" s="5">
        <f t="shared" si="189"/>
        <v>0</v>
      </c>
      <c r="N391" s="48">
        <f t="shared" si="189"/>
        <v>0</v>
      </c>
      <c r="O391" s="5">
        <f t="shared" si="189"/>
        <v>0</v>
      </c>
      <c r="P391" s="5">
        <f t="shared" si="189"/>
        <v>0</v>
      </c>
      <c r="Q391" s="5">
        <f t="shared" si="189"/>
        <v>0</v>
      </c>
      <c r="R391" s="5">
        <f t="shared" si="189"/>
        <v>0</v>
      </c>
      <c r="S391" s="5">
        <f t="shared" si="189"/>
        <v>0</v>
      </c>
      <c r="T391" s="5">
        <f t="shared" si="189"/>
        <v>0</v>
      </c>
      <c r="U391" s="5">
        <f t="shared" si="189"/>
        <v>0</v>
      </c>
      <c r="V391" s="5">
        <f t="shared" si="189"/>
        <v>0</v>
      </c>
      <c r="W391" s="5">
        <f t="shared" si="189"/>
        <v>0</v>
      </c>
      <c r="X391" s="5">
        <f t="shared" si="189"/>
        <v>0</v>
      </c>
      <c r="Y391" s="5">
        <f t="shared" si="189"/>
        <v>0</v>
      </c>
      <c r="Z391" s="48">
        <f t="shared" si="189"/>
        <v>0</v>
      </c>
      <c r="AA391" s="5">
        <f t="shared" si="189"/>
        <v>0</v>
      </c>
      <c r="AB391" s="5">
        <f t="shared" si="189"/>
        <v>0</v>
      </c>
      <c r="AC391" s="5">
        <f t="shared" si="189"/>
        <v>0</v>
      </c>
      <c r="AD391" s="5">
        <f t="shared" si="189"/>
        <v>0</v>
      </c>
      <c r="AE391" s="5">
        <f t="shared" si="189"/>
        <v>0</v>
      </c>
      <c r="AF391" s="5">
        <f t="shared" si="189"/>
        <v>0</v>
      </c>
      <c r="AG391" s="5">
        <f t="shared" si="189"/>
        <v>0</v>
      </c>
      <c r="AH391" s="5">
        <f t="shared" si="189"/>
        <v>0</v>
      </c>
      <c r="AI391" s="5">
        <f t="shared" si="189"/>
        <v>0</v>
      </c>
      <c r="AJ391" s="5">
        <f t="shared" si="189"/>
        <v>0</v>
      </c>
      <c r="AK391" s="5">
        <f t="shared" si="189"/>
        <v>0</v>
      </c>
      <c r="AL391" s="48">
        <f t="shared" si="189"/>
        <v>0</v>
      </c>
      <c r="AM391" s="5">
        <f t="shared" si="189"/>
        <v>0</v>
      </c>
      <c r="AN391" s="5">
        <f t="shared" si="189"/>
        <v>0</v>
      </c>
      <c r="AO391" s="5">
        <f t="shared" si="189"/>
        <v>0</v>
      </c>
      <c r="AP391" s="5">
        <f t="shared" si="189"/>
        <v>0</v>
      </c>
      <c r="AQ391" s="5">
        <f t="shared" si="189"/>
        <v>0</v>
      </c>
      <c r="AR391" s="5">
        <f t="shared" si="189"/>
        <v>0</v>
      </c>
      <c r="AS391" s="5">
        <f t="shared" si="189"/>
        <v>0</v>
      </c>
      <c r="AT391" s="5">
        <f t="shared" si="189"/>
        <v>0</v>
      </c>
      <c r="AU391" s="5">
        <f t="shared" si="189"/>
        <v>0</v>
      </c>
      <c r="AV391" s="5">
        <f t="shared" si="189"/>
        <v>0</v>
      </c>
      <c r="AW391" s="5">
        <f t="shared" si="189"/>
        <v>0</v>
      </c>
      <c r="AX391" s="48">
        <f t="shared" si="189"/>
        <v>0</v>
      </c>
      <c r="AY391" s="5">
        <f t="shared" si="189"/>
        <v>0</v>
      </c>
      <c r="AZ391" s="5">
        <f t="shared" si="189"/>
        <v>0</v>
      </c>
      <c r="BA391" s="5">
        <f t="shared" si="189"/>
        <v>0</v>
      </c>
      <c r="BB391" s="5">
        <f t="shared" si="189"/>
        <v>0</v>
      </c>
      <c r="BC391" s="5">
        <f t="shared" si="189"/>
        <v>0</v>
      </c>
      <c r="BD391" s="5">
        <f t="shared" si="189"/>
        <v>0</v>
      </c>
      <c r="BE391" s="5">
        <f t="shared" si="189"/>
        <v>0</v>
      </c>
      <c r="BF391" s="58">
        <f t="shared" si="189"/>
        <v>0</v>
      </c>
      <c r="BG391" s="5">
        <f t="shared" si="189"/>
        <v>0</v>
      </c>
    </row>
    <row r="392" spans="1:59" ht="15.75" customHeight="1" collapsed="1">
      <c r="A392" s="27"/>
      <c r="B392" s="27"/>
      <c r="C392" s="27"/>
      <c r="D392" s="55"/>
      <c r="E392" s="49"/>
      <c r="F392" s="5"/>
      <c r="G392" s="5"/>
      <c r="H392" s="5"/>
      <c r="I392" s="5"/>
      <c r="J392" s="5"/>
      <c r="K392" s="5"/>
      <c r="L392" s="5"/>
      <c r="M392" s="5"/>
      <c r="N392" s="48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48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48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48"/>
      <c r="AY392" s="5"/>
      <c r="AZ392" s="5"/>
      <c r="BA392" s="5"/>
      <c r="BB392" s="5"/>
      <c r="BC392" s="5"/>
      <c r="BD392" s="5"/>
      <c r="BE392" s="5"/>
      <c r="BF392" s="58"/>
      <c r="BG392" s="5"/>
    </row>
    <row r="393" spans="1:59" ht="15.75" customHeight="1">
      <c r="A393" s="27" t="s">
        <v>52</v>
      </c>
      <c r="B393" s="27" t="s">
        <v>52</v>
      </c>
      <c r="C393" s="27"/>
      <c r="D393" s="55" t="s">
        <v>42</v>
      </c>
      <c r="E393" s="49">
        <f t="shared" ref="E393:BG395" si="190">E52+E193+E334+E381</f>
        <v>0</v>
      </c>
      <c r="F393" s="5">
        <f t="shared" si="190"/>
        <v>0</v>
      </c>
      <c r="G393" s="5">
        <f t="shared" si="190"/>
        <v>0</v>
      </c>
      <c r="H393" s="5">
        <f t="shared" si="190"/>
        <v>0</v>
      </c>
      <c r="I393" s="5">
        <f t="shared" si="190"/>
        <v>0</v>
      </c>
      <c r="J393" s="5">
        <f t="shared" si="190"/>
        <v>0</v>
      </c>
      <c r="K393" s="5">
        <f t="shared" si="190"/>
        <v>0</v>
      </c>
      <c r="L393" s="5">
        <f t="shared" si="190"/>
        <v>0</v>
      </c>
      <c r="M393" s="5">
        <f t="shared" si="190"/>
        <v>0</v>
      </c>
      <c r="N393" s="48">
        <f t="shared" si="190"/>
        <v>0</v>
      </c>
      <c r="O393" s="5">
        <f t="shared" si="190"/>
        <v>0</v>
      </c>
      <c r="P393" s="5">
        <f t="shared" si="190"/>
        <v>0</v>
      </c>
      <c r="Q393" s="5">
        <f t="shared" si="190"/>
        <v>0</v>
      </c>
      <c r="R393" s="5">
        <f t="shared" si="190"/>
        <v>0</v>
      </c>
      <c r="S393" s="5">
        <f t="shared" si="190"/>
        <v>0</v>
      </c>
      <c r="T393" s="5">
        <f t="shared" si="190"/>
        <v>0</v>
      </c>
      <c r="U393" s="5">
        <f t="shared" si="190"/>
        <v>0</v>
      </c>
      <c r="V393" s="5">
        <f t="shared" si="190"/>
        <v>0</v>
      </c>
      <c r="W393" s="5">
        <f t="shared" si="190"/>
        <v>0</v>
      </c>
      <c r="X393" s="5">
        <f t="shared" si="190"/>
        <v>-102439</v>
      </c>
      <c r="Y393" s="5">
        <f t="shared" si="190"/>
        <v>-165267</v>
      </c>
      <c r="Z393" s="48">
        <f t="shared" si="190"/>
        <v>-123721</v>
      </c>
      <c r="AA393" s="5">
        <f t="shared" si="190"/>
        <v>-133091</v>
      </c>
      <c r="AB393" s="5">
        <f t="shared" si="190"/>
        <v>-177330</v>
      </c>
      <c r="AC393" s="5">
        <f t="shared" si="190"/>
        <v>-124170</v>
      </c>
      <c r="AD393" s="5">
        <f t="shared" si="190"/>
        <v>-130493</v>
      </c>
      <c r="AE393" s="5">
        <f t="shared" si="190"/>
        <v>-239182.98241000003</v>
      </c>
      <c r="AF393" s="5">
        <f t="shared" si="190"/>
        <v>-390382.45045999996</v>
      </c>
      <c r="AG393" s="5">
        <f t="shared" si="190"/>
        <v>-398949.94124000001</v>
      </c>
      <c r="AH393" s="5">
        <f t="shared" si="190"/>
        <v>-302079.60299501731</v>
      </c>
      <c r="AI393" s="5">
        <f t="shared" si="190"/>
        <v>-224690.66425468726</v>
      </c>
      <c r="AJ393" s="5">
        <f t="shared" si="190"/>
        <v>-210325.65015</v>
      </c>
      <c r="AK393" s="5">
        <f t="shared" si="190"/>
        <v>-233141.42775999999</v>
      </c>
      <c r="AL393" s="48">
        <f t="shared" si="190"/>
        <v>-269375.82081</v>
      </c>
      <c r="AM393" s="5">
        <f t="shared" si="190"/>
        <v>-337467.96364999999</v>
      </c>
      <c r="AN393" s="5">
        <f t="shared" si="190"/>
        <v>-339547.62670000002</v>
      </c>
      <c r="AO393" s="5">
        <f t="shared" si="190"/>
        <v>-346685.96928999998</v>
      </c>
      <c r="AP393" s="5">
        <f t="shared" si="190"/>
        <v>-274724.64604999998</v>
      </c>
      <c r="AQ393" s="5">
        <f t="shared" si="190"/>
        <v>-254660.32994000003</v>
      </c>
      <c r="AR393" s="5">
        <f t="shared" si="190"/>
        <v>-260101.78399</v>
      </c>
      <c r="AS393" s="5">
        <f t="shared" si="190"/>
        <v>-245587.97789000001</v>
      </c>
      <c r="AT393" s="5">
        <f t="shared" si="190"/>
        <v>-637649.44097074342</v>
      </c>
      <c r="AU393" s="5">
        <f t="shared" si="190"/>
        <v>-921632.44692886481</v>
      </c>
      <c r="AV393" s="5">
        <f t="shared" si="190"/>
        <v>-835401.48712838499</v>
      </c>
      <c r="AW393" s="5">
        <f t="shared" si="190"/>
        <v>-762183.09285999998</v>
      </c>
      <c r="AX393" s="48">
        <f t="shared" si="190"/>
        <v>-827136.00769</v>
      </c>
      <c r="AY393" s="5">
        <f t="shared" si="190"/>
        <v>-974450.37067999993</v>
      </c>
      <c r="AZ393" s="5">
        <f t="shared" si="190"/>
        <v>-1096572.93139</v>
      </c>
      <c r="BA393" s="5">
        <f t="shared" si="190"/>
        <v>-1080767.0041099999</v>
      </c>
      <c r="BB393" s="5">
        <f t="shared" si="190"/>
        <v>-885875.67267</v>
      </c>
      <c r="BC393" s="5">
        <f t="shared" si="190"/>
        <v>-994153.23892000003</v>
      </c>
      <c r="BD393" s="5">
        <f t="shared" si="190"/>
        <v>-1155378.4225900001</v>
      </c>
      <c r="BE393" s="5">
        <f t="shared" si="190"/>
        <v>-1155106.4497900002</v>
      </c>
      <c r="BF393" s="58">
        <f t="shared" si="190"/>
        <v>-379342.77374860976</v>
      </c>
      <c r="BG393" s="5">
        <f t="shared" si="190"/>
        <v>278335.31169667444</v>
      </c>
    </row>
    <row r="394" spans="1:59" ht="15.75" customHeight="1">
      <c r="A394" s="27" t="s">
        <v>52</v>
      </c>
      <c r="B394" s="27" t="s">
        <v>52</v>
      </c>
      <c r="C394" s="27"/>
      <c r="D394" s="55" t="s">
        <v>43</v>
      </c>
      <c r="E394" s="49">
        <f t="shared" si="190"/>
        <v>0</v>
      </c>
      <c r="F394" s="5">
        <f t="shared" si="190"/>
        <v>0</v>
      </c>
      <c r="G394" s="5">
        <f t="shared" si="190"/>
        <v>0</v>
      </c>
      <c r="H394" s="5">
        <f t="shared" si="190"/>
        <v>0</v>
      </c>
      <c r="I394" s="5">
        <f t="shared" si="190"/>
        <v>0</v>
      </c>
      <c r="J394" s="5">
        <f t="shared" si="190"/>
        <v>0</v>
      </c>
      <c r="K394" s="5">
        <f t="shared" si="190"/>
        <v>0</v>
      </c>
      <c r="L394" s="5">
        <f t="shared" si="190"/>
        <v>0</v>
      </c>
      <c r="M394" s="5">
        <f t="shared" si="190"/>
        <v>0</v>
      </c>
      <c r="N394" s="48">
        <f t="shared" si="190"/>
        <v>0</v>
      </c>
      <c r="O394" s="5">
        <f t="shared" si="190"/>
        <v>10930.605284268888</v>
      </c>
      <c r="P394" s="5">
        <f t="shared" si="190"/>
        <v>10967.769342235399</v>
      </c>
      <c r="Q394" s="5">
        <f t="shared" si="190"/>
        <v>10681.381529822558</v>
      </c>
      <c r="R394" s="5">
        <f t="shared" si="190"/>
        <v>11690.869187859244</v>
      </c>
      <c r="S394" s="5">
        <f t="shared" si="190"/>
        <v>11407.040863687329</v>
      </c>
      <c r="T394" s="5">
        <f t="shared" si="190"/>
        <v>11774.021664044814</v>
      </c>
      <c r="U394" s="5">
        <f t="shared" si="190"/>
        <v>11816.408142035374</v>
      </c>
      <c r="V394" s="5">
        <f t="shared" si="190"/>
        <v>10870.70161040114</v>
      </c>
      <c r="W394" s="5">
        <f t="shared" si="190"/>
        <v>11898.081737144144</v>
      </c>
      <c r="X394" s="5">
        <f t="shared" si="190"/>
        <v>12083.094760047803</v>
      </c>
      <c r="Y394" s="5">
        <f t="shared" si="190"/>
        <v>11946.939248785924</v>
      </c>
      <c r="Z394" s="48">
        <f t="shared" si="190"/>
        <v>11142.121985880489</v>
      </c>
      <c r="AA394" s="5">
        <f t="shared" si="190"/>
        <v>11576.481769976483</v>
      </c>
      <c r="AB394" s="5">
        <f t="shared" si="190"/>
        <v>11001.94569705639</v>
      </c>
      <c r="AC394" s="5">
        <f t="shared" si="190"/>
        <v>10181.879642848497</v>
      </c>
      <c r="AD394" s="5">
        <f t="shared" si="190"/>
        <v>10473.072748336806</v>
      </c>
      <c r="AE394" s="5">
        <f t="shared" si="190"/>
        <v>9508.8177077040891</v>
      </c>
      <c r="AF394" s="5">
        <f t="shared" si="190"/>
        <v>8458.5897161641806</v>
      </c>
      <c r="AG394" s="5">
        <f t="shared" si="190"/>
        <v>7162.0662356593093</v>
      </c>
      <c r="AH394" s="5">
        <f t="shared" si="190"/>
        <v>11015.004857877766</v>
      </c>
      <c r="AI394" s="5">
        <f t="shared" si="190"/>
        <v>11006.076777090857</v>
      </c>
      <c r="AJ394" s="5">
        <f t="shared" si="190"/>
        <v>10326.955523747463</v>
      </c>
      <c r="AK394" s="5">
        <f t="shared" si="190"/>
        <v>9583.9731404914255</v>
      </c>
      <c r="AL394" s="48">
        <f t="shared" si="190"/>
        <v>8288.0899681565406</v>
      </c>
      <c r="AM394" s="5">
        <f t="shared" si="190"/>
        <v>7269.3206516661667</v>
      </c>
      <c r="AN394" s="5">
        <f t="shared" si="190"/>
        <v>5712.4998214064981</v>
      </c>
      <c r="AO394" s="5">
        <f t="shared" si="190"/>
        <v>3951.0953808420709</v>
      </c>
      <c r="AP394" s="5">
        <f t="shared" si="190"/>
        <v>2627.8281238862137</v>
      </c>
      <c r="AQ394" s="5">
        <f t="shared" si="190"/>
        <v>1391.4104561208489</v>
      </c>
      <c r="AR394" s="5">
        <f t="shared" si="190"/>
        <v>244.7783145382455</v>
      </c>
      <c r="AS394" s="5">
        <f t="shared" si="190"/>
        <v>-837.42718731810623</v>
      </c>
      <c r="AT394" s="5">
        <f t="shared" si="190"/>
        <v>45139.80918329116</v>
      </c>
      <c r="AU394" s="5">
        <f t="shared" si="190"/>
        <v>45527.197431371125</v>
      </c>
      <c r="AV394" s="5">
        <f t="shared" si="190"/>
        <v>39026.594656272471</v>
      </c>
      <c r="AW394" s="5">
        <f t="shared" si="190"/>
        <v>36988.213789184185</v>
      </c>
      <c r="AX394" s="48">
        <f t="shared" si="190"/>
        <v>33108.590232159899</v>
      </c>
      <c r="AY394" s="5">
        <f t="shared" si="190"/>
        <v>22102.922784386428</v>
      </c>
      <c r="AZ394" s="5">
        <f t="shared" si="190"/>
        <v>19164.037472459648</v>
      </c>
      <c r="BA394" s="5">
        <f t="shared" si="190"/>
        <v>15508.591989321858</v>
      </c>
      <c r="BB394" s="5">
        <f t="shared" si="190"/>
        <v>12798.716299399961</v>
      </c>
      <c r="BC394" s="5">
        <f t="shared" si="190"/>
        <v>9838.1367920689845</v>
      </c>
      <c r="BD394" s="5">
        <f t="shared" si="190"/>
        <v>7220.7146857160742</v>
      </c>
      <c r="BE394" s="5">
        <f t="shared" si="190"/>
        <v>4006.2538655040789</v>
      </c>
      <c r="BF394" s="58">
        <f t="shared" si="190"/>
        <v>-12723.700455574794</v>
      </c>
      <c r="BG394" s="5">
        <f t="shared" si="190"/>
        <v>-14427.581318392091</v>
      </c>
    </row>
    <row r="395" spans="1:59" ht="15.75" customHeight="1">
      <c r="A395" s="38" t="s">
        <v>52</v>
      </c>
      <c r="B395" s="38" t="s">
        <v>52</v>
      </c>
      <c r="C395" s="66"/>
      <c r="D395" s="62" t="s">
        <v>44</v>
      </c>
      <c r="E395" s="63">
        <f t="shared" si="190"/>
        <v>0</v>
      </c>
      <c r="F395" s="56">
        <f t="shared" si="190"/>
        <v>0</v>
      </c>
      <c r="G395" s="56">
        <f t="shared" si="190"/>
        <v>0</v>
      </c>
      <c r="H395" s="56">
        <f t="shared" si="190"/>
        <v>0</v>
      </c>
      <c r="I395" s="56">
        <f t="shared" si="190"/>
        <v>0</v>
      </c>
      <c r="J395" s="56">
        <f t="shared" si="190"/>
        <v>0</v>
      </c>
      <c r="K395" s="56">
        <f t="shared" si="190"/>
        <v>0</v>
      </c>
      <c r="L395" s="56">
        <f t="shared" si="190"/>
        <v>0</v>
      </c>
      <c r="M395" s="56">
        <f t="shared" si="190"/>
        <v>0</v>
      </c>
      <c r="N395" s="64">
        <f t="shared" si="190"/>
        <v>0</v>
      </c>
      <c r="O395" s="56">
        <f t="shared" si="190"/>
        <v>3225814.5124221765</v>
      </c>
      <c r="P395" s="56">
        <f t="shared" si="190"/>
        <v>3236782.2817644118</v>
      </c>
      <c r="Q395" s="56">
        <f t="shared" si="190"/>
        <v>3247463.6632942348</v>
      </c>
      <c r="R395" s="56">
        <f t="shared" si="190"/>
        <v>3259154.5324820941</v>
      </c>
      <c r="S395" s="56">
        <f t="shared" si="190"/>
        <v>3270561.5733457813</v>
      </c>
      <c r="T395" s="56">
        <f t="shared" si="190"/>
        <v>3282335.5950098257</v>
      </c>
      <c r="U395" s="56">
        <f t="shared" si="190"/>
        <v>3294152.0031518615</v>
      </c>
      <c r="V395" s="56">
        <f t="shared" si="190"/>
        <v>3305022.7047622623</v>
      </c>
      <c r="W395" s="56">
        <f t="shared" si="190"/>
        <v>3316920.7864994062</v>
      </c>
      <c r="X395" s="56">
        <f t="shared" si="190"/>
        <v>3226564.8812594539</v>
      </c>
      <c r="Y395" s="56">
        <f t="shared" si="190"/>
        <v>3073244.8205082398</v>
      </c>
      <c r="Z395" s="64">
        <f t="shared" si="190"/>
        <v>2960665.9424941204</v>
      </c>
      <c r="AA395" s="56">
        <f t="shared" si="190"/>
        <v>2839151.4242640967</v>
      </c>
      <c r="AB395" s="56">
        <f t="shared" si="190"/>
        <v>2672823.3699611533</v>
      </c>
      <c r="AC395" s="56">
        <f t="shared" si="190"/>
        <v>2558835.2496040016</v>
      </c>
      <c r="AD395" s="56">
        <f t="shared" si="190"/>
        <v>2438815.3223523386</v>
      </c>
      <c r="AE395" s="56">
        <f t="shared" si="190"/>
        <v>2209141.1576500428</v>
      </c>
      <c r="AF395" s="56">
        <f t="shared" si="190"/>
        <v>1827217.296906207</v>
      </c>
      <c r="AG395" s="56">
        <f t="shared" si="190"/>
        <v>1435429.4219018661</v>
      </c>
      <c r="AH395" s="56">
        <f t="shared" si="190"/>
        <v>2613726.4178298106</v>
      </c>
      <c r="AI395" s="56">
        <f t="shared" si="190"/>
        <v>2400041.8303522146</v>
      </c>
      <c r="AJ395" s="56">
        <f t="shared" si="190"/>
        <v>2200043.135725962</v>
      </c>
      <c r="AK395" s="56">
        <f t="shared" si="190"/>
        <v>1976485.6811064535</v>
      </c>
      <c r="AL395" s="64">
        <f t="shared" si="190"/>
        <v>1715397.9502646099</v>
      </c>
      <c r="AM395" s="56">
        <f t="shared" si="190"/>
        <v>1385199.3072662759</v>
      </c>
      <c r="AN395" s="56">
        <f t="shared" si="190"/>
        <v>1051364.1803876825</v>
      </c>
      <c r="AO395" s="56">
        <f t="shared" si="190"/>
        <v>708629.30647852481</v>
      </c>
      <c r="AP395" s="56">
        <f t="shared" si="190"/>
        <v>436532.48855241085</v>
      </c>
      <c r="AQ395" s="56">
        <f t="shared" si="190"/>
        <v>183263.56906853168</v>
      </c>
      <c r="AR395" s="56">
        <f t="shared" si="190"/>
        <v>-76593.436606930059</v>
      </c>
      <c r="AS395" s="56">
        <f t="shared" si="190"/>
        <v>-323018.84168424812</v>
      </c>
      <c r="AT395" s="56">
        <f t="shared" si="190"/>
        <v>11300625.135695651</v>
      </c>
      <c r="AU395" s="56">
        <f t="shared" si="190"/>
        <v>10424519.886198157</v>
      </c>
      <c r="AV395" s="56">
        <f t="shared" si="190"/>
        <v>9628144.9937260449</v>
      </c>
      <c r="AW395" s="56">
        <f t="shared" si="190"/>
        <v>8902950.1146552302</v>
      </c>
      <c r="AX395" s="64">
        <f t="shared" si="190"/>
        <v>8108922.6971973898</v>
      </c>
      <c r="AY395" s="56">
        <f t="shared" si="190"/>
        <v>7156575.2493017763</v>
      </c>
      <c r="AZ395" s="56">
        <f t="shared" si="190"/>
        <v>6079166.3553842353</v>
      </c>
      <c r="BA395" s="56">
        <f t="shared" si="190"/>
        <v>5013907.9432635568</v>
      </c>
      <c r="BB395" s="56">
        <f t="shared" si="190"/>
        <v>4140830.9868929572</v>
      </c>
      <c r="BC395" s="56">
        <f t="shared" si="190"/>
        <v>3156515.8847650262</v>
      </c>
      <c r="BD395" s="56">
        <f t="shared" si="190"/>
        <v>2008358.1768607425</v>
      </c>
      <c r="BE395" s="56">
        <f t="shared" si="190"/>
        <v>857257.98093624646</v>
      </c>
      <c r="BF395" s="59">
        <f t="shared" si="190"/>
        <v>-5291875.2695597978</v>
      </c>
      <c r="BG395" s="56">
        <f t="shared" si="190"/>
        <v>-5027967.5391815156</v>
      </c>
    </row>
    <row r="396" spans="1:59" ht="15.75" customHeight="1">
      <c r="C396" s="44"/>
      <c r="D396" s="55"/>
      <c r="E396" s="67"/>
      <c r="F396" s="57"/>
      <c r="G396" s="57"/>
      <c r="H396" s="57"/>
      <c r="I396" s="57"/>
      <c r="J396" s="57"/>
      <c r="K396" s="57"/>
      <c r="L396" s="57"/>
      <c r="M396" s="57"/>
      <c r="N396" s="68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48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48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48"/>
      <c r="AY396" s="5"/>
      <c r="AZ396" s="5"/>
      <c r="BA396" s="5"/>
      <c r="BB396" s="5"/>
      <c r="BC396" s="5"/>
      <c r="BD396" s="5"/>
      <c r="BE396" s="5"/>
      <c r="BF396" s="5"/>
      <c r="BG396" s="5"/>
    </row>
    <row r="397" spans="1:59" ht="15.75" customHeight="1">
      <c r="A397" s="1" t="s">
        <v>53</v>
      </c>
      <c r="C397" s="44"/>
      <c r="D397" s="55"/>
      <c r="E397" s="67"/>
      <c r="F397" s="57"/>
      <c r="G397" s="57"/>
      <c r="H397" s="57"/>
      <c r="I397" s="57"/>
      <c r="J397" s="57"/>
      <c r="K397" s="57"/>
      <c r="L397" s="57"/>
      <c r="M397" s="57"/>
      <c r="N397" s="68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48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48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48"/>
      <c r="AY397" s="5"/>
      <c r="AZ397" s="5"/>
      <c r="BA397" s="5"/>
      <c r="BB397" s="5"/>
      <c r="BC397" s="5"/>
      <c r="BD397" s="5"/>
      <c r="BE397" s="5"/>
      <c r="BF397" s="5"/>
      <c r="BG397" s="5"/>
    </row>
    <row r="398" spans="1:59" ht="15.75" customHeight="1">
      <c r="C398" s="44"/>
      <c r="D398" s="55"/>
      <c r="E398" s="67"/>
      <c r="F398" s="57"/>
      <c r="G398" s="57"/>
      <c r="H398" s="57"/>
      <c r="I398" s="57"/>
      <c r="J398" s="57"/>
      <c r="K398" s="57"/>
      <c r="L398" s="57"/>
      <c r="M398" s="57"/>
      <c r="N398" s="68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48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48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48"/>
      <c r="AY398" s="5"/>
      <c r="AZ398" s="5"/>
      <c r="BA398" s="5"/>
      <c r="BB398" s="5"/>
      <c r="BC398" s="5"/>
      <c r="BD398" s="5"/>
      <c r="BE398" s="5"/>
      <c r="BF398" s="5"/>
      <c r="BG398" s="5"/>
    </row>
    <row r="399" spans="1:59" ht="15.75" customHeight="1">
      <c r="A399" s="37"/>
      <c r="B399" s="37"/>
      <c r="C399" s="66"/>
      <c r="D399" s="62" t="s">
        <v>54</v>
      </c>
      <c r="E399" s="69">
        <f>0.035/12</f>
        <v>2.9166666666666668E-3</v>
      </c>
      <c r="F399" s="70">
        <f t="shared" ref="F399:H399" si="191">0.035/12</f>
        <v>2.9166666666666668E-3</v>
      </c>
      <c r="G399" s="70">
        <f t="shared" si="191"/>
        <v>2.9166666666666668E-3</v>
      </c>
      <c r="H399" s="70">
        <f t="shared" si="191"/>
        <v>2.9166666666666668E-3</v>
      </c>
      <c r="I399" s="70">
        <v>3.0000000000000001E-3</v>
      </c>
      <c r="J399" s="70">
        <v>2.7000000000000001E-3</v>
      </c>
      <c r="K399" s="70">
        <v>3.0000000000000001E-3</v>
      </c>
      <c r="L399" s="70">
        <v>3.0000000000000001E-3</v>
      </c>
      <c r="M399" s="70">
        <v>3.2000000000000002E-3</v>
      </c>
      <c r="N399" s="71">
        <v>3.0000000000000001E-3</v>
      </c>
      <c r="O399" s="70">
        <v>3.3999999999999998E-3</v>
      </c>
      <c r="P399" s="70">
        <v>3.3999999999999998E-3</v>
      </c>
      <c r="Q399" s="70">
        <v>3.3E-3</v>
      </c>
      <c r="R399" s="70">
        <v>3.5999999999999999E-3</v>
      </c>
      <c r="S399" s="70">
        <v>3.5000000000000001E-3</v>
      </c>
      <c r="T399" s="70">
        <v>3.5999999999999999E-3</v>
      </c>
      <c r="U399" s="70">
        <v>3.5999999999999999E-3</v>
      </c>
      <c r="V399" s="70">
        <v>3.3E-3</v>
      </c>
      <c r="W399" s="70">
        <v>3.5999999999999999E-3</v>
      </c>
      <c r="X399" s="70">
        <v>3.7000000000000002E-3</v>
      </c>
      <c r="Y399" s="70">
        <v>3.8E-3</v>
      </c>
      <c r="Z399" s="71">
        <v>3.7000000000000002E-3</v>
      </c>
      <c r="AA399" s="70">
        <v>4.0000000000000001E-3</v>
      </c>
      <c r="AB399" s="70">
        <v>4.0000000000000001E-3</v>
      </c>
      <c r="AC399" s="70">
        <v>3.8999999999999998E-3</v>
      </c>
      <c r="AD399" s="70">
        <v>4.1999999999999997E-3</v>
      </c>
      <c r="AE399" s="70">
        <v>4.1000000000000003E-3</v>
      </c>
      <c r="AF399" s="70">
        <v>4.1999999999999997E-3</v>
      </c>
      <c r="AG399" s="70">
        <v>4.4000000000000003E-3</v>
      </c>
      <c r="AH399" s="70">
        <v>4.0000000000000001E-3</v>
      </c>
      <c r="AI399" s="70">
        <v>4.4000000000000003E-3</v>
      </c>
      <c r="AJ399" s="70">
        <v>4.4999999999999997E-3</v>
      </c>
      <c r="AK399" s="70">
        <v>4.5999999999999999E-3</v>
      </c>
      <c r="AL399" s="71">
        <v>4.4999999999999997E-3</v>
      </c>
      <c r="AM399" s="70">
        <v>4.7000000000000002E-3</v>
      </c>
      <c r="AN399" s="70">
        <v>4.7000000000000002E-3</v>
      </c>
      <c r="AO399" s="70">
        <v>4.4999999999999997E-3</v>
      </c>
      <c r="AP399" s="70">
        <v>4.5999999999999999E-3</v>
      </c>
      <c r="AQ399" s="70">
        <v>4.4999999999999997E-3</v>
      </c>
      <c r="AR399" s="70">
        <v>4.5999999999999999E-3</v>
      </c>
      <c r="AS399" s="70">
        <v>4.1999999999999997E-3</v>
      </c>
      <c r="AT399" s="70">
        <v>3.8999999999999998E-3</v>
      </c>
      <c r="AU399" s="70">
        <v>4.1999999999999997E-3</v>
      </c>
      <c r="AV399" s="70">
        <v>3.8999999999999998E-3</v>
      </c>
      <c r="AW399" s="70">
        <v>4.0000000000000001E-3</v>
      </c>
      <c r="AX399" s="71">
        <v>3.8999999999999998E-3</v>
      </c>
      <c r="AY399" s="70">
        <v>2.8999999999999998E-3</v>
      </c>
      <c r="AZ399" s="70">
        <v>2.8999999999999998E-3</v>
      </c>
      <c r="BA399" s="70">
        <v>2.8E-3</v>
      </c>
      <c r="BB399" s="70">
        <v>2.8E-3</v>
      </c>
      <c r="BC399" s="70">
        <v>2.7000000000000001E-3</v>
      </c>
      <c r="BD399" s="70">
        <v>2.8E-3</v>
      </c>
      <c r="BE399" s="70">
        <v>2.8E-3</v>
      </c>
      <c r="BF399" s="70">
        <v>2.5000000000000001E-3</v>
      </c>
      <c r="BG399" s="70">
        <v>2.8E-3</v>
      </c>
    </row>
    <row r="400" spans="1:59" ht="15.75" customHeight="1">
      <c r="C400" s="44"/>
      <c r="D400" s="55"/>
      <c r="E400" s="67"/>
      <c r="F400" s="57"/>
      <c r="G400" s="57"/>
      <c r="H400" s="57"/>
      <c r="I400" s="57"/>
      <c r="J400" s="57"/>
      <c r="K400" s="57"/>
      <c r="L400" s="57"/>
      <c r="M400" s="57"/>
      <c r="N400" s="68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3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3"/>
      <c r="AM400" s="72"/>
      <c r="AN400" s="72"/>
      <c r="AO400" s="72"/>
      <c r="AP400" s="72"/>
      <c r="AQ400" s="72"/>
      <c r="AR400" s="72"/>
      <c r="AS400" s="5"/>
      <c r="AT400" s="5"/>
      <c r="AU400" s="5"/>
      <c r="AV400" s="5"/>
      <c r="AW400" s="5"/>
      <c r="AX400" s="48"/>
      <c r="AY400" s="5"/>
      <c r="AZ400" s="5"/>
      <c r="BA400" s="5"/>
      <c r="BB400" s="5"/>
      <c r="BC400" s="5"/>
      <c r="BD400" s="5"/>
      <c r="BE400" s="5"/>
      <c r="BF400" s="5"/>
      <c r="BG400" s="5"/>
    </row>
    <row r="401" spans="1:59" ht="15.75" hidden="1" customHeight="1" outlineLevel="1">
      <c r="A401" s="1" t="s">
        <v>55</v>
      </c>
      <c r="C401" s="27"/>
      <c r="D401" s="55"/>
      <c r="E401" s="67"/>
      <c r="F401" s="57"/>
      <c r="G401" s="57"/>
      <c r="H401" s="57"/>
      <c r="I401" s="57"/>
      <c r="J401" s="57"/>
      <c r="K401" s="57"/>
      <c r="L401" s="57"/>
      <c r="M401" s="57"/>
      <c r="N401" s="68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48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48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48"/>
      <c r="AY401" s="5"/>
      <c r="AZ401" s="5"/>
      <c r="BA401" s="5"/>
      <c r="BB401" s="5"/>
      <c r="BC401" s="5"/>
      <c r="BD401" s="5"/>
      <c r="BE401" s="5"/>
      <c r="BF401" s="5"/>
      <c r="BG401" s="5"/>
    </row>
    <row r="402" spans="1:59" ht="15.75" hidden="1" customHeight="1" outlineLevel="1">
      <c r="C402" s="44"/>
      <c r="D402" s="55"/>
      <c r="E402" s="67"/>
      <c r="F402" s="57"/>
      <c r="G402" s="57"/>
      <c r="H402" s="57"/>
      <c r="I402" s="57"/>
      <c r="J402" s="57"/>
      <c r="K402" s="57"/>
      <c r="L402" s="57"/>
      <c r="M402" s="57"/>
      <c r="N402" s="68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48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48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48"/>
      <c r="AY402" s="5"/>
      <c r="AZ402" s="5"/>
      <c r="BA402" s="5"/>
      <c r="BB402" s="5"/>
      <c r="BC402" s="5"/>
      <c r="BD402" s="5"/>
      <c r="BE402" s="5"/>
      <c r="BF402" s="5"/>
      <c r="BG402" s="5"/>
    </row>
    <row r="403" spans="1:59" ht="15.75" hidden="1" customHeight="1" outlineLevel="1">
      <c r="A403" s="13" t="s">
        <v>52</v>
      </c>
      <c r="B403" s="13" t="s">
        <v>52</v>
      </c>
      <c r="C403" s="27">
        <v>1</v>
      </c>
      <c r="D403" s="55" t="s">
        <v>56</v>
      </c>
      <c r="E403" s="67"/>
      <c r="F403" s="57"/>
      <c r="G403" s="57"/>
      <c r="H403" s="57"/>
      <c r="I403" s="57"/>
      <c r="J403" s="57"/>
      <c r="K403" s="57"/>
      <c r="L403" s="57"/>
      <c r="M403" s="57"/>
      <c r="N403" s="68"/>
      <c r="O403" s="74">
        <v>2575330</v>
      </c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48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48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48"/>
      <c r="AY403" s="5"/>
      <c r="AZ403" s="5"/>
      <c r="BA403" s="5"/>
      <c r="BB403" s="5"/>
      <c r="BC403" s="5"/>
      <c r="BD403" s="5"/>
      <c r="BE403" s="5"/>
      <c r="BF403" s="5"/>
      <c r="BG403" s="5"/>
    </row>
    <row r="404" spans="1:59" ht="15.75" hidden="1" customHeight="1" outlineLevel="1">
      <c r="A404" s="27" t="s">
        <v>27</v>
      </c>
      <c r="B404" s="13" t="s">
        <v>28</v>
      </c>
      <c r="C404" s="27">
        <v>1</v>
      </c>
      <c r="D404" s="55" t="s">
        <v>57</v>
      </c>
      <c r="E404" s="49">
        <f>16/30*5734666.21211064</f>
        <v>3058488.6464590076</v>
      </c>
      <c r="F404" s="5">
        <v>5457085.4618635727</v>
      </c>
      <c r="G404" s="5">
        <v>5913035.3021426145</v>
      </c>
      <c r="H404" s="5">
        <v>10916768.735029623</v>
      </c>
      <c r="I404" s="5">
        <v>10547590.187298032</v>
      </c>
      <c r="J404" s="5">
        <v>9206059.6258682217</v>
      </c>
      <c r="K404" s="5">
        <v>7423943.9575112415</v>
      </c>
      <c r="L404" s="5">
        <v>5543227.5546470406</v>
      </c>
      <c r="M404" s="5">
        <v>4483483.6947267968</v>
      </c>
      <c r="N404" s="48">
        <v>3676418.5653191446</v>
      </c>
      <c r="O404" s="75">
        <f>IFERROR(SUM(E404:N404)/SUM($E$404:$N$409)*$O$403,0)</f>
        <v>1320717.2954872781</v>
      </c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48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48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48"/>
      <c r="AY404" s="5"/>
      <c r="AZ404" s="5"/>
      <c r="BA404" s="5"/>
      <c r="BB404" s="5"/>
      <c r="BC404" s="5"/>
      <c r="BD404" s="5"/>
      <c r="BE404" s="5"/>
      <c r="BF404" s="5"/>
      <c r="BG404" s="5"/>
    </row>
    <row r="405" spans="1:59" ht="15.75" hidden="1" customHeight="1" outlineLevel="1">
      <c r="A405" s="27" t="s">
        <v>45</v>
      </c>
      <c r="B405" s="13" t="s">
        <v>46</v>
      </c>
      <c r="C405" s="27">
        <v>1</v>
      </c>
      <c r="D405" s="55" t="s">
        <v>57</v>
      </c>
      <c r="E405" s="49">
        <f>16/30*O58/O152*2582473.28710364</f>
        <v>-1069339.5064803753</v>
      </c>
      <c r="F405" s="5">
        <f>O58/O152*2336727.58520276</f>
        <v>-1814216.5801032339</v>
      </c>
      <c r="G405" s="5">
        <f>O58/O152*2270477.74010844</f>
        <v>-1762780.7310293005</v>
      </c>
      <c r="H405" s="5">
        <f>O58/O152*2927149.17530098</f>
        <v>-2272615.1734138704</v>
      </c>
      <c r="I405" s="5">
        <f>O58/O152*2828442.75110993</f>
        <v>-2195980.2963044932</v>
      </c>
      <c r="J405" s="5">
        <f>O58/O152*2545977.69098353</f>
        <v>-1976676.6861505925</v>
      </c>
      <c r="K405" s="5">
        <f>O58/O152*2290217.15082451</f>
        <v>-1778106.251397758</v>
      </c>
      <c r="L405" s="5">
        <f>O58/O152*2138449.06643133</f>
        <v>-1660274.7263281711</v>
      </c>
      <c r="M405" s="5">
        <f>O58/O152*2057495.88919707</f>
        <v>-1597423.3279535992</v>
      </c>
      <c r="N405" s="48">
        <f>O58/O152*2251586.29361557</f>
        <v>-1748113.5632915923</v>
      </c>
      <c r="O405" s="48">
        <f>IFERROR(SUM(E405:N405)/SUM($E$404:$N$409)*$O$403,0)</f>
        <v>-356483.57444798504</v>
      </c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48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48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48"/>
      <c r="AY405" s="5"/>
      <c r="AZ405" s="5"/>
      <c r="BA405" s="5"/>
      <c r="BB405" s="5"/>
      <c r="BC405" s="5"/>
      <c r="BD405" s="5"/>
      <c r="BE405" s="5"/>
      <c r="BF405" s="5"/>
      <c r="BG405" s="5"/>
    </row>
    <row r="406" spans="1:59" ht="15.75" hidden="1" customHeight="1" outlineLevel="1">
      <c r="A406" s="27" t="s">
        <v>45</v>
      </c>
      <c r="B406" s="13" t="s">
        <v>47</v>
      </c>
      <c r="C406" s="27">
        <v>1</v>
      </c>
      <c r="D406" s="55" t="s">
        <v>57</v>
      </c>
      <c r="E406" s="49">
        <f>16/30*O105/O152*2582473.28710364</f>
        <v>2446658.5929356501</v>
      </c>
      <c r="F406" s="5">
        <f>O105/O152*2336727.58520276</f>
        <v>4150944.1653059945</v>
      </c>
      <c r="G406" s="5">
        <f>O105/O152*2270477.74010844</f>
        <v>4033258.4711377411</v>
      </c>
      <c r="H406" s="5">
        <f>O105/O152*2927149.17530098</f>
        <v>5199764.3487148508</v>
      </c>
      <c r="I406" s="5">
        <f>O105/O152*2828442.75110993</f>
        <v>5024423.0474144239</v>
      </c>
      <c r="J406" s="5">
        <f>O105/O152*2545977.69098353</f>
        <v>4522654.3771341229</v>
      </c>
      <c r="K406" s="5">
        <f>O105/O152*2290217.15082451</f>
        <v>4068323.4022222683</v>
      </c>
      <c r="L406" s="5">
        <f>O105/O152*2138449.06643133</f>
        <v>3798723.7927595018</v>
      </c>
      <c r="M406" s="5">
        <f>O105/O152*2057495.88919707</f>
        <v>3654919.2171506695</v>
      </c>
      <c r="N406" s="48">
        <f>O105/O152*2251586.29361557</f>
        <v>3999699.8569071628</v>
      </c>
      <c r="O406" s="48">
        <f t="shared" ref="O406:O409" si="192">IFERROR(SUM(E406:N406)/SUM($E$404:$N$409)*$O$403,0)</f>
        <v>815637.68604633037</v>
      </c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48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48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48"/>
      <c r="AY406" s="5"/>
      <c r="AZ406" s="5"/>
      <c r="BA406" s="5"/>
      <c r="BB406" s="5"/>
      <c r="BC406" s="5"/>
      <c r="BD406" s="5"/>
      <c r="BE406" s="5"/>
      <c r="BF406" s="5"/>
      <c r="BG406" s="5"/>
    </row>
    <row r="407" spans="1:59" ht="15.75" hidden="1" customHeight="1" outlineLevel="1">
      <c r="A407" s="27" t="s">
        <v>49</v>
      </c>
      <c r="B407" s="13" t="s">
        <v>46</v>
      </c>
      <c r="C407" s="27">
        <v>1</v>
      </c>
      <c r="D407" s="55" t="s">
        <v>57</v>
      </c>
      <c r="E407" s="49">
        <f>16/30*O199/O293*3983762.64401195</f>
        <v>5102411.546419627</v>
      </c>
      <c r="F407" s="5">
        <f>O199/O293*4272450.05555019</f>
        <v>10260305.603159511</v>
      </c>
      <c r="G407" s="5">
        <f>O199/O293*4069702.25983481</f>
        <v>9773405.9747590907</v>
      </c>
      <c r="H407" s="5">
        <f>O199/O293*4214418.39037479</f>
        <v>10120942.331121648</v>
      </c>
      <c r="I407" s="5">
        <f>O199/O293*3837303.81744823</f>
        <v>9215300.2018227912</v>
      </c>
      <c r="J407" s="5">
        <f>O199/O293*3533601.29161025</f>
        <v>8485957.3921856992</v>
      </c>
      <c r="K407" s="5">
        <f>O199/O293*3336342.57930374</f>
        <v>8012239.8191689504</v>
      </c>
      <c r="L407" s="5">
        <f>O199/O293*3248962.43959021</f>
        <v>7802396.0701605985</v>
      </c>
      <c r="M407" s="5">
        <f>O199/O293*3126708.08394358</f>
        <v>7508801.7545003667</v>
      </c>
      <c r="N407" s="48">
        <f>O199/O293*3322794.3583527</f>
        <v>7979703.7132977489</v>
      </c>
      <c r="O407" s="48">
        <f t="shared" si="192"/>
        <v>1680388.4039125226</v>
      </c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48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48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48"/>
      <c r="AY407" s="5"/>
      <c r="AZ407" s="5"/>
      <c r="BA407" s="5"/>
      <c r="BB407" s="5"/>
      <c r="BC407" s="5"/>
      <c r="BD407" s="5"/>
      <c r="BE407" s="5"/>
      <c r="BF407" s="5"/>
      <c r="BG407" s="5"/>
    </row>
    <row r="408" spans="1:59" ht="15.75" hidden="1" customHeight="1" outlineLevel="1">
      <c r="A408" s="27" t="s">
        <v>49</v>
      </c>
      <c r="B408" s="13" t="s">
        <v>47</v>
      </c>
      <c r="C408" s="27">
        <v>1</v>
      </c>
      <c r="D408" s="55" t="s">
        <v>57</v>
      </c>
      <c r="E408" s="49">
        <f>16/30*O246/O293*3983762.64401195</f>
        <v>-2977738.1362799187</v>
      </c>
      <c r="F408" s="5">
        <f>O246/O293*4272450.05555019</f>
        <v>-5987855.5476093208</v>
      </c>
      <c r="G408" s="5">
        <f>O246/O293*4069702.25983481</f>
        <v>-5703703.7149242787</v>
      </c>
      <c r="H408" s="5">
        <f>O246/O293*4214418.39037479</f>
        <v>-5906523.9407468559</v>
      </c>
      <c r="I408" s="5">
        <f>O246/O293*3837303.81744823</f>
        <v>-5377996.3843745599</v>
      </c>
      <c r="J408" s="5">
        <f>O246/O293*3533601.29161025</f>
        <v>-4952356.100575448</v>
      </c>
      <c r="K408" s="5">
        <f>O246/O293*3336342.57930374</f>
        <v>-4675897.239865209</v>
      </c>
      <c r="L408" s="5">
        <f>O246/O293*3248962.43959021</f>
        <v>-4553433.6305703875</v>
      </c>
      <c r="M408" s="5">
        <f>O246/O293*3126708.08394358</f>
        <v>-4382093.6705567855</v>
      </c>
      <c r="N408" s="48">
        <f>O246/O293*3322794.3583527</f>
        <v>-4656909.3549450478</v>
      </c>
      <c r="O408" s="48">
        <f t="shared" si="192"/>
        <v>-980665.04212189792</v>
      </c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48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48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48"/>
      <c r="AY408" s="5"/>
      <c r="AZ408" s="5"/>
      <c r="BA408" s="5"/>
      <c r="BB408" s="5"/>
      <c r="BC408" s="5"/>
      <c r="BD408" s="5"/>
      <c r="BE408" s="5"/>
      <c r="BF408" s="5"/>
      <c r="BG408" s="5"/>
    </row>
    <row r="409" spans="1:59" ht="15.75" hidden="1" customHeight="1" outlineLevel="1">
      <c r="A409" s="27" t="s">
        <v>50</v>
      </c>
      <c r="B409" s="13" t="s">
        <v>51</v>
      </c>
      <c r="C409" s="27">
        <v>1</v>
      </c>
      <c r="D409" s="55" t="s">
        <v>57</v>
      </c>
      <c r="E409" s="49">
        <f>16/30*1533083.44276186</f>
        <v>817644.50280632533</v>
      </c>
      <c r="F409" s="5">
        <v>910303.71751652018</v>
      </c>
      <c r="G409" s="5">
        <v>270371.23214025679</v>
      </c>
      <c r="H409" s="5">
        <v>42758.620516066796</v>
      </c>
      <c r="I409" s="5">
        <v>24224.429315567133</v>
      </c>
      <c r="J409" s="5">
        <v>25062.384149354155</v>
      </c>
      <c r="K409" s="5">
        <v>181931.49642857208</v>
      </c>
      <c r="L409" s="5">
        <v>585248.51145322924</v>
      </c>
      <c r="M409" s="5">
        <v>896240.92220179294</v>
      </c>
      <c r="N409" s="48">
        <v>1046765.5030416335</v>
      </c>
      <c r="O409" s="64">
        <f t="shared" si="192"/>
        <v>95735.231123751597</v>
      </c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48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48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48"/>
      <c r="AY409" s="5"/>
      <c r="AZ409" s="5"/>
      <c r="BA409" s="5"/>
      <c r="BB409" s="5"/>
      <c r="BC409" s="5"/>
      <c r="BD409" s="5"/>
      <c r="BE409" s="5"/>
      <c r="BF409" s="5"/>
      <c r="BG409" s="5"/>
    </row>
    <row r="410" spans="1:59" ht="15.75" hidden="1" customHeight="1" outlineLevel="1">
      <c r="C410" s="44"/>
      <c r="D410" s="55"/>
      <c r="E410" s="67"/>
      <c r="F410" s="57"/>
      <c r="G410" s="57"/>
      <c r="H410" s="57"/>
      <c r="I410" s="57"/>
      <c r="J410" s="57"/>
      <c r="K410" s="57"/>
      <c r="L410" s="57"/>
      <c r="M410" s="57"/>
      <c r="N410" s="68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48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48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48"/>
      <c r="AY410" s="5"/>
      <c r="AZ410" s="5"/>
      <c r="BA410" s="5"/>
      <c r="BB410" s="5"/>
      <c r="BC410" s="5"/>
      <c r="BD410" s="5"/>
      <c r="BE410" s="5"/>
      <c r="BF410" s="5"/>
      <c r="BG410" s="5"/>
    </row>
    <row r="411" spans="1:59" ht="15.75" hidden="1" customHeight="1" outlineLevel="1">
      <c r="A411" s="13" t="s">
        <v>52</v>
      </c>
      <c r="B411" s="13" t="s">
        <v>52</v>
      </c>
      <c r="C411" s="27">
        <v>2</v>
      </c>
      <c r="D411" s="55" t="s">
        <v>56</v>
      </c>
      <c r="E411" s="67"/>
      <c r="F411" s="57"/>
      <c r="G411" s="57"/>
      <c r="H411" s="57"/>
      <c r="I411" s="57"/>
      <c r="J411" s="57"/>
      <c r="K411" s="57"/>
      <c r="L411" s="57"/>
      <c r="M411" s="57"/>
      <c r="N411" s="68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48"/>
      <c r="AA411" s="5"/>
      <c r="AB411" s="5"/>
      <c r="AC411" s="5"/>
      <c r="AD411" s="5"/>
      <c r="AE411" s="5"/>
      <c r="AF411" s="5"/>
      <c r="AG411" s="5"/>
      <c r="AH411" s="74">
        <v>3495984</v>
      </c>
      <c r="AI411" s="5"/>
      <c r="AJ411" s="5"/>
      <c r="AK411" s="5"/>
      <c r="AL411" s="48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48"/>
      <c r="AY411" s="5"/>
      <c r="AZ411" s="5"/>
      <c r="BA411" s="5"/>
      <c r="BB411" s="5"/>
      <c r="BC411" s="5"/>
      <c r="BD411" s="5"/>
      <c r="BE411" s="5"/>
      <c r="BF411" s="5"/>
      <c r="BG411" s="5"/>
    </row>
    <row r="412" spans="1:59" ht="15.75" hidden="1" customHeight="1" outlineLevel="1">
      <c r="A412" s="27" t="s">
        <v>27</v>
      </c>
      <c r="B412" s="13" t="s">
        <v>28</v>
      </c>
      <c r="C412" s="27">
        <v>2</v>
      </c>
      <c r="D412" s="55" t="s">
        <v>57</v>
      </c>
      <c r="E412" s="76"/>
      <c r="N412" s="50"/>
      <c r="O412" s="5">
        <f>Deferral!Q25</f>
        <v>4736375.3174852291</v>
      </c>
      <c r="P412" s="5">
        <f>Deferral!R25</f>
        <v>6327143.0038342942</v>
      </c>
      <c r="Q412" s="5">
        <f>Deferral!S25+Deferral!T25</f>
        <v>5862525.5450030342</v>
      </c>
      <c r="R412" s="5">
        <f>Deferral!U25+Deferral!V25</f>
        <v>5760157.7235421054</v>
      </c>
      <c r="S412" s="5">
        <f>Deferral!W25</f>
        <v>6289736.8248806037</v>
      </c>
      <c r="T412" s="5">
        <f>Deferral!X25</f>
        <v>11623166.033157419</v>
      </c>
      <c r="U412" s="5">
        <f>Deferral!Y25</f>
        <v>11236577.369522907</v>
      </c>
      <c r="V412" s="5">
        <f>Deferral!Z25</f>
        <v>9818451.1189114433</v>
      </c>
      <c r="W412" s="5">
        <f>Deferral!AA25</f>
        <v>7927864.2180569349</v>
      </c>
      <c r="X412" s="5">
        <f>Deferral!AB25</f>
        <v>5917292.4928542012</v>
      </c>
      <c r="Y412" s="5">
        <f>Deferral!AC25</f>
        <v>4781149.7587885298</v>
      </c>
      <c r="Z412" s="48">
        <f>Deferral!AD25</f>
        <v>3918244.0876651211</v>
      </c>
      <c r="AA412" s="5"/>
      <c r="AB412" s="5"/>
      <c r="AC412" s="5"/>
      <c r="AD412" s="5"/>
      <c r="AE412" s="5"/>
      <c r="AF412" s="5"/>
      <c r="AG412" s="5"/>
      <c r="AH412" s="77">
        <f t="shared" ref="AH412:AH417" si="193">IFERROR(SUM(O412:Z412)/SUM($O$412:$Z$417)*$AH$411,0)</f>
        <v>1735141.981369955</v>
      </c>
      <c r="AI412" s="5"/>
      <c r="AJ412" s="5"/>
      <c r="AK412" s="5"/>
      <c r="AL412" s="48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48"/>
      <c r="AY412" s="5"/>
      <c r="AZ412" s="5"/>
      <c r="BA412" s="5"/>
      <c r="BB412" s="5"/>
      <c r="BC412" s="5"/>
      <c r="BD412" s="5"/>
      <c r="BE412" s="5"/>
      <c r="BF412" s="5"/>
      <c r="BG412" s="5"/>
    </row>
    <row r="413" spans="1:59" ht="15.75" hidden="1" customHeight="1" outlineLevel="1">
      <c r="A413" s="27" t="s">
        <v>45</v>
      </c>
      <c r="B413" s="13" t="s">
        <v>46</v>
      </c>
      <c r="C413" s="27">
        <v>2</v>
      </c>
      <c r="D413" s="55" t="s">
        <v>57</v>
      </c>
      <c r="E413" s="76"/>
      <c r="N413" s="50"/>
      <c r="O413" s="5">
        <f>Deferral!Q49+Deferral!Q61</f>
        <v>2426240.3340154542</v>
      </c>
      <c r="P413" s="5">
        <f>Deferral!R49+Deferral!R61</f>
        <v>2798613.8489171565</v>
      </c>
      <c r="Q413" s="5">
        <f>Deferral!S49+Deferral!S61+Deferral!T49+Deferral!T61</f>
        <v>2612063.041084588</v>
      </c>
      <c r="R413" s="5">
        <f>Deferral!U49+Deferral!U61+Deferral!V49+Deferral!V61</f>
        <v>2434546.7312299665</v>
      </c>
      <c r="S413" s="5">
        <f>Deferral!W49+Deferral!W61</f>
        <v>2383102.0238387557</v>
      </c>
      <c r="T413" s="5">
        <f>Deferral!X49+Deferral!X61</f>
        <v>3078086.2724166866</v>
      </c>
      <c r="U413" s="5">
        <f>Deferral!Y49+Deferral!Y61</f>
        <v>2976600.8833079399</v>
      </c>
      <c r="V413" s="5">
        <f>Deferral!Z49+Deferral!Z61</f>
        <v>2686827.9368140968</v>
      </c>
      <c r="W413" s="5">
        <f>Deferral!AA49+Deferral!AA61</f>
        <v>2417666.4708039649</v>
      </c>
      <c r="X413" s="5">
        <f>Deferral!AB49+Deferral!AB61</f>
        <v>2263276.1563725565</v>
      </c>
      <c r="Y413" s="5">
        <f>Deferral!AC49+Deferral!AC61</f>
        <v>2181743.8325769994</v>
      </c>
      <c r="Z413" s="48">
        <f>Deferral!AD49+Deferral!AD61</f>
        <v>2388781.2938890932</v>
      </c>
      <c r="AA413" s="5"/>
      <c r="AB413" s="5"/>
      <c r="AC413" s="5"/>
      <c r="AD413" s="5"/>
      <c r="AE413" s="5"/>
      <c r="AF413" s="5"/>
      <c r="AG413" s="5"/>
      <c r="AH413" s="78">
        <f t="shared" si="193"/>
        <v>631575.77275878005</v>
      </c>
      <c r="AI413" s="5"/>
      <c r="AJ413" s="5"/>
      <c r="AK413" s="5"/>
      <c r="AL413" s="48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48"/>
      <c r="AY413" s="5"/>
      <c r="AZ413" s="5"/>
      <c r="BA413" s="5"/>
      <c r="BB413" s="5"/>
      <c r="BC413" s="5"/>
      <c r="BD413" s="5"/>
      <c r="BE413" s="5"/>
      <c r="BF413" s="5"/>
      <c r="BG413" s="5"/>
    </row>
    <row r="414" spans="1:59" ht="15.75" hidden="1" customHeight="1" outlineLevel="1">
      <c r="A414" s="27" t="s">
        <v>45</v>
      </c>
      <c r="B414" s="13" t="s">
        <v>47</v>
      </c>
      <c r="C414" s="27">
        <v>2</v>
      </c>
      <c r="D414" s="55" t="s">
        <v>57</v>
      </c>
      <c r="E414" s="76"/>
      <c r="N414" s="50"/>
      <c r="O414" s="5">
        <f>Deferral!Q73</f>
        <v>47737.206091739798</v>
      </c>
      <c r="P414" s="5">
        <f>Deferral!R73</f>
        <v>55052.30477650759</v>
      </c>
      <c r="Q414" s="5">
        <f>Deferral!S73+Deferral!T73</f>
        <v>51535.039904482233</v>
      </c>
      <c r="R414" s="5">
        <f>Deferral!U73+Deferral!V73</f>
        <v>47763.536515075946</v>
      </c>
      <c r="S414" s="5">
        <f>Deferral!W73</f>
        <v>46620.80135889216</v>
      </c>
      <c r="T414" s="5">
        <f>Deferral!X73</f>
        <v>59626.263318166515</v>
      </c>
      <c r="U414" s="5">
        <f>Deferral!Y73</f>
        <v>57769.657967108862</v>
      </c>
      <c r="V414" s="5">
        <f>Deferral!Z73</f>
        <v>52139.105297383372</v>
      </c>
      <c r="W414" s="5">
        <f>Deferral!AA73</f>
        <v>46651.906928112825</v>
      </c>
      <c r="X414" s="5">
        <f>Deferral!AB73</f>
        <v>43443.907283190805</v>
      </c>
      <c r="Y414" s="5">
        <f>Deferral!AC73</f>
        <v>41687.231276318445</v>
      </c>
      <c r="Z414" s="48">
        <f>Deferral!AD73</f>
        <v>45742.359598574454</v>
      </c>
      <c r="AA414" s="5"/>
      <c r="AB414" s="5"/>
      <c r="AC414" s="5"/>
      <c r="AD414" s="5"/>
      <c r="AE414" s="5"/>
      <c r="AF414" s="5"/>
      <c r="AG414" s="5"/>
      <c r="AH414" s="78">
        <f t="shared" si="193"/>
        <v>12277.440881472756</v>
      </c>
      <c r="AI414" s="5"/>
      <c r="AJ414" s="5"/>
      <c r="AK414" s="5"/>
      <c r="AL414" s="48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48"/>
      <c r="AY414" s="5"/>
      <c r="AZ414" s="5"/>
      <c r="BA414" s="5"/>
      <c r="BB414" s="5"/>
      <c r="BC414" s="5"/>
      <c r="BD414" s="5"/>
      <c r="BE414" s="5"/>
      <c r="BF414" s="5"/>
      <c r="BG414" s="5"/>
    </row>
    <row r="415" spans="1:59" ht="15.75" hidden="1" customHeight="1" outlineLevel="1">
      <c r="A415" s="27" t="s">
        <v>49</v>
      </c>
      <c r="B415" s="13" t="s">
        <v>46</v>
      </c>
      <c r="C415" s="27">
        <v>2</v>
      </c>
      <c r="D415" s="55" t="s">
        <v>57</v>
      </c>
      <c r="E415" s="76"/>
      <c r="N415" s="50"/>
      <c r="O415" s="5">
        <f>Deferral!Q100+Deferral!Q112</f>
        <v>2986090.9606339564</v>
      </c>
      <c r="P415" s="5">
        <f>Deferral!R100+Deferral!R112</f>
        <v>3254671.0207381593</v>
      </c>
      <c r="Q415" s="5">
        <f>Deferral!S100+Deferral!S112+Deferral!T100+Deferral!T112</f>
        <v>3653720.0594186587</v>
      </c>
      <c r="R415" s="5">
        <f>Deferral!U100+Deferral!U112+Deferral!V100+Deferral!V112</f>
        <v>4016258.7901340821</v>
      </c>
      <c r="S415" s="5">
        <f>Deferral!W100+Deferral!W112</f>
        <v>3853056.0761418794</v>
      </c>
      <c r="T415" s="5">
        <f>Deferral!X100+Deferral!X112</f>
        <v>3986038.0283849891</v>
      </c>
      <c r="U415" s="5">
        <f>Deferral!Y100+Deferral!Y112</f>
        <v>3622019.9335266259</v>
      </c>
      <c r="V415" s="5">
        <f>Deferral!Z100+Deferral!Z112</f>
        <v>3284666.7001144174</v>
      </c>
      <c r="W415" s="5">
        <f>Deferral!AA100+Deferral!AA112</f>
        <v>3094923.1538879192</v>
      </c>
      <c r="X415" s="5">
        <f>Deferral!AB100+Deferral!AB112</f>
        <v>2992116.3373654187</v>
      </c>
      <c r="Y415" s="5">
        <f>Deferral!AC100+Deferral!AC112</f>
        <v>2879526.7763452823</v>
      </c>
      <c r="Z415" s="48">
        <f>Deferral!AD100+Deferral!AD112</f>
        <v>3060111.4879575991</v>
      </c>
      <c r="AA415" s="5"/>
      <c r="AB415" s="5"/>
      <c r="AC415" s="5"/>
      <c r="AD415" s="5"/>
      <c r="AE415" s="5"/>
      <c r="AF415" s="5"/>
      <c r="AG415" s="5"/>
      <c r="AH415" s="78">
        <f t="shared" si="193"/>
        <v>838387.53951444582</v>
      </c>
      <c r="AI415" s="5"/>
      <c r="AJ415" s="5"/>
      <c r="AK415" s="5"/>
      <c r="AL415" s="48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48"/>
      <c r="AY415" s="5"/>
      <c r="AZ415" s="5"/>
      <c r="BA415" s="5"/>
      <c r="BB415" s="5"/>
      <c r="BC415" s="5"/>
      <c r="BD415" s="5"/>
      <c r="BE415" s="5"/>
      <c r="BF415" s="5"/>
      <c r="BG415" s="5"/>
    </row>
    <row r="416" spans="1:59" ht="15.75" hidden="1" customHeight="1" outlineLevel="1">
      <c r="A416" s="27" t="s">
        <v>49</v>
      </c>
      <c r="B416" s="13" t="s">
        <v>47</v>
      </c>
      <c r="C416" s="27">
        <v>2</v>
      </c>
      <c r="D416" s="55" t="s">
        <v>57</v>
      </c>
      <c r="E416" s="76"/>
      <c r="N416" s="50"/>
      <c r="O416" s="5">
        <f>Deferral!Q124</f>
        <v>317478.0760553655</v>
      </c>
      <c r="P416" s="5">
        <f>Deferral!R124</f>
        <v>344496.4286063576</v>
      </c>
      <c r="Q416" s="5">
        <f>Deferral!S124+Deferral!T124</f>
        <v>387515.76387773611</v>
      </c>
      <c r="R416" s="5">
        <f>Deferral!U124+Deferral!V124</f>
        <v>430023.66843859915</v>
      </c>
      <c r="S416" s="5">
        <f>Deferral!W124</f>
        <v>408657.4626211084</v>
      </c>
      <c r="T416" s="5">
        <f>Deferral!X124</f>
        <v>427219.44490273891</v>
      </c>
      <c r="U416" s="5">
        <f>Deferral!Y124</f>
        <v>392660.72227694932</v>
      </c>
      <c r="V416" s="5">
        <f>Deferral!Z124</f>
        <v>354825.10649384139</v>
      </c>
      <c r="W416" s="5">
        <f>Deferral!AA124</f>
        <v>338208.09722898906</v>
      </c>
      <c r="X416" s="5">
        <f>Deferral!AB124</f>
        <v>326243.21435448487</v>
      </c>
      <c r="Y416" s="5">
        <f>Deferral!AC124</f>
        <v>313967.09399403387</v>
      </c>
      <c r="Z416" s="48">
        <f>Deferral!AD124</f>
        <v>336834.70168588316</v>
      </c>
      <c r="AA416" s="5"/>
      <c r="AB416" s="5"/>
      <c r="AC416" s="5"/>
      <c r="AD416" s="5"/>
      <c r="AE416" s="5"/>
      <c r="AF416" s="5"/>
      <c r="AG416" s="5"/>
      <c r="AH416" s="78">
        <f t="shared" si="193"/>
        <v>90223.225196418105</v>
      </c>
      <c r="AI416" s="5"/>
      <c r="AJ416" s="5"/>
      <c r="AK416" s="5"/>
      <c r="AL416" s="48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48"/>
      <c r="AY416" s="5"/>
      <c r="AZ416" s="5"/>
      <c r="BA416" s="5"/>
      <c r="BB416" s="5"/>
      <c r="BC416" s="5"/>
      <c r="BD416" s="5"/>
      <c r="BE416" s="5"/>
      <c r="BF416" s="5"/>
      <c r="BG416" s="5"/>
    </row>
    <row r="417" spans="1:59" ht="15.75" hidden="1" customHeight="1" outlineLevel="1">
      <c r="A417" s="27" t="s">
        <v>50</v>
      </c>
      <c r="B417" s="13" t="s">
        <v>51</v>
      </c>
      <c r="C417" s="27">
        <v>2</v>
      </c>
      <c r="D417" s="55" t="s">
        <v>57</v>
      </c>
      <c r="E417" s="76"/>
      <c r="N417" s="50"/>
      <c r="O417" s="5">
        <f>Deferral!Q151</f>
        <v>1656622.2870433235</v>
      </c>
      <c r="P417" s="5">
        <f>Deferral!R151</f>
        <v>1874232.4897627519</v>
      </c>
      <c r="Q417" s="5">
        <f>Deferral!S151+Deferral!T151</f>
        <v>1529367.4854615147</v>
      </c>
      <c r="R417" s="5">
        <f>Deferral!U151+Deferral!V151</f>
        <v>930960.09463873017</v>
      </c>
      <c r="S417" s="5">
        <f>Deferral!W151</f>
        <v>276969.36414541584</v>
      </c>
      <c r="T417" s="5">
        <f>Deferral!X151</f>
        <v>43734.321818851728</v>
      </c>
      <c r="U417" s="5">
        <f>Deferral!Y151</f>
        <v>24738.802845585997</v>
      </c>
      <c r="V417" s="5">
        <f>Deferral!Z151</f>
        <v>25604.482452677119</v>
      </c>
      <c r="W417" s="5">
        <f>Deferral!AA151</f>
        <v>185578.27802688189</v>
      </c>
      <c r="X417" s="5">
        <f>Deferral!AB151</f>
        <v>599298.97294981044</v>
      </c>
      <c r="Y417" s="5">
        <f>Deferral!AC151</f>
        <v>918823.0993529479</v>
      </c>
      <c r="Z417" s="48">
        <f>Deferral!AD151</f>
        <v>1075214.4819846498</v>
      </c>
      <c r="AA417" s="5"/>
      <c r="AB417" s="5"/>
      <c r="AC417" s="5"/>
      <c r="AD417" s="5"/>
      <c r="AE417" s="5"/>
      <c r="AF417" s="5"/>
      <c r="AG417" s="5"/>
      <c r="AH417" s="79">
        <f t="shared" si="193"/>
        <v>188378.04027892606</v>
      </c>
      <c r="AI417" s="5"/>
      <c r="AJ417" s="5"/>
      <c r="AK417" s="5"/>
      <c r="AL417" s="48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48"/>
      <c r="AY417" s="5"/>
      <c r="AZ417" s="5"/>
      <c r="BA417" s="5"/>
      <c r="BB417" s="5"/>
      <c r="BC417" s="5"/>
      <c r="BD417" s="5"/>
      <c r="BE417" s="5"/>
      <c r="BF417" s="5"/>
      <c r="BG417" s="5"/>
    </row>
    <row r="418" spans="1:59" ht="15.75" hidden="1" customHeight="1" outlineLevel="1">
      <c r="C418" s="27"/>
      <c r="D418" s="55"/>
      <c r="E418" s="67"/>
      <c r="F418" s="57"/>
      <c r="G418" s="57"/>
      <c r="H418" s="57"/>
      <c r="I418" s="57"/>
      <c r="J418" s="57"/>
      <c r="K418" s="57"/>
      <c r="L418" s="57"/>
      <c r="M418" s="57"/>
      <c r="N418" s="68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48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48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48"/>
      <c r="AY418" s="5"/>
      <c r="AZ418" s="5"/>
      <c r="BA418" s="5"/>
      <c r="BB418" s="5"/>
      <c r="BC418" s="5"/>
      <c r="BD418" s="5"/>
      <c r="BE418" s="5"/>
      <c r="BF418" s="5"/>
      <c r="BG418" s="5"/>
    </row>
    <row r="419" spans="1:59" ht="15.75" hidden="1" customHeight="1" outlineLevel="1">
      <c r="A419" s="13" t="s">
        <v>52</v>
      </c>
      <c r="B419" s="13" t="s">
        <v>52</v>
      </c>
      <c r="C419" s="27">
        <v>3</v>
      </c>
      <c r="D419" s="55" t="s">
        <v>56</v>
      </c>
      <c r="E419" s="67"/>
      <c r="F419" s="57"/>
      <c r="G419" s="57"/>
      <c r="H419" s="57"/>
      <c r="I419" s="57"/>
      <c r="J419" s="57"/>
      <c r="K419" s="57"/>
      <c r="L419" s="57"/>
      <c r="M419" s="57"/>
      <c r="N419" s="68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48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48"/>
      <c r="AM419" s="5"/>
      <c r="AN419" s="5"/>
      <c r="AO419" s="5"/>
      <c r="AP419" s="5"/>
      <c r="AQ419" s="5"/>
      <c r="AR419" s="5"/>
      <c r="AS419" s="5"/>
      <c r="AT419" s="74">
        <v>11745596.5</v>
      </c>
      <c r="AU419" s="5"/>
      <c r="AV419" s="5"/>
      <c r="AW419" s="5"/>
      <c r="AX419" s="48"/>
      <c r="AY419" s="5"/>
      <c r="AZ419" s="5"/>
      <c r="BA419" s="5"/>
      <c r="BB419" s="5"/>
      <c r="BC419" s="5"/>
      <c r="BD419" s="5"/>
      <c r="BE419" s="5"/>
      <c r="BF419" s="5"/>
      <c r="BG419" s="5"/>
    </row>
    <row r="420" spans="1:59" ht="15.75" hidden="1" customHeight="1" outlineLevel="1">
      <c r="A420" s="27" t="s">
        <v>27</v>
      </c>
      <c r="B420" s="13" t="s">
        <v>28</v>
      </c>
      <c r="C420" s="27">
        <v>3</v>
      </c>
      <c r="D420" s="55" t="s">
        <v>57</v>
      </c>
      <c r="E420" s="67"/>
      <c r="F420" s="57"/>
      <c r="G420" s="57"/>
      <c r="H420" s="57"/>
      <c r="I420" s="57"/>
      <c r="J420" s="57"/>
      <c r="K420" s="57"/>
      <c r="L420" s="57"/>
      <c r="M420" s="57"/>
      <c r="N420" s="68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48"/>
      <c r="AA420" s="5">
        <f>Deferral!AE25</f>
        <v>4967982.7898944365</v>
      </c>
      <c r="AB420" s="5">
        <f>Deferral!AF25</f>
        <v>6646763.6683107577</v>
      </c>
      <c r="AC420" s="5">
        <f>Deferral!AG25</f>
        <v>6125456.1006957553</v>
      </c>
      <c r="AD420" s="5">
        <f>Deferral!AH25</f>
        <v>5826256.4613851402</v>
      </c>
      <c r="AE420" s="5">
        <f>Deferral!AI25</f>
        <v>6320783.6575482152</v>
      </c>
      <c r="AF420" s="5">
        <f>Deferral!AJ25</f>
        <v>11671725.220570888</v>
      </c>
      <c r="AG420" s="5">
        <f>Deferral!AK25</f>
        <v>11293107.693202751</v>
      </c>
      <c r="AH420" s="5">
        <f>Deferral!AL25</f>
        <v>9864690.5734452177</v>
      </c>
      <c r="AI420" s="5">
        <f>Deferral!AM25</f>
        <v>7963755.2104071965</v>
      </c>
      <c r="AJ420" s="5">
        <f>Deferral!AN25</f>
        <v>5949088.4739717813</v>
      </c>
      <c r="AK420" s="5">
        <f>Deferral!AO25</f>
        <v>4815128.5550453532</v>
      </c>
      <c r="AL420" s="48">
        <f>Deferral!AP25</f>
        <v>3949602.8606778248</v>
      </c>
      <c r="AM420" s="5"/>
      <c r="AN420" s="5"/>
      <c r="AO420" s="5"/>
      <c r="AP420" s="5"/>
      <c r="AQ420" s="5"/>
      <c r="AR420" s="5"/>
      <c r="AS420" s="5"/>
      <c r="AT420" s="77">
        <f t="shared" ref="AT420:AT425" si="194">IFERROR(SUM(AA420:AL420)/SUM($AA$420:$AL$425)*$AT$419,0)</f>
        <v>5836328.8654791089</v>
      </c>
      <c r="AU420" s="5"/>
      <c r="AV420" s="5"/>
      <c r="AW420" s="5"/>
      <c r="AX420" s="48"/>
      <c r="AY420" s="5"/>
      <c r="AZ420" s="5"/>
      <c r="BA420" s="5"/>
      <c r="BB420" s="5"/>
      <c r="BC420" s="5"/>
      <c r="BD420" s="5"/>
      <c r="BE420" s="5"/>
      <c r="BF420" s="5"/>
      <c r="BG420" s="5"/>
    </row>
    <row r="421" spans="1:59" ht="15.75" hidden="1" customHeight="1" outlineLevel="1">
      <c r="A421" s="27" t="s">
        <v>45</v>
      </c>
      <c r="B421" s="13" t="s">
        <v>46</v>
      </c>
      <c r="C421" s="27">
        <v>3</v>
      </c>
      <c r="D421" s="55" t="s">
        <v>57</v>
      </c>
      <c r="E421" s="67"/>
      <c r="F421" s="57"/>
      <c r="G421" s="57"/>
      <c r="H421" s="57"/>
      <c r="I421" s="57"/>
      <c r="J421" s="57"/>
      <c r="K421" s="57"/>
      <c r="L421" s="57"/>
      <c r="M421" s="57"/>
      <c r="N421" s="68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48"/>
      <c r="AA421" s="5">
        <f>Deferral!AE49+Deferral!AE61</f>
        <v>2561523.8167274389</v>
      </c>
      <c r="AB421" s="5">
        <f>Deferral!AF49+Deferral!AF61</f>
        <v>2959042.5303109265</v>
      </c>
      <c r="AC421" s="5">
        <f>Deferral!AG49+Deferral!AG61</f>
        <v>2749816.6375652812</v>
      </c>
      <c r="AD421" s="5">
        <f>Deferral!AH49+Deferral!AH61</f>
        <v>2488273.9725198923</v>
      </c>
      <c r="AE421" s="5">
        <f>Deferral!AI49+Deferral!AI61</f>
        <v>2420942.780379395</v>
      </c>
      <c r="AF421" s="5">
        <f>Deferral!AJ49+Deferral!AJ61</f>
        <v>3125914.8258804567</v>
      </c>
      <c r="AG421" s="5">
        <f>Deferral!AK49+Deferral!AK61</f>
        <v>3017732.8797805216</v>
      </c>
      <c r="AH421" s="5">
        <f>Deferral!AL49+Deferral!AL61</f>
        <v>2718305.5349590592</v>
      </c>
      <c r="AI421" s="5">
        <f>Deferral!AM49+Deferral!AM61</f>
        <v>2448726.1628496866</v>
      </c>
      <c r="AJ421" s="5">
        <f>Deferral!AN49+Deferral!AN61</f>
        <v>2284357.5162070272</v>
      </c>
      <c r="AK421" s="5">
        <f>Deferral!AO49+Deferral!AO61</f>
        <v>2201018.5739198131</v>
      </c>
      <c r="AL421" s="48">
        <f>Deferral!AP49+Deferral!AP61</f>
        <v>2414043.8302893783</v>
      </c>
      <c r="AM421" s="5"/>
      <c r="AN421" s="5"/>
      <c r="AO421" s="5"/>
      <c r="AP421" s="5"/>
      <c r="AQ421" s="5"/>
      <c r="AR421" s="5"/>
      <c r="AS421" s="5"/>
      <c r="AT421" s="78">
        <f t="shared" si="194"/>
        <v>2145348.3216392049</v>
      </c>
      <c r="AU421" s="5"/>
      <c r="AV421" s="5"/>
      <c r="AW421" s="5"/>
      <c r="AX421" s="48"/>
      <c r="AY421" s="5"/>
      <c r="AZ421" s="5"/>
      <c r="BA421" s="5"/>
      <c r="BB421" s="5"/>
      <c r="BC421" s="5"/>
      <c r="BD421" s="5"/>
      <c r="BE421" s="5"/>
      <c r="BF421" s="5"/>
      <c r="BG421" s="5"/>
    </row>
    <row r="422" spans="1:59" ht="15.75" hidden="1" customHeight="1" outlineLevel="1">
      <c r="A422" s="27" t="s">
        <v>45</v>
      </c>
      <c r="B422" s="13" t="s">
        <v>47</v>
      </c>
      <c r="C422" s="27">
        <v>3</v>
      </c>
      <c r="D422" s="55" t="s">
        <v>57</v>
      </c>
      <c r="E422" s="67"/>
      <c r="F422" s="57"/>
      <c r="G422" s="57"/>
      <c r="H422" s="57"/>
      <c r="I422" s="57"/>
      <c r="J422" s="57"/>
      <c r="K422" s="57"/>
      <c r="L422" s="57"/>
      <c r="M422" s="57"/>
      <c r="N422" s="68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48"/>
      <c r="AA422" s="5">
        <f>Deferral!AE73</f>
        <v>49257.54737053431</v>
      </c>
      <c r="AB422" s="5">
        <f>Deferral!AF73</f>
        <v>56654.136701970237</v>
      </c>
      <c r="AC422" s="5">
        <f>Deferral!AG73</f>
        <v>52745.8434315591</v>
      </c>
      <c r="AD422" s="5">
        <f>Deferral!AH73</f>
        <v>47853.870066363837</v>
      </c>
      <c r="AE422" s="5">
        <f>Deferral!AI73</f>
        <v>46744.463961966147</v>
      </c>
      <c r="AF422" s="5">
        <f>Deferral!AJ73</f>
        <v>60263.97736435011</v>
      </c>
      <c r="AG422" s="5">
        <f>Deferral!AK73</f>
        <v>58385.867652091358</v>
      </c>
      <c r="AH422" s="5">
        <f>Deferral!AL73</f>
        <v>52277.773130621092</v>
      </c>
      <c r="AI422" s="5">
        <f>Deferral!AM73</f>
        <v>47275.595523408447</v>
      </c>
      <c r="AJ422" s="5">
        <f>Deferral!AN73</f>
        <v>44142.736890963308</v>
      </c>
      <c r="AK422" s="5">
        <f>Deferral!AO73</f>
        <v>42583.730873658627</v>
      </c>
      <c r="AL422" s="48">
        <f>Deferral!AP73</f>
        <v>46600.795301496764</v>
      </c>
      <c r="AM422" s="5"/>
      <c r="AN422" s="5"/>
      <c r="AO422" s="5"/>
      <c r="AP422" s="5"/>
      <c r="AQ422" s="5"/>
      <c r="AR422" s="5"/>
      <c r="AS422" s="5"/>
      <c r="AT422" s="78">
        <f t="shared" si="194"/>
        <v>41334.494899686848</v>
      </c>
      <c r="AU422" s="5"/>
      <c r="AV422" s="5"/>
      <c r="AW422" s="5"/>
      <c r="AX422" s="48"/>
      <c r="AY422" s="5"/>
      <c r="AZ422" s="5"/>
      <c r="BA422" s="5"/>
      <c r="BB422" s="5"/>
      <c r="BC422" s="5"/>
      <c r="BD422" s="5"/>
      <c r="BE422" s="5"/>
      <c r="BF422" s="5"/>
      <c r="BG422" s="5"/>
    </row>
    <row r="423" spans="1:59" ht="15.75" hidden="1" customHeight="1" outlineLevel="1">
      <c r="A423" s="27" t="s">
        <v>49</v>
      </c>
      <c r="B423" s="13" t="s">
        <v>46</v>
      </c>
      <c r="C423" s="27">
        <v>3</v>
      </c>
      <c r="D423" s="55" t="s">
        <v>57</v>
      </c>
      <c r="E423" s="67"/>
      <c r="F423" s="57"/>
      <c r="G423" s="57"/>
      <c r="H423" s="57"/>
      <c r="I423" s="57"/>
      <c r="J423" s="57"/>
      <c r="K423" s="57"/>
      <c r="L423" s="57"/>
      <c r="M423" s="57"/>
      <c r="N423" s="68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48"/>
      <c r="AA423" s="5">
        <f>Deferral!AE100+Deferral!AE112</f>
        <v>3007549.5626977175</v>
      </c>
      <c r="AB423" s="5">
        <f>Deferral!AF100+Deferral!AF112</f>
        <v>3297989.1806871607</v>
      </c>
      <c r="AC423" s="5">
        <f>Deferral!AG100+Deferral!AG112</f>
        <v>3691685.7881563418</v>
      </c>
      <c r="AD423" s="5">
        <f>Deferral!AH100+Deferral!AH112</f>
        <v>3987808.6398452041</v>
      </c>
      <c r="AE423" s="5">
        <f>Deferral!AI100+Deferral!AI112</f>
        <v>3794676.4386245781</v>
      </c>
      <c r="AF423" s="5">
        <f>Deferral!AJ100+Deferral!AJ112</f>
        <v>3937673.5629243017</v>
      </c>
      <c r="AG423" s="5">
        <f>Deferral!AK100+Deferral!AK112</f>
        <v>3581652.9433860052</v>
      </c>
      <c r="AH423" s="5">
        <f>Deferral!AL100+Deferral!AL112</f>
        <v>3315080.2806710321</v>
      </c>
      <c r="AI423" s="5">
        <f>Deferral!AM100+Deferral!AM112</f>
        <v>3142782.7902882476</v>
      </c>
      <c r="AJ423" s="5">
        <f>Deferral!AN100+Deferral!AN112</f>
        <v>3038722.5108446307</v>
      </c>
      <c r="AK423" s="5">
        <f>Deferral!AO100+Deferral!AO112</f>
        <v>2927369.3811443732</v>
      </c>
      <c r="AL423" s="48">
        <f>Deferral!AP100+Deferral!AP112</f>
        <v>3126842.8911217833</v>
      </c>
      <c r="AM423" s="5"/>
      <c r="AN423" s="5"/>
      <c r="AO423" s="5"/>
      <c r="AP423" s="5"/>
      <c r="AQ423" s="5"/>
      <c r="AR423" s="5"/>
      <c r="AS423" s="5"/>
      <c r="AT423" s="78">
        <f t="shared" si="194"/>
        <v>2791907.0704127252</v>
      </c>
      <c r="AU423" s="5"/>
      <c r="AV423" s="5"/>
      <c r="AW423" s="5"/>
      <c r="AX423" s="48"/>
      <c r="AY423" s="5"/>
      <c r="AZ423" s="5"/>
      <c r="BA423" s="5"/>
      <c r="BB423" s="5"/>
      <c r="BC423" s="5"/>
      <c r="BD423" s="5"/>
      <c r="BE423" s="5"/>
      <c r="BF423" s="5"/>
      <c r="BG423" s="5"/>
    </row>
    <row r="424" spans="1:59" ht="15.75" hidden="1" customHeight="1" outlineLevel="1">
      <c r="A424" s="27" t="s">
        <v>49</v>
      </c>
      <c r="B424" s="13" t="s">
        <v>47</v>
      </c>
      <c r="C424" s="27">
        <v>3</v>
      </c>
      <c r="D424" s="55" t="s">
        <v>57</v>
      </c>
      <c r="E424" s="67"/>
      <c r="F424" s="57"/>
      <c r="G424" s="57"/>
      <c r="H424" s="57"/>
      <c r="I424" s="57"/>
      <c r="J424" s="57"/>
      <c r="K424" s="57"/>
      <c r="L424" s="57"/>
      <c r="M424" s="57"/>
      <c r="N424" s="68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48"/>
      <c r="AA424" s="5">
        <f>Deferral!AE124</f>
        <v>326569.49750078627</v>
      </c>
      <c r="AB424" s="5">
        <f>Deferral!AF124</f>
        <v>357736.42972329736</v>
      </c>
      <c r="AC424" s="5">
        <f>Deferral!AG124</f>
        <v>392408.29327152035</v>
      </c>
      <c r="AD424" s="5">
        <f>Deferral!AH124</f>
        <v>420844.55932792625</v>
      </c>
      <c r="AE424" s="5">
        <f>Deferral!AI124</f>
        <v>400873.51095213491</v>
      </c>
      <c r="AF424" s="5">
        <f>Deferral!AJ124</f>
        <v>411097.9564158431</v>
      </c>
      <c r="AG424" s="5">
        <f>Deferral!AK124</f>
        <v>370642.36401842878</v>
      </c>
      <c r="AH424" s="5">
        <f>Deferral!AL124</f>
        <v>344687.24630830303</v>
      </c>
      <c r="AI424" s="5">
        <f>Deferral!AM124</f>
        <v>328636.16994892334</v>
      </c>
      <c r="AJ424" s="5">
        <f>Deferral!AN124</f>
        <v>316921.97965864249</v>
      </c>
      <c r="AK424" s="5">
        <f>Deferral!AO124</f>
        <v>310976.93119409069</v>
      </c>
      <c r="AL424" s="48">
        <f>Deferral!AP124</f>
        <v>327301.64409099967</v>
      </c>
      <c r="AM424" s="5"/>
      <c r="AN424" s="5"/>
      <c r="AO424" s="5"/>
      <c r="AP424" s="5"/>
      <c r="AQ424" s="5"/>
      <c r="AR424" s="5"/>
      <c r="AS424" s="5"/>
      <c r="AT424" s="78">
        <f t="shared" si="194"/>
        <v>294480.52252587589</v>
      </c>
      <c r="AU424" s="5"/>
      <c r="AV424" s="5"/>
      <c r="AW424" s="5"/>
      <c r="AX424" s="48"/>
      <c r="AY424" s="5"/>
      <c r="AZ424" s="5"/>
      <c r="BA424" s="5"/>
      <c r="BB424" s="5"/>
      <c r="BC424" s="5"/>
      <c r="BD424" s="5"/>
      <c r="BE424" s="5"/>
      <c r="BF424" s="5"/>
      <c r="BG424" s="5"/>
    </row>
    <row r="425" spans="1:59" ht="15.75" hidden="1" customHeight="1" outlineLevel="1">
      <c r="A425" s="27" t="s">
        <v>50</v>
      </c>
      <c r="B425" s="13" t="s">
        <v>51</v>
      </c>
      <c r="C425" s="27">
        <v>3</v>
      </c>
      <c r="D425" s="55" t="s">
        <v>57</v>
      </c>
      <c r="E425" s="67"/>
      <c r="F425" s="57"/>
      <c r="G425" s="57"/>
      <c r="H425" s="57"/>
      <c r="I425" s="57"/>
      <c r="J425" s="57"/>
      <c r="K425" s="57"/>
      <c r="L425" s="57"/>
      <c r="M425" s="57"/>
      <c r="N425" s="68"/>
      <c r="Z425" s="50"/>
      <c r="AA425" s="5">
        <f>Deferral!AE151</f>
        <v>1716734.3874644544</v>
      </c>
      <c r="AB425" s="5">
        <f>Deferral!AF151</f>
        <v>1940369.6438499813</v>
      </c>
      <c r="AC425" s="5">
        <f>Deferral!AG151</f>
        <v>1575964.6487536938</v>
      </c>
      <c r="AD425" s="5">
        <f>Deferral!AH151</f>
        <v>933600.97082143417</v>
      </c>
      <c r="AE425" s="5">
        <f>Deferral!AI151</f>
        <v>276701.50209111662</v>
      </c>
      <c r="AF425" s="5">
        <f>Deferral!AJ151</f>
        <v>43649.598219822568</v>
      </c>
      <c r="AG425" s="5">
        <f>Deferral!AK151</f>
        <v>24681.203770276134</v>
      </c>
      <c r="AH425" s="5">
        <f>Deferral!AL151</f>
        <v>25520.061156770309</v>
      </c>
      <c r="AI425" s="5">
        <f>Deferral!AM151</f>
        <v>185181.74324477318</v>
      </c>
      <c r="AJ425" s="5">
        <f>Deferral!AN151</f>
        <v>597211.63132575923</v>
      </c>
      <c r="AK425" s="5">
        <f>Deferral!AO151</f>
        <v>915981.74458107958</v>
      </c>
      <c r="AL425" s="48">
        <f>Deferral!AP151</f>
        <v>1072932.9697736483</v>
      </c>
      <c r="AM425" s="5"/>
      <c r="AN425" s="5"/>
      <c r="AO425" s="5"/>
      <c r="AP425" s="5"/>
      <c r="AQ425" s="5"/>
      <c r="AR425" s="5"/>
      <c r="AS425" s="5"/>
      <c r="AT425" s="79">
        <f t="shared" si="194"/>
        <v>636197.22504340089</v>
      </c>
      <c r="AU425" s="5"/>
      <c r="AV425" s="5"/>
      <c r="AW425" s="5"/>
      <c r="AX425" s="48"/>
      <c r="AY425" s="5"/>
      <c r="AZ425" s="5"/>
      <c r="BA425" s="5"/>
      <c r="BB425" s="5"/>
      <c r="BC425" s="5"/>
      <c r="BD425" s="5"/>
      <c r="BE425" s="5"/>
      <c r="BF425" s="5"/>
      <c r="BG425" s="5"/>
    </row>
    <row r="426" spans="1:59" ht="15.75" hidden="1" customHeight="1" outlineLevel="1">
      <c r="A426" s="27"/>
      <c r="C426" s="27"/>
      <c r="D426" s="55"/>
      <c r="E426" s="67"/>
      <c r="F426" s="57"/>
      <c r="G426" s="57"/>
      <c r="H426" s="57"/>
      <c r="I426" s="57"/>
      <c r="J426" s="57"/>
      <c r="K426" s="57"/>
      <c r="L426" s="57"/>
      <c r="M426" s="57"/>
      <c r="N426" s="68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48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48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48"/>
      <c r="AY426" s="5"/>
      <c r="AZ426" s="5"/>
      <c r="BA426" s="5"/>
      <c r="BB426" s="5"/>
      <c r="BC426" s="5"/>
      <c r="BD426" s="5"/>
      <c r="BE426" s="5"/>
      <c r="BF426" s="5"/>
      <c r="BG426" s="5"/>
    </row>
    <row r="427" spans="1:59" ht="15.75" hidden="1" customHeight="1" outlineLevel="1">
      <c r="A427" s="13" t="s">
        <v>52</v>
      </c>
      <c r="B427" s="13" t="s">
        <v>52</v>
      </c>
      <c r="C427" s="27">
        <v>4</v>
      </c>
      <c r="D427" s="55" t="s">
        <v>58</v>
      </c>
      <c r="E427" s="67"/>
      <c r="F427" s="57"/>
      <c r="G427" s="57"/>
      <c r="H427" s="57"/>
      <c r="I427" s="57"/>
      <c r="J427" s="57"/>
      <c r="K427" s="57"/>
      <c r="L427" s="57"/>
      <c r="M427" s="57"/>
      <c r="N427" s="68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48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48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48"/>
      <c r="AY427" s="5"/>
      <c r="AZ427" s="5"/>
      <c r="BA427" s="5"/>
      <c r="BB427" s="5"/>
      <c r="BC427" s="5"/>
      <c r="BD427" s="5"/>
      <c r="BE427" s="5"/>
      <c r="BF427" s="74">
        <v>13198.73</v>
      </c>
      <c r="BG427" s="5"/>
    </row>
    <row r="428" spans="1:59" ht="15.75" hidden="1" customHeight="1" outlineLevel="1">
      <c r="A428" s="27" t="s">
        <v>27</v>
      </c>
      <c r="B428" s="13" t="s">
        <v>28</v>
      </c>
      <c r="C428" s="27">
        <v>4</v>
      </c>
      <c r="D428" s="55" t="s">
        <v>59</v>
      </c>
      <c r="E428" s="67"/>
      <c r="F428" s="57"/>
      <c r="G428" s="57"/>
      <c r="H428" s="57"/>
      <c r="I428" s="57"/>
      <c r="J428" s="57"/>
      <c r="K428" s="57"/>
      <c r="L428" s="57"/>
      <c r="M428" s="57"/>
      <c r="N428" s="68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48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48"/>
      <c r="AM428" s="5">
        <f>Deferral!AQ25</f>
        <v>5003658.9265008578</v>
      </c>
      <c r="AN428" s="5">
        <f>Deferral!AR25</f>
        <v>6685276.6684967121</v>
      </c>
      <c r="AO428" s="5">
        <f>Deferral!AS25</f>
        <v>6162270.194122307</v>
      </c>
      <c r="AP428" s="5">
        <f>Deferral!AT25</f>
        <v>5865829.8095315062</v>
      </c>
      <c r="AQ428" s="5">
        <f>Deferral!AU25</f>
        <v>6367822.5379861239</v>
      </c>
      <c r="AR428" s="5">
        <f>Deferral!AV25</f>
        <v>11763868.712054797</v>
      </c>
      <c r="AS428" s="5">
        <f>Deferral!AW25</f>
        <v>11389763.052544441</v>
      </c>
      <c r="AT428" s="5">
        <f>Deferral!AX25</f>
        <v>9949143.6994773205</v>
      </c>
      <c r="AU428" s="5">
        <f>Deferral!AY25</f>
        <v>8029874.0672163879</v>
      </c>
      <c r="AV428" s="5">
        <f>Deferral!AZ25</f>
        <v>5995327.189172131</v>
      </c>
      <c r="AW428" s="5">
        <f>Deferral!BA25</f>
        <v>4855903.1105535412</v>
      </c>
      <c r="AX428" s="48">
        <f>Deferral!BB25</f>
        <v>3986169.8851897349</v>
      </c>
      <c r="AY428" s="5"/>
      <c r="AZ428" s="5"/>
      <c r="BA428" s="5"/>
      <c r="BB428" s="5"/>
      <c r="BC428" s="5"/>
      <c r="BD428" s="5"/>
      <c r="BE428" s="5"/>
      <c r="BF428" s="77">
        <f>IFERROR(SUM(AM428:AX428)/SUM($AM$428:$AX$433)*$BF$427,0)</f>
        <v>6576.6311893417342</v>
      </c>
      <c r="BG428" s="5"/>
    </row>
    <row r="429" spans="1:59" ht="15.75" hidden="1" customHeight="1" outlineLevel="1">
      <c r="A429" s="27" t="s">
        <v>45</v>
      </c>
      <c r="B429" s="13" t="s">
        <v>46</v>
      </c>
      <c r="C429" s="27">
        <v>4</v>
      </c>
      <c r="D429" s="55" t="s">
        <v>59</v>
      </c>
      <c r="E429" s="67"/>
      <c r="F429" s="57"/>
      <c r="G429" s="57"/>
      <c r="H429" s="57"/>
      <c r="I429" s="57"/>
      <c r="J429" s="57"/>
      <c r="K429" s="57"/>
      <c r="L429" s="57"/>
      <c r="M429" s="57"/>
      <c r="N429" s="68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48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48"/>
      <c r="AM429" s="5">
        <f>Deferral!AQ49+Deferral!AQ61</f>
        <v>2586743.6809811522</v>
      </c>
      <c r="AN429" s="5">
        <f>Deferral!AR49+Deferral!AR61</f>
        <v>2984491.4473321321</v>
      </c>
      <c r="AO429" s="5">
        <f>Deferral!AS49+Deferral!AS61</f>
        <v>2777244.4761496917</v>
      </c>
      <c r="AP429" s="5">
        <f>Deferral!AT49+Deferral!AT61</f>
        <v>2513600.8877943773</v>
      </c>
      <c r="AQ429" s="5">
        <f>Deferral!AU49+Deferral!AU61</f>
        <v>2445798.9635972655</v>
      </c>
      <c r="AR429" s="5">
        <f>Deferral!AV49+Deferral!AV61</f>
        <v>3155727.9575395402</v>
      </c>
      <c r="AS429" s="5">
        <f>Deferral!AW49+Deferral!AW61</f>
        <v>3050237.940663348</v>
      </c>
      <c r="AT429" s="5">
        <f>Deferral!AX49+Deferral!AX61</f>
        <v>2752140.4862690633</v>
      </c>
      <c r="AU429" s="5">
        <f>Deferral!AY49+Deferral!AY61</f>
        <v>2479661.1171763497</v>
      </c>
      <c r="AV429" s="5">
        <f>Deferral!AZ49+Deferral!AZ61</f>
        <v>2314523.6609425405</v>
      </c>
      <c r="AW429" s="5">
        <f>Deferral!BA49+Deferral!BA61</f>
        <v>2228249.7491890215</v>
      </c>
      <c r="AX429" s="48">
        <f>Deferral!BB49+Deferral!BB61</f>
        <v>2435627.3565342817</v>
      </c>
      <c r="AY429" s="5"/>
      <c r="AZ429" s="5"/>
      <c r="BA429" s="5"/>
      <c r="BB429" s="5"/>
      <c r="BC429" s="5"/>
      <c r="BD429" s="5"/>
      <c r="BE429" s="5"/>
      <c r="BF429" s="78">
        <f>IFERROR(SUM(AM429:AX429)/SUM($AM$428:$AX$433)*$BF$427,0)</f>
        <v>2424.4678998634731</v>
      </c>
      <c r="BG429" s="5"/>
    </row>
    <row r="430" spans="1:59" ht="15.75" hidden="1" customHeight="1" outlineLevel="1">
      <c r="A430" s="27" t="s">
        <v>45</v>
      </c>
      <c r="B430" s="13" t="s">
        <v>47</v>
      </c>
      <c r="C430" s="27">
        <v>4</v>
      </c>
      <c r="D430" s="55" t="s">
        <v>59</v>
      </c>
      <c r="E430" s="67"/>
      <c r="F430" s="57"/>
      <c r="G430" s="57"/>
      <c r="H430" s="57"/>
      <c r="I430" s="57"/>
      <c r="J430" s="57"/>
      <c r="K430" s="57"/>
      <c r="L430" s="57"/>
      <c r="M430" s="57"/>
      <c r="N430" s="68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48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48"/>
      <c r="AM430" s="5">
        <f>Deferral!AQ73</f>
        <v>49782.961209153342</v>
      </c>
      <c r="AN430" s="5">
        <f>Deferral!AR73</f>
        <v>57260.063297713234</v>
      </c>
      <c r="AO430" s="5">
        <f>Deferral!AS73</f>
        <v>52605.187849074944</v>
      </c>
      <c r="AP430" s="5">
        <f>Deferral!AT73</f>
        <v>47344.786342253588</v>
      </c>
      <c r="AQ430" s="5">
        <f>Deferral!AU73</f>
        <v>45755.163137374271</v>
      </c>
      <c r="AR430" s="5">
        <f>Deferral!AV73</f>
        <v>59307.40629507471</v>
      </c>
      <c r="AS430" s="5">
        <f>Deferral!AW73</f>
        <v>56999.395860880744</v>
      </c>
      <c r="AT430" s="5">
        <f>Deferral!AX73</f>
        <v>51723.101797670206</v>
      </c>
      <c r="AU430" s="5">
        <f>Deferral!AY73</f>
        <v>46527.169209053696</v>
      </c>
      <c r="AV430" s="5">
        <f>Deferral!AZ73</f>
        <v>43327.435681895382</v>
      </c>
      <c r="AW430" s="5">
        <f>Deferral!BA73</f>
        <v>41799.293725985968</v>
      </c>
      <c r="AX430" s="48">
        <f>Deferral!BB73</f>
        <v>45864.993270420498</v>
      </c>
      <c r="AY430" s="5"/>
      <c r="AZ430" s="5"/>
      <c r="BA430" s="5"/>
      <c r="BB430" s="5"/>
      <c r="BC430" s="5"/>
      <c r="BD430" s="5"/>
      <c r="BE430" s="5"/>
      <c r="BF430" s="78">
        <f>IFERROR(SUM(AM430:AX430)/SUM($AM$428:$AX$433)*$BF$427,0)</f>
        <v>45.724044456271507</v>
      </c>
      <c r="BG430" s="5"/>
    </row>
    <row r="431" spans="1:59" ht="15.75" hidden="1" customHeight="1" outlineLevel="1">
      <c r="A431" s="27" t="s">
        <v>49</v>
      </c>
      <c r="B431" s="13" t="s">
        <v>46</v>
      </c>
      <c r="C431" s="27">
        <v>4</v>
      </c>
      <c r="D431" s="55" t="s">
        <v>59</v>
      </c>
      <c r="E431" s="67"/>
      <c r="F431" s="57"/>
      <c r="G431" s="57"/>
      <c r="H431" s="57"/>
      <c r="I431" s="57"/>
      <c r="J431" s="57"/>
      <c r="K431" s="57"/>
      <c r="L431" s="57"/>
      <c r="M431" s="57"/>
      <c r="N431" s="68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48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48"/>
      <c r="AM431" s="5">
        <f>Deferral!AQ100+Deferral!AQ112</f>
        <v>3047981.9766740054</v>
      </c>
      <c r="AN431" s="5">
        <f>Deferral!AR100+Deferral!AR112</f>
        <v>3321838.2760020471</v>
      </c>
      <c r="AO431" s="5">
        <f>Deferral!AS100+Deferral!AS112</f>
        <v>3714544.5236867215</v>
      </c>
      <c r="AP431" s="5">
        <f>Deferral!AT100+Deferral!AT112</f>
        <v>4012323.8568934328</v>
      </c>
      <c r="AQ431" s="5">
        <f>Deferral!AU100+Deferral!AU112</f>
        <v>3806352.3661280386</v>
      </c>
      <c r="AR431" s="5">
        <f>Deferral!AV100+Deferral!AV112</f>
        <v>3953795.0514111975</v>
      </c>
      <c r="AS431" s="5">
        <f>Deferral!AW100+Deferral!AW112</f>
        <v>3588992.396138845</v>
      </c>
      <c r="AT431" s="5">
        <f>Deferral!AX100+Deferral!AX112</f>
        <v>3274528.8399288789</v>
      </c>
      <c r="AU431" s="5">
        <f>Deferral!AY100+Deferral!AY112</f>
        <v>3085351.2266078531</v>
      </c>
      <c r="AV431" s="5">
        <f>Deferral!AZ100+Deferral!AZ112</f>
        <v>2970366.7897417862</v>
      </c>
      <c r="AW431" s="5">
        <f>Deferral!BA100+Deferral!BA112</f>
        <v>2864575.9623455666</v>
      </c>
      <c r="AX431" s="48">
        <f>Deferral!BB100+Deferral!BB112</f>
        <v>3053756.1162276766</v>
      </c>
      <c r="AY431" s="5"/>
      <c r="AZ431" s="5"/>
      <c r="BA431" s="5"/>
      <c r="BB431" s="5"/>
      <c r="BC431" s="5"/>
      <c r="BD431" s="5"/>
      <c r="BE431" s="5"/>
      <c r="BF431" s="78">
        <f>IFERROR(SUM(AM431:AX431)/SUM($AM$428:$AX$433)*$BF$427,0)</f>
        <v>3110.0156341632978</v>
      </c>
      <c r="BG431" s="5"/>
    </row>
    <row r="432" spans="1:59" ht="15.75" hidden="1" customHeight="1" outlineLevel="1">
      <c r="A432" s="27" t="s">
        <v>49</v>
      </c>
      <c r="B432" s="13" t="s">
        <v>47</v>
      </c>
      <c r="C432" s="27">
        <v>4</v>
      </c>
      <c r="D432" s="55" t="s">
        <v>59</v>
      </c>
      <c r="E432" s="67"/>
      <c r="F432" s="57"/>
      <c r="G432" s="57"/>
      <c r="H432" s="57"/>
      <c r="I432" s="57"/>
      <c r="J432" s="57"/>
      <c r="K432" s="57"/>
      <c r="L432" s="57"/>
      <c r="M432" s="57"/>
      <c r="N432" s="68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48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48"/>
      <c r="AM432" s="5">
        <f>Deferral!AQ124</f>
        <v>317238.94042933523</v>
      </c>
      <c r="AN432" s="5">
        <f>Deferral!AR124</f>
        <v>347515.3888740603</v>
      </c>
      <c r="AO432" s="5">
        <f>Deferral!AS124</f>
        <v>400027.87178164691</v>
      </c>
      <c r="AP432" s="5">
        <f>Deferral!AT124</f>
        <v>429016.29834400251</v>
      </c>
      <c r="AQ432" s="5">
        <f>Deferral!AU124</f>
        <v>416441.41429008194</v>
      </c>
      <c r="AR432" s="5">
        <f>Deferral!AV124</f>
        <v>427219.44490273891</v>
      </c>
      <c r="AS432" s="5">
        <f>Deferral!AW124</f>
        <v>388990.9959005292</v>
      </c>
      <c r="AT432" s="5">
        <f>Deferral!AX124</f>
        <v>354825.10649384139</v>
      </c>
      <c r="AU432" s="5">
        <f>Deferral!AY124</f>
        <v>325445.52752223477</v>
      </c>
      <c r="AV432" s="5">
        <f>Deferral!AZ124</f>
        <v>316921.97965864249</v>
      </c>
      <c r="AW432" s="5">
        <f>Deferral!BA124</f>
        <v>296026.11719437479</v>
      </c>
      <c r="AX432" s="48">
        <f>Deferral!BB124</f>
        <v>314590.900631155</v>
      </c>
      <c r="AY432" s="5"/>
      <c r="AZ432" s="5"/>
      <c r="BA432" s="5"/>
      <c r="BB432" s="5"/>
      <c r="BC432" s="5"/>
      <c r="BD432" s="5"/>
      <c r="BE432" s="5"/>
      <c r="BF432" s="78">
        <f>IFERROR(SUM(AM432:AX432)/SUM($AM$428:$AX$433)*$BF$427,0)</f>
        <v>331.24002009897811</v>
      </c>
      <c r="BG432" s="5"/>
    </row>
    <row r="433" spans="1:59" ht="15.75" hidden="1" customHeight="1" outlineLevel="1">
      <c r="A433" s="27" t="s">
        <v>50</v>
      </c>
      <c r="B433" s="13" t="s">
        <v>51</v>
      </c>
      <c r="C433" s="27">
        <v>4</v>
      </c>
      <c r="D433" s="55" t="s">
        <v>59</v>
      </c>
      <c r="E433" s="67"/>
      <c r="F433" s="57"/>
      <c r="G433" s="57"/>
      <c r="H433" s="57"/>
      <c r="I433" s="57"/>
      <c r="J433" s="57"/>
      <c r="K433" s="57"/>
      <c r="L433" s="57"/>
      <c r="M433" s="57"/>
      <c r="N433" s="68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48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48"/>
      <c r="AM433" s="5">
        <f>Deferral!AQ151</f>
        <v>1713426.614078203</v>
      </c>
      <c r="AN433" s="5">
        <f>Deferral!AR151</f>
        <v>1937753.5830820787</v>
      </c>
      <c r="AO433" s="5">
        <f>Deferral!AS151</f>
        <v>1571408.0817276132</v>
      </c>
      <c r="AP433" s="5">
        <f>Deferral!AT151</f>
        <v>934863.56873405969</v>
      </c>
      <c r="AQ433" s="5">
        <f>Deferral!AU151</f>
        <v>276701.50209111662</v>
      </c>
      <c r="AR433" s="5">
        <f>Deferral!AV151</f>
        <v>43675.015299531311</v>
      </c>
      <c r="AS433" s="5">
        <f>Deferral!AW151</f>
        <v>24710.003307931063</v>
      </c>
      <c r="AT433" s="5">
        <f>Deferral!AX151</f>
        <v>25564.754784015091</v>
      </c>
      <c r="AU433" s="5">
        <f>Deferral!AY151</f>
        <v>185289.88909443919</v>
      </c>
      <c r="AV433" s="5">
        <f>Deferral!AZ151</f>
        <v>597211.63132575923</v>
      </c>
      <c r="AW433" s="5">
        <f>Deferral!BA151</f>
        <v>916336.91392756312</v>
      </c>
      <c r="AX433" s="48">
        <f>Deferral!BB151</f>
        <v>1071895.9187686478</v>
      </c>
      <c r="AY433" s="5"/>
      <c r="AZ433" s="5"/>
      <c r="BA433" s="5"/>
      <c r="BB433" s="5"/>
      <c r="BC433" s="5"/>
      <c r="BD433" s="5"/>
      <c r="BE433" s="5"/>
      <c r="BF433" s="79">
        <f t="shared" ref="BF433" si="195">IFERROR(SUM(AM433:AX433)/SUM($AM$428:$AX$433)*$BF$427,0)</f>
        <v>710.65121207624532</v>
      </c>
      <c r="BG433" s="5"/>
    </row>
    <row r="434" spans="1:59" ht="15.75" customHeight="1" collapsed="1">
      <c r="E434" s="76"/>
      <c r="N434" s="50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0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48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0"/>
      <c r="AY434" s="5"/>
      <c r="AZ434" s="5"/>
      <c r="BA434" s="5"/>
      <c r="BB434" s="5"/>
      <c r="BC434" s="5"/>
      <c r="BD434" s="5"/>
      <c r="BE434" s="5"/>
      <c r="BF434" s="5"/>
      <c r="BG434" s="5"/>
    </row>
    <row r="435" spans="1:59" ht="15.75" customHeight="1"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</row>
    <row r="436" spans="1:59" ht="15.75" customHeight="1"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 t="s">
        <v>11</v>
      </c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</row>
  </sheetData>
  <conditionalFormatting sqref="O421:Z424 O399:AR400 Q404:BG409 O410:BG411 O418:BG419 O156:AH156 E150:N150 O109:AH109 E103:N103 E56:N56 E197:N197 O250:AH250 E244:N244 O297:AH297 E291:N291 E338:N338 O401:BG403 E409:N409 E404:N407 E381:AP381 O384:BG384 O102:BG106 E240:AP240 AS399:AU399 E99:AR99 E52:BB52 AA412:BG417 O412:Z416 AM420:BG425 O420:AL420 P435:BG436 AA434:AW434 E382:BG382 F383:BG383 E392:N395 O392:BG398 E386:BG391 O8:BG51 O426:BG433 O55:BG98 O201:BG239 O337:BG380 AS400:BG400 P434:Y434 AY434:BG434">
    <cfRule type="cellIs" dxfId="243" priority="153" operator="lessThan">
      <formula>0</formula>
    </cfRule>
  </conditionalFormatting>
  <conditionalFormatting sqref="Z436">
    <cfRule type="cellIs" dxfId="242" priority="150" operator="lessThan">
      <formula>0</formula>
    </cfRule>
  </conditionalFormatting>
  <conditionalFormatting sqref="O67:BG67 AI62:BG66 AI203:BG207 AI344:BG348 E395:N395 O395:BG398">
    <cfRule type="cellIs" dxfId="241" priority="149" operator="lessThan">
      <formula>0</formula>
    </cfRule>
  </conditionalFormatting>
  <conditionalFormatting sqref="O63:AH66">
    <cfRule type="cellIs" dxfId="240" priority="148" operator="lessThan">
      <formula>0</formula>
    </cfRule>
  </conditionalFormatting>
  <conditionalFormatting sqref="O204:AH207">
    <cfRule type="cellIs" dxfId="239" priority="147" operator="lessThan">
      <formula>0</formula>
    </cfRule>
  </conditionalFormatting>
  <conditionalFormatting sqref="O345:AH348">
    <cfRule type="cellIs" dxfId="238" priority="146" operator="lessThan">
      <formula>0</formula>
    </cfRule>
  </conditionalFormatting>
  <conditionalFormatting sqref="O204:AH205">
    <cfRule type="cellIs" dxfId="237" priority="145" operator="lessThan">
      <formula>0</formula>
    </cfRule>
  </conditionalFormatting>
  <conditionalFormatting sqref="O345:AH346">
    <cfRule type="cellIs" dxfId="236" priority="144" operator="lessThan">
      <formula>0</formula>
    </cfRule>
  </conditionalFormatting>
  <conditionalFormatting sqref="O345:AH346">
    <cfRule type="cellIs" dxfId="235" priority="143" operator="lessThan">
      <formula>0</formula>
    </cfRule>
  </conditionalFormatting>
  <conditionalFormatting sqref="O196:BG198 P107:BG107 E103:N103 O200:BG200 P199:BG199 E146:AP146 O108:BG145">
    <cfRule type="cellIs" dxfId="234" priority="142" operator="lessThan">
      <formula>0</formula>
    </cfRule>
  </conditionalFormatting>
  <conditionalFormatting sqref="O114:BG114 AI109:BG113">
    <cfRule type="cellIs" dxfId="233" priority="141" operator="lessThan">
      <formula>0</formula>
    </cfRule>
  </conditionalFormatting>
  <conditionalFormatting sqref="O110:AH113">
    <cfRule type="cellIs" dxfId="232" priority="140" operator="lessThan">
      <formula>0</formula>
    </cfRule>
  </conditionalFormatting>
  <conditionalFormatting sqref="O196:BG198 O200:BG200 P199:BG199">
    <cfRule type="cellIs" dxfId="231" priority="139" operator="lessThan">
      <formula>0</formula>
    </cfRule>
  </conditionalFormatting>
  <conditionalFormatting sqref="O149:BG151 O153:BG153 P152:BG152">
    <cfRule type="cellIs" dxfId="230" priority="138" operator="lessThan">
      <formula>0</formula>
    </cfRule>
  </conditionalFormatting>
  <conditionalFormatting sqref="E150:N150 E193:AR193 O154:BG192">
    <cfRule type="cellIs" dxfId="229" priority="137" operator="lessThan">
      <formula>0</formula>
    </cfRule>
  </conditionalFormatting>
  <conditionalFormatting sqref="O161:BG161 AI156:BG160">
    <cfRule type="cellIs" dxfId="228" priority="136" operator="lessThan">
      <formula>0</formula>
    </cfRule>
  </conditionalFormatting>
  <conditionalFormatting sqref="O157:AH160">
    <cfRule type="cellIs" dxfId="227" priority="135" operator="lessThan">
      <formula>0</formula>
    </cfRule>
  </conditionalFormatting>
  <conditionalFormatting sqref="E244:N244 E287:AP287 O248:BG286">
    <cfRule type="cellIs" dxfId="226" priority="134" operator="lessThan">
      <formula>0</formula>
    </cfRule>
  </conditionalFormatting>
  <conditionalFormatting sqref="AI250:BG254">
    <cfRule type="cellIs" dxfId="225" priority="133" operator="lessThan">
      <formula>0</formula>
    </cfRule>
  </conditionalFormatting>
  <conditionalFormatting sqref="O251:AH254">
    <cfRule type="cellIs" dxfId="224" priority="132" operator="lessThan">
      <formula>0</formula>
    </cfRule>
  </conditionalFormatting>
  <conditionalFormatting sqref="O251:AH252">
    <cfRule type="cellIs" dxfId="223" priority="131" operator="lessThan">
      <formula>0</formula>
    </cfRule>
  </conditionalFormatting>
  <conditionalFormatting sqref="O243:BG245 O247:BG247 P246:BG246">
    <cfRule type="cellIs" dxfId="222" priority="130" operator="lessThan">
      <formula>0</formula>
    </cfRule>
  </conditionalFormatting>
  <conditionalFormatting sqref="O243:BG245 O247:BG247 P246:BG246">
    <cfRule type="cellIs" dxfId="221" priority="129" operator="lessThan">
      <formula>0</formula>
    </cfRule>
  </conditionalFormatting>
  <conditionalFormatting sqref="E291:N291 E334:AR334 O295:BG333">
    <cfRule type="cellIs" dxfId="220" priority="128" operator="lessThan">
      <formula>0</formula>
    </cfRule>
  </conditionalFormatting>
  <conditionalFormatting sqref="AI297:BG301">
    <cfRule type="cellIs" dxfId="219" priority="127" operator="lessThan">
      <formula>0</formula>
    </cfRule>
  </conditionalFormatting>
  <conditionalFormatting sqref="O298:AH301">
    <cfRule type="cellIs" dxfId="218" priority="126" operator="lessThan">
      <formula>0</formula>
    </cfRule>
  </conditionalFormatting>
  <conditionalFormatting sqref="O298:AH299">
    <cfRule type="cellIs" dxfId="217" priority="125" operator="lessThan">
      <formula>0</formula>
    </cfRule>
  </conditionalFormatting>
  <conditionalFormatting sqref="O290:BG292 O294:BG294 P293:BG293">
    <cfRule type="cellIs" dxfId="216" priority="124" operator="lessThan">
      <formula>0</formula>
    </cfRule>
  </conditionalFormatting>
  <conditionalFormatting sqref="O290:BG292 O294:BG294 P293:BG293">
    <cfRule type="cellIs" dxfId="215" priority="123" operator="lessThan">
      <formula>0</formula>
    </cfRule>
  </conditionalFormatting>
  <conditionalFormatting sqref="O417:Z417 AA421:AL425">
    <cfRule type="cellIs" dxfId="214" priority="122" operator="lessThan">
      <formula>0</formula>
    </cfRule>
  </conditionalFormatting>
  <conditionalFormatting sqref="BE399:BG399">
    <cfRule type="cellIs" dxfId="213" priority="121" operator="lessThan">
      <formula>0</formula>
    </cfRule>
  </conditionalFormatting>
  <conditionalFormatting sqref="O107">
    <cfRule type="cellIs" dxfId="212" priority="120" operator="lessThan">
      <formula>0</formula>
    </cfRule>
  </conditionalFormatting>
  <conditionalFormatting sqref="O201">
    <cfRule type="cellIs" dxfId="211" priority="119" operator="lessThan">
      <formula>0</formula>
    </cfRule>
  </conditionalFormatting>
  <conditionalFormatting sqref="P404">
    <cfRule type="cellIs" dxfId="210" priority="118" operator="lessThan">
      <formula>0</formula>
    </cfRule>
  </conditionalFormatting>
  <conditionalFormatting sqref="P405:P409">
    <cfRule type="cellIs" dxfId="209" priority="117" operator="lessThan">
      <formula>0</formula>
    </cfRule>
  </conditionalFormatting>
  <conditionalFormatting sqref="O404:O409">
    <cfRule type="cellIs" dxfId="208" priority="116" operator="lessThan">
      <formula>0</formula>
    </cfRule>
  </conditionalFormatting>
  <conditionalFormatting sqref="E55:N55 E9:N51 E102:N102 E149:N149 E196:N196 E243:N243 E290:N290 E384:N384 E157:N192 E156:M156 E110:N145 E109:M109 E63:N98 E62:M62 E204:N239 E203:M203 E251:N286 E250:M250 E298:N333 E297:M297 E345:N380 E344:M344 E57:N61 E104:N108 E151:N155 E198:N202 E245:N249 E292:N296 E339:N343 E337:N337">
    <cfRule type="cellIs" dxfId="207" priority="115" operator="lessThan">
      <formula>0</formula>
    </cfRule>
  </conditionalFormatting>
  <conditionalFormatting sqref="E385:BG385">
    <cfRule type="cellIs" dxfId="206" priority="114" operator="lessThan">
      <formula>0</formula>
    </cfRule>
  </conditionalFormatting>
  <conditionalFormatting sqref="E399:N399">
    <cfRule type="cellIs" dxfId="205" priority="113" operator="lessThan">
      <formula>0</formula>
    </cfRule>
  </conditionalFormatting>
  <conditionalFormatting sqref="E383">
    <cfRule type="cellIs" dxfId="204" priority="112" operator="lessThan">
      <formula>0</formula>
    </cfRule>
  </conditionalFormatting>
  <conditionalFormatting sqref="O152">
    <cfRule type="cellIs" dxfId="203" priority="111" operator="lessThan">
      <formula>0</formula>
    </cfRule>
  </conditionalFormatting>
  <conditionalFormatting sqref="O199">
    <cfRule type="cellIs" dxfId="202" priority="110" operator="lessThan">
      <formula>0</formula>
    </cfRule>
  </conditionalFormatting>
  <conditionalFormatting sqref="O246">
    <cfRule type="cellIs" dxfId="201" priority="109" operator="lessThan">
      <formula>0</formula>
    </cfRule>
  </conditionalFormatting>
  <conditionalFormatting sqref="O293">
    <cfRule type="cellIs" dxfId="200" priority="108" operator="lessThan">
      <formula>0</formula>
    </cfRule>
  </conditionalFormatting>
  <conditionalFormatting sqref="E408:N408">
    <cfRule type="cellIs" dxfId="199" priority="107" operator="lessThan">
      <formula>0</formula>
    </cfRule>
  </conditionalFormatting>
  <conditionalFormatting sqref="E335:BG335 F336:BG336">
    <cfRule type="cellIs" dxfId="198" priority="106" operator="lessThan">
      <formula>0</formula>
    </cfRule>
  </conditionalFormatting>
  <conditionalFormatting sqref="E336">
    <cfRule type="cellIs" dxfId="197" priority="105" operator="lessThan">
      <formula>0</formula>
    </cfRule>
  </conditionalFormatting>
  <conditionalFormatting sqref="E288:BG288 F289:BG289">
    <cfRule type="cellIs" dxfId="196" priority="104" operator="lessThan">
      <formula>0</formula>
    </cfRule>
  </conditionalFormatting>
  <conditionalFormatting sqref="E289">
    <cfRule type="cellIs" dxfId="195" priority="103" operator="lessThan">
      <formula>0</formula>
    </cfRule>
  </conditionalFormatting>
  <conditionalFormatting sqref="E241:BG241 F242:BG242">
    <cfRule type="cellIs" dxfId="194" priority="102" operator="lessThan">
      <formula>0</formula>
    </cfRule>
  </conditionalFormatting>
  <conditionalFormatting sqref="E242">
    <cfRule type="cellIs" dxfId="193" priority="101" operator="lessThan">
      <formula>0</formula>
    </cfRule>
  </conditionalFormatting>
  <conditionalFormatting sqref="E194:BG194 F195:BG195">
    <cfRule type="cellIs" dxfId="192" priority="100" operator="lessThan">
      <formula>0</formula>
    </cfRule>
  </conditionalFormatting>
  <conditionalFormatting sqref="E195">
    <cfRule type="cellIs" dxfId="191" priority="99" operator="lessThan">
      <formula>0</formula>
    </cfRule>
  </conditionalFormatting>
  <conditionalFormatting sqref="E147:BG147 F148:BG148">
    <cfRule type="cellIs" dxfId="190" priority="98" operator="lessThan">
      <formula>0</formula>
    </cfRule>
  </conditionalFormatting>
  <conditionalFormatting sqref="E148">
    <cfRule type="cellIs" dxfId="189" priority="97" operator="lessThan">
      <formula>0</formula>
    </cfRule>
  </conditionalFormatting>
  <conditionalFormatting sqref="E100:BG100 F101:BG101">
    <cfRule type="cellIs" dxfId="188" priority="96" operator="lessThan">
      <formula>0</formula>
    </cfRule>
  </conditionalFormatting>
  <conditionalFormatting sqref="E101">
    <cfRule type="cellIs" dxfId="187" priority="95" operator="lessThan">
      <formula>0</formula>
    </cfRule>
  </conditionalFormatting>
  <conditionalFormatting sqref="E53:BG53 F54:BG54">
    <cfRule type="cellIs" dxfId="186" priority="94" operator="lessThan">
      <formula>0</formula>
    </cfRule>
  </conditionalFormatting>
  <conditionalFormatting sqref="E54">
    <cfRule type="cellIs" dxfId="185" priority="93" operator="lessThan">
      <formula>0</formula>
    </cfRule>
  </conditionalFormatting>
  <conditionalFormatting sqref="AQ146">
    <cfRule type="cellIs" dxfId="184" priority="92" operator="lessThan">
      <formula>0</formula>
    </cfRule>
  </conditionalFormatting>
  <conditionalFormatting sqref="AQ240:AR240">
    <cfRule type="cellIs" dxfId="183" priority="91" operator="lessThan">
      <formula>0</formula>
    </cfRule>
  </conditionalFormatting>
  <conditionalFormatting sqref="AQ287:AR287">
    <cfRule type="cellIs" dxfId="182" priority="90" operator="lessThan">
      <formula>0</formula>
    </cfRule>
  </conditionalFormatting>
  <conditionalFormatting sqref="AQ381:AR381">
    <cfRule type="cellIs" dxfId="181" priority="89" operator="lessThan">
      <formula>0</formula>
    </cfRule>
  </conditionalFormatting>
  <conditionalFormatting sqref="AR146">
    <cfRule type="cellIs" dxfId="180" priority="88" operator="lessThan">
      <formula>0</formula>
    </cfRule>
  </conditionalFormatting>
  <conditionalFormatting sqref="AU52:BB52">
    <cfRule type="cellIs" dxfId="179" priority="87" operator="lessThan">
      <formula>0</formula>
    </cfRule>
  </conditionalFormatting>
  <conditionalFormatting sqref="AS99:AX99">
    <cfRule type="cellIs" dxfId="178" priority="86" operator="lessThan">
      <formula>0</formula>
    </cfRule>
  </conditionalFormatting>
  <conditionalFormatting sqref="AS146:AU146 AW146:BF146">
    <cfRule type="cellIs" dxfId="177" priority="85" operator="lessThan">
      <formula>0</formula>
    </cfRule>
  </conditionalFormatting>
  <conditionalFormatting sqref="AS193:BF193">
    <cfRule type="cellIs" dxfId="176" priority="84" operator="lessThan">
      <formula>0</formula>
    </cfRule>
  </conditionalFormatting>
  <conditionalFormatting sqref="AS240:AU240 AW240:BB240">
    <cfRule type="cellIs" dxfId="175" priority="83" operator="lessThan">
      <formula>0</formula>
    </cfRule>
  </conditionalFormatting>
  <conditionalFormatting sqref="AS287:AU287 AW287:BB287">
    <cfRule type="cellIs" dxfId="174" priority="82" operator="lessThan">
      <formula>0</formula>
    </cfRule>
  </conditionalFormatting>
  <conditionalFormatting sqref="AS334:BG334">
    <cfRule type="cellIs" dxfId="173" priority="81" operator="lessThan">
      <formula>0</formula>
    </cfRule>
  </conditionalFormatting>
  <conditionalFormatting sqref="AS381:AU381 AW381:BA381">
    <cfRule type="cellIs" dxfId="172" priority="80" operator="lessThan">
      <formula>0</formula>
    </cfRule>
  </conditionalFormatting>
  <conditionalFormatting sqref="AV399">
    <cfRule type="cellIs" dxfId="171" priority="79" operator="lessThan">
      <formula>0</formula>
    </cfRule>
  </conditionalFormatting>
  <conditionalFormatting sqref="AX399:BA399">
    <cfRule type="cellIs" dxfId="170" priority="78" operator="lessThan">
      <formula>0</formula>
    </cfRule>
  </conditionalFormatting>
  <conditionalFormatting sqref="AW399">
    <cfRule type="cellIs" dxfId="169" priority="77" operator="lessThan">
      <formula>0</formula>
    </cfRule>
  </conditionalFormatting>
  <conditionalFormatting sqref="AV146">
    <cfRule type="cellIs" dxfId="168" priority="72" operator="lessThan">
      <formula>0</formula>
    </cfRule>
  </conditionalFormatting>
  <conditionalFormatting sqref="AV240">
    <cfRule type="cellIs" dxfId="167" priority="71" operator="lessThan">
      <formula>0</formula>
    </cfRule>
  </conditionalFormatting>
  <conditionalFormatting sqref="AV287">
    <cfRule type="cellIs" dxfId="166" priority="70" operator="lessThan">
      <formula>0</formula>
    </cfRule>
  </conditionalFormatting>
  <conditionalFormatting sqref="AV381">
    <cfRule type="cellIs" dxfId="165" priority="69" operator="lessThan">
      <formula>0</formula>
    </cfRule>
  </conditionalFormatting>
  <conditionalFormatting sqref="AY99:BF99">
    <cfRule type="cellIs" dxfId="164" priority="68" operator="lessThan">
      <formula>0</formula>
    </cfRule>
  </conditionalFormatting>
  <conditionalFormatting sqref="BB399">
    <cfRule type="cellIs" dxfId="163" priority="67" operator="lessThan">
      <formula>0</formula>
    </cfRule>
  </conditionalFormatting>
  <conditionalFormatting sqref="BC399">
    <cfRule type="cellIs" dxfId="162" priority="66" operator="lessThan">
      <formula>0</formula>
    </cfRule>
  </conditionalFormatting>
  <conditionalFormatting sqref="BD399">
    <cfRule type="cellIs" dxfId="161" priority="65" operator="lessThan">
      <formula>0</formula>
    </cfRule>
  </conditionalFormatting>
  <conditionalFormatting sqref="BC52:BF52">
    <cfRule type="cellIs" dxfId="160" priority="64" operator="lessThan">
      <formula>0</formula>
    </cfRule>
  </conditionalFormatting>
  <conditionalFormatting sqref="BC240:BG240">
    <cfRule type="cellIs" dxfId="159" priority="63" operator="lessThan">
      <formula>0</formula>
    </cfRule>
  </conditionalFormatting>
  <conditionalFormatting sqref="BC287:BF287">
    <cfRule type="cellIs" dxfId="158" priority="62" operator="lessThan">
      <formula>0</formula>
    </cfRule>
  </conditionalFormatting>
  <conditionalFormatting sqref="BB381:BG381">
    <cfRule type="cellIs" dxfId="157" priority="61" operator="lessThan">
      <formula>0</formula>
    </cfRule>
  </conditionalFormatting>
  <conditionalFormatting sqref="BG287">
    <cfRule type="cellIs" dxfId="156" priority="39" operator="lessThan">
      <formula>0</formula>
    </cfRule>
  </conditionalFormatting>
  <conditionalFormatting sqref="BG193">
    <cfRule type="cellIs" dxfId="155" priority="38" operator="lessThan">
      <formula>0</formula>
    </cfRule>
  </conditionalFormatting>
  <conditionalFormatting sqref="BG146">
    <cfRule type="cellIs" dxfId="154" priority="37" operator="lessThan">
      <formula>0</formula>
    </cfRule>
  </conditionalFormatting>
  <conditionalFormatting sqref="BG99">
    <cfRule type="cellIs" dxfId="153" priority="36" operator="lessThan">
      <formula>0</formula>
    </cfRule>
  </conditionalFormatting>
  <conditionalFormatting sqref="BG52">
    <cfRule type="cellIs" dxfId="152" priority="35" operator="lessThan">
      <formula>0</formula>
    </cfRule>
  </conditionalFormatting>
  <pageMargins left="0.2" right="0" top="0.25" bottom="0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AE15-197A-48FD-9C51-E98BDE1DE2CA}">
  <sheetPr>
    <pageSetUpPr fitToPage="1"/>
  </sheetPr>
  <dimension ref="A1:BM164"/>
  <sheetViews>
    <sheetView zoomScale="70" zoomScaleNormal="70" workbookViewId="0">
      <pane xSplit="6" ySplit="10" topLeftCell="BI11" activePane="bottomRight" state="frozen"/>
      <selection activeCell="AY32" sqref="AY32"/>
      <selection pane="topRight" activeCell="AY32" sqref="AY32"/>
      <selection pane="bottomLeft" activeCell="AY32" sqref="AY32"/>
      <selection pane="bottomRight" activeCell="BI11" sqref="BI11"/>
    </sheetView>
  </sheetViews>
  <sheetFormatPr defaultColWidth="9" defaultRowHeight="15.5"/>
  <cols>
    <col min="1" max="1" width="11.5" style="80" bestFit="1" customWidth="1"/>
    <col min="2" max="2" width="14.33203125" style="80" customWidth="1"/>
    <col min="3" max="3" width="8.83203125" style="80" bestFit="1" customWidth="1"/>
    <col min="4" max="4" width="10.5" style="80" bestFit="1" customWidth="1"/>
    <col min="5" max="5" width="18.75" style="80" bestFit="1" customWidth="1"/>
    <col min="6" max="6" width="10.83203125" style="80" customWidth="1"/>
    <col min="7" max="60" width="15.08203125" style="2" hidden="1" customWidth="1"/>
    <col min="61" max="76" width="15.08203125" style="2" customWidth="1"/>
    <col min="77" max="16384" width="9" style="2"/>
  </cols>
  <sheetData>
    <row r="1" spans="1:65" ht="15.75" customHeight="1">
      <c r="A1" s="10" t="s">
        <v>0</v>
      </c>
    </row>
    <row r="2" spans="1:65" ht="15.75" customHeight="1">
      <c r="A2" s="6" t="s">
        <v>1</v>
      </c>
      <c r="F2" s="81"/>
      <c r="G2" s="8"/>
      <c r="H2" s="8"/>
      <c r="I2" s="8"/>
      <c r="J2" s="8"/>
      <c r="K2" s="8"/>
      <c r="L2" s="8"/>
      <c r="M2" s="8"/>
      <c r="N2" s="8"/>
      <c r="O2" s="8"/>
      <c r="P2" s="82"/>
      <c r="Q2" s="8"/>
      <c r="R2" s="8"/>
      <c r="S2" s="83"/>
      <c r="T2" s="83"/>
      <c r="U2" s="83"/>
      <c r="V2" s="83"/>
      <c r="W2" s="8"/>
      <c r="X2" s="8"/>
      <c r="Y2" s="8"/>
      <c r="Z2" s="8"/>
      <c r="AA2" s="8"/>
      <c r="AB2" s="8"/>
      <c r="AC2" s="8"/>
      <c r="AD2" s="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65" ht="15.75" customHeight="1">
      <c r="A3" s="10" t="s">
        <v>60</v>
      </c>
      <c r="F3" s="81"/>
      <c r="G3" s="8"/>
      <c r="H3" s="8"/>
      <c r="I3" s="8"/>
      <c r="J3" s="8"/>
      <c r="K3" s="8"/>
      <c r="L3" s="8"/>
      <c r="M3" s="8"/>
      <c r="N3" s="8"/>
      <c r="O3" s="8"/>
      <c r="P3" s="82"/>
      <c r="Q3" s="8"/>
      <c r="R3" s="8"/>
      <c r="S3" s="83"/>
      <c r="T3" s="83"/>
      <c r="U3" s="83"/>
      <c r="V3" s="83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65" ht="15.75" customHeight="1">
      <c r="F4" s="84"/>
      <c r="G4" s="82" t="s">
        <v>61</v>
      </c>
      <c r="H4" s="8" t="s">
        <v>61</v>
      </c>
      <c r="I4" s="81"/>
      <c r="J4" s="8"/>
      <c r="K4" s="8"/>
      <c r="L4" s="8"/>
      <c r="M4" s="8"/>
      <c r="N4" s="8"/>
      <c r="O4" s="8"/>
      <c r="P4" s="85"/>
      <c r="Q4" s="8"/>
      <c r="R4" s="8"/>
      <c r="S4" s="86" t="s">
        <v>62</v>
      </c>
      <c r="T4" s="86" t="s">
        <v>61</v>
      </c>
      <c r="U4" s="86" t="s">
        <v>62</v>
      </c>
      <c r="V4" s="86" t="s">
        <v>61</v>
      </c>
      <c r="W4" s="8"/>
      <c r="X4" s="8"/>
      <c r="Y4" s="8"/>
      <c r="Z4" s="8"/>
      <c r="AA4" s="8"/>
      <c r="AB4" s="8"/>
      <c r="AC4" s="8"/>
      <c r="AD4" s="85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87"/>
      <c r="BB4" s="50"/>
      <c r="BI4" s="86" t="s">
        <v>62</v>
      </c>
      <c r="BJ4" s="86" t="s">
        <v>61</v>
      </c>
      <c r="BK4" s="86" t="s">
        <v>62</v>
      </c>
      <c r="BL4" s="86" t="s">
        <v>61</v>
      </c>
    </row>
    <row r="5" spans="1:65" ht="15.75" customHeight="1">
      <c r="F5" s="88" t="s">
        <v>63</v>
      </c>
      <c r="G5" s="13">
        <v>201609</v>
      </c>
      <c r="H5" s="13">
        <v>201610</v>
      </c>
      <c r="I5" s="89">
        <v>201611</v>
      </c>
      <c r="J5" s="89">
        <v>201612</v>
      </c>
      <c r="K5" s="89">
        <v>201701</v>
      </c>
      <c r="L5" s="89">
        <v>201702</v>
      </c>
      <c r="M5" s="89">
        <v>201703</v>
      </c>
      <c r="N5" s="89">
        <v>201704</v>
      </c>
      <c r="O5" s="89">
        <v>201705</v>
      </c>
      <c r="P5" s="90">
        <v>201706</v>
      </c>
      <c r="Q5" s="89">
        <v>201707</v>
      </c>
      <c r="R5" s="89">
        <v>201708</v>
      </c>
      <c r="S5" s="13">
        <v>201709</v>
      </c>
      <c r="T5" s="13">
        <v>201709</v>
      </c>
      <c r="U5" s="13">
        <v>201710</v>
      </c>
      <c r="V5" s="13">
        <v>201710</v>
      </c>
      <c r="W5" s="89">
        <v>201711</v>
      </c>
      <c r="X5" s="89">
        <v>201712</v>
      </c>
      <c r="Y5" s="89">
        <v>201801</v>
      </c>
      <c r="Z5" s="89">
        <v>201802</v>
      </c>
      <c r="AA5" s="89">
        <v>201803</v>
      </c>
      <c r="AB5" s="89">
        <v>201804</v>
      </c>
      <c r="AC5" s="89">
        <v>201805</v>
      </c>
      <c r="AD5" s="90">
        <v>201806</v>
      </c>
      <c r="AE5" s="89">
        <v>201807</v>
      </c>
      <c r="AF5" s="89">
        <v>201808</v>
      </c>
      <c r="AG5" s="89">
        <v>201809</v>
      </c>
      <c r="AH5" s="89">
        <v>201810</v>
      </c>
      <c r="AI5" s="89">
        <v>201811</v>
      </c>
      <c r="AJ5" s="89">
        <v>201812</v>
      </c>
      <c r="AK5" s="89">
        <v>201901</v>
      </c>
      <c r="AL5" s="89">
        <v>201902</v>
      </c>
      <c r="AM5" s="89">
        <v>201903</v>
      </c>
      <c r="AN5" s="89">
        <v>201904</v>
      </c>
      <c r="AO5" s="89">
        <v>201905</v>
      </c>
      <c r="AP5" s="90">
        <v>201906</v>
      </c>
      <c r="AQ5" s="89">
        <v>201907</v>
      </c>
      <c r="AR5" s="89">
        <v>201908</v>
      </c>
      <c r="AS5" s="89">
        <v>201909</v>
      </c>
      <c r="AT5" s="89">
        <v>201910</v>
      </c>
      <c r="AU5" s="89">
        <v>201911</v>
      </c>
      <c r="AV5" s="89">
        <v>201912</v>
      </c>
      <c r="AW5" s="89">
        <v>202001</v>
      </c>
      <c r="AX5" s="89">
        <v>202002</v>
      </c>
      <c r="AY5" s="89">
        <v>202003</v>
      </c>
      <c r="AZ5" s="89">
        <v>202004</v>
      </c>
      <c r="BA5" s="89">
        <v>202005</v>
      </c>
      <c r="BB5" s="90">
        <v>202006</v>
      </c>
      <c r="BC5" s="89">
        <v>202007</v>
      </c>
      <c r="BD5" s="89">
        <v>202008</v>
      </c>
      <c r="BE5" s="89">
        <v>202009</v>
      </c>
      <c r="BF5" s="89">
        <v>202010</v>
      </c>
      <c r="BG5" s="89">
        <v>202011</v>
      </c>
      <c r="BH5" s="89">
        <v>202012</v>
      </c>
      <c r="BI5" s="89">
        <v>202101</v>
      </c>
      <c r="BJ5" s="89">
        <v>202101</v>
      </c>
      <c r="BK5" s="89">
        <v>202102</v>
      </c>
      <c r="BL5" s="89">
        <v>202102</v>
      </c>
      <c r="BM5" s="89">
        <v>202103</v>
      </c>
    </row>
    <row r="6" spans="1:65" ht="15.75" customHeight="1">
      <c r="B6" s="10"/>
      <c r="F6" s="88" t="s">
        <v>64</v>
      </c>
      <c r="G6" s="91">
        <v>152253</v>
      </c>
      <c r="H6" s="89">
        <f>$G$6</f>
        <v>152253</v>
      </c>
      <c r="I6" s="89">
        <f t="shared" ref="I6:BK6" si="0">$G$6</f>
        <v>152253</v>
      </c>
      <c r="J6" s="89">
        <f t="shared" si="0"/>
        <v>152253</v>
      </c>
      <c r="K6" s="89">
        <f t="shared" si="0"/>
        <v>152253</v>
      </c>
      <c r="L6" s="89">
        <f t="shared" si="0"/>
        <v>152253</v>
      </c>
      <c r="M6" s="89">
        <f t="shared" si="0"/>
        <v>152253</v>
      </c>
      <c r="N6" s="89">
        <f t="shared" si="0"/>
        <v>152253</v>
      </c>
      <c r="O6" s="89">
        <f t="shared" si="0"/>
        <v>152253</v>
      </c>
      <c r="P6" s="90">
        <f t="shared" si="0"/>
        <v>152253</v>
      </c>
      <c r="Q6" s="89">
        <f t="shared" si="0"/>
        <v>152253</v>
      </c>
      <c r="R6" s="89">
        <f t="shared" si="0"/>
        <v>152253</v>
      </c>
      <c r="S6" s="89">
        <f t="shared" si="0"/>
        <v>152253</v>
      </c>
      <c r="T6" s="89">
        <f t="shared" si="0"/>
        <v>152253</v>
      </c>
      <c r="U6" s="89">
        <f t="shared" si="0"/>
        <v>152253</v>
      </c>
      <c r="V6" s="89">
        <f t="shared" si="0"/>
        <v>152253</v>
      </c>
      <c r="W6" s="89">
        <f t="shared" si="0"/>
        <v>152253</v>
      </c>
      <c r="X6" s="89">
        <f t="shared" si="0"/>
        <v>152253</v>
      </c>
      <c r="Y6" s="89">
        <f t="shared" si="0"/>
        <v>152253</v>
      </c>
      <c r="Z6" s="89">
        <f t="shared" si="0"/>
        <v>152253</v>
      </c>
      <c r="AA6" s="89">
        <f t="shared" si="0"/>
        <v>152253</v>
      </c>
      <c r="AB6" s="89">
        <f t="shared" si="0"/>
        <v>152253</v>
      </c>
      <c r="AC6" s="89">
        <f t="shared" si="0"/>
        <v>152253</v>
      </c>
      <c r="AD6" s="90">
        <f t="shared" si="0"/>
        <v>152253</v>
      </c>
      <c r="AE6" s="89">
        <f t="shared" si="0"/>
        <v>152253</v>
      </c>
      <c r="AF6" s="89">
        <f t="shared" si="0"/>
        <v>152253</v>
      </c>
      <c r="AG6" s="89">
        <f t="shared" si="0"/>
        <v>152253</v>
      </c>
      <c r="AH6" s="89">
        <f t="shared" si="0"/>
        <v>152253</v>
      </c>
      <c r="AI6" s="89">
        <f t="shared" si="0"/>
        <v>152253</v>
      </c>
      <c r="AJ6" s="89">
        <f t="shared" si="0"/>
        <v>152253</v>
      </c>
      <c r="AK6" s="89">
        <f t="shared" si="0"/>
        <v>152253</v>
      </c>
      <c r="AL6" s="89">
        <f t="shared" si="0"/>
        <v>152253</v>
      </c>
      <c r="AM6" s="89">
        <f t="shared" si="0"/>
        <v>152253</v>
      </c>
      <c r="AN6" s="89">
        <f t="shared" si="0"/>
        <v>152253</v>
      </c>
      <c r="AO6" s="89">
        <f t="shared" si="0"/>
        <v>152253</v>
      </c>
      <c r="AP6" s="90">
        <f t="shared" si="0"/>
        <v>152253</v>
      </c>
      <c r="AQ6" s="89">
        <f t="shared" si="0"/>
        <v>152253</v>
      </c>
      <c r="AR6" s="89">
        <f t="shared" si="0"/>
        <v>152253</v>
      </c>
      <c r="AS6" s="89">
        <f t="shared" si="0"/>
        <v>152253</v>
      </c>
      <c r="AT6" s="89">
        <f t="shared" si="0"/>
        <v>152253</v>
      </c>
      <c r="AU6" s="89">
        <f t="shared" si="0"/>
        <v>152253</v>
      </c>
      <c r="AV6" s="89">
        <f t="shared" si="0"/>
        <v>152253</v>
      </c>
      <c r="AW6" s="89">
        <f t="shared" si="0"/>
        <v>152253</v>
      </c>
      <c r="AX6" s="89">
        <f t="shared" si="0"/>
        <v>152253</v>
      </c>
      <c r="AY6" s="89">
        <f t="shared" si="0"/>
        <v>152253</v>
      </c>
      <c r="AZ6" s="89">
        <f t="shared" si="0"/>
        <v>152253</v>
      </c>
      <c r="BA6" s="89">
        <f t="shared" si="0"/>
        <v>152253</v>
      </c>
      <c r="BB6" s="90">
        <f t="shared" si="0"/>
        <v>152253</v>
      </c>
      <c r="BC6" s="89">
        <f t="shared" si="0"/>
        <v>152253</v>
      </c>
      <c r="BD6" s="89">
        <f t="shared" si="0"/>
        <v>152253</v>
      </c>
      <c r="BE6" s="89">
        <f t="shared" si="0"/>
        <v>152253</v>
      </c>
      <c r="BF6" s="89">
        <f t="shared" si="0"/>
        <v>152253</v>
      </c>
      <c r="BG6" s="89">
        <f t="shared" si="0"/>
        <v>152253</v>
      </c>
      <c r="BH6" s="89">
        <f t="shared" si="0"/>
        <v>152253</v>
      </c>
      <c r="BI6" s="89">
        <f t="shared" si="0"/>
        <v>152253</v>
      </c>
      <c r="BJ6" s="92">
        <v>191024</v>
      </c>
      <c r="BK6" s="89">
        <f t="shared" si="0"/>
        <v>152253</v>
      </c>
      <c r="BL6" s="89">
        <f t="shared" ref="BL6:BM6" si="1">$BJ$6</f>
        <v>191024</v>
      </c>
      <c r="BM6" s="89">
        <f t="shared" si="1"/>
        <v>191024</v>
      </c>
    </row>
    <row r="7" spans="1:65" ht="15.75" customHeight="1">
      <c r="F7" s="93"/>
      <c r="P7" s="50"/>
      <c r="AD7" s="50"/>
      <c r="AP7" s="50"/>
      <c r="BB7" s="50"/>
    </row>
    <row r="8" spans="1:65" ht="15.75" customHeight="1">
      <c r="F8" s="94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20"/>
      <c r="Q8" s="21" t="s">
        <v>4</v>
      </c>
      <c r="R8" s="22"/>
      <c r="S8" s="22"/>
      <c r="T8" s="22"/>
      <c r="U8" s="22"/>
      <c r="V8" s="22"/>
      <c r="W8" s="22"/>
      <c r="X8" s="22"/>
      <c r="Y8" s="22"/>
      <c r="Z8" s="22"/>
      <c r="AA8" s="23"/>
      <c r="AB8" s="22"/>
      <c r="AC8" s="22"/>
      <c r="AD8" s="24"/>
      <c r="AE8" s="25" t="s">
        <v>5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6"/>
      <c r="AQ8" s="25" t="s">
        <v>6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6"/>
      <c r="BC8" s="25" t="s">
        <v>7</v>
      </c>
      <c r="BD8" s="25"/>
      <c r="BE8" s="25"/>
      <c r="BF8" s="25"/>
      <c r="BG8" s="25"/>
      <c r="BH8" s="25"/>
      <c r="BI8" s="25" t="s">
        <v>90</v>
      </c>
      <c r="BJ8" s="25"/>
      <c r="BK8" s="25"/>
      <c r="BL8" s="25"/>
      <c r="BM8" s="25"/>
    </row>
    <row r="9" spans="1:65" ht="15.75" customHeight="1">
      <c r="A9" s="13" t="s">
        <v>8</v>
      </c>
      <c r="B9" s="13" t="s">
        <v>9</v>
      </c>
      <c r="C9" s="13"/>
      <c r="D9" s="13"/>
      <c r="E9" s="34"/>
      <c r="F9" s="85"/>
      <c r="G9" s="32">
        <v>2016</v>
      </c>
      <c r="H9" s="32">
        <v>2016</v>
      </c>
      <c r="I9" s="32">
        <v>2016</v>
      </c>
      <c r="J9" s="32">
        <v>2016</v>
      </c>
      <c r="K9" s="35">
        <v>2017</v>
      </c>
      <c r="L9" s="34">
        <v>2017</v>
      </c>
      <c r="M9" s="34">
        <v>2017</v>
      </c>
      <c r="N9" s="34">
        <v>2017</v>
      </c>
      <c r="O9" s="34">
        <v>2017</v>
      </c>
      <c r="P9" s="36">
        <v>2017</v>
      </c>
      <c r="Q9" s="34">
        <v>2017</v>
      </c>
      <c r="R9" s="34">
        <v>2017</v>
      </c>
      <c r="S9" s="34">
        <v>2017</v>
      </c>
      <c r="T9" s="34">
        <v>2017</v>
      </c>
      <c r="U9" s="34">
        <v>2017</v>
      </c>
      <c r="V9" s="34">
        <v>2017</v>
      </c>
      <c r="W9" s="34">
        <v>2017</v>
      </c>
      <c r="X9" s="32">
        <v>2017</v>
      </c>
      <c r="Y9" s="31">
        <v>2018</v>
      </c>
      <c r="Z9" s="32">
        <v>2018</v>
      </c>
      <c r="AA9" s="32">
        <v>2018</v>
      </c>
      <c r="AB9" s="32">
        <v>2018</v>
      </c>
      <c r="AC9" s="32">
        <v>2018</v>
      </c>
      <c r="AD9" s="33">
        <v>2018</v>
      </c>
      <c r="AE9" s="32">
        <v>2018</v>
      </c>
      <c r="AF9" s="32">
        <v>2018</v>
      </c>
      <c r="AG9" s="32">
        <v>2018</v>
      </c>
      <c r="AH9" s="32">
        <v>2018</v>
      </c>
      <c r="AI9" s="32">
        <v>2018</v>
      </c>
      <c r="AJ9" s="34">
        <v>2018</v>
      </c>
      <c r="AK9" s="35">
        <v>2019</v>
      </c>
      <c r="AL9" s="34">
        <v>2019</v>
      </c>
      <c r="AM9" s="34">
        <v>2019</v>
      </c>
      <c r="AN9" s="34">
        <v>2019</v>
      </c>
      <c r="AO9" s="34">
        <v>2019</v>
      </c>
      <c r="AP9" s="36">
        <v>2019</v>
      </c>
      <c r="AQ9" s="34">
        <v>2019</v>
      </c>
      <c r="AR9" s="34">
        <v>2019</v>
      </c>
      <c r="AS9" s="34">
        <v>2019</v>
      </c>
      <c r="AT9" s="34">
        <v>2019</v>
      </c>
      <c r="AU9" s="34">
        <v>2019</v>
      </c>
      <c r="AV9" s="34">
        <v>2019</v>
      </c>
      <c r="AW9" s="35">
        <v>2020</v>
      </c>
      <c r="AX9" s="34">
        <v>2020</v>
      </c>
      <c r="AY9" s="34">
        <v>2020</v>
      </c>
      <c r="AZ9" s="34">
        <v>2020</v>
      </c>
      <c r="BA9" s="34">
        <v>2020</v>
      </c>
      <c r="BB9" s="36">
        <v>2020</v>
      </c>
      <c r="BC9" s="34">
        <v>2020</v>
      </c>
      <c r="BD9" s="34">
        <v>2020</v>
      </c>
      <c r="BE9" s="34">
        <v>2020</v>
      </c>
      <c r="BF9" s="34">
        <v>2020</v>
      </c>
      <c r="BG9" s="34">
        <v>2020</v>
      </c>
      <c r="BH9" s="34">
        <v>2020</v>
      </c>
      <c r="BI9" s="35">
        <v>2021</v>
      </c>
      <c r="BJ9" s="34">
        <v>2021</v>
      </c>
      <c r="BK9" s="34">
        <v>2021</v>
      </c>
      <c r="BL9" s="34">
        <v>2021</v>
      </c>
      <c r="BM9" s="34">
        <v>2021</v>
      </c>
    </row>
    <row r="10" spans="1:65" ht="15.75" customHeight="1">
      <c r="A10" s="37" t="s">
        <v>12</v>
      </c>
      <c r="B10" s="37" t="s">
        <v>12</v>
      </c>
      <c r="C10" s="37" t="s">
        <v>13</v>
      </c>
      <c r="D10" s="37" t="s">
        <v>65</v>
      </c>
      <c r="E10" s="37" t="s">
        <v>14</v>
      </c>
      <c r="F10" s="95" t="s">
        <v>66</v>
      </c>
      <c r="G10" s="38" t="s">
        <v>15</v>
      </c>
      <c r="H10" s="38" t="s">
        <v>16</v>
      </c>
      <c r="I10" s="38" t="s">
        <v>17</v>
      </c>
      <c r="J10" s="38" t="s">
        <v>18</v>
      </c>
      <c r="K10" s="96" t="s">
        <v>19</v>
      </c>
      <c r="L10" s="38" t="s">
        <v>20</v>
      </c>
      <c r="M10" s="38" t="s">
        <v>21</v>
      </c>
      <c r="N10" s="38" t="s">
        <v>22</v>
      </c>
      <c r="O10" s="38" t="s">
        <v>23</v>
      </c>
      <c r="P10" s="95" t="s">
        <v>24</v>
      </c>
      <c r="Q10" s="41" t="s">
        <v>25</v>
      </c>
      <c r="R10" s="41" t="s">
        <v>26</v>
      </c>
      <c r="S10" s="41" t="s">
        <v>15</v>
      </c>
      <c r="T10" s="41" t="s">
        <v>15</v>
      </c>
      <c r="U10" s="97" t="s">
        <v>16</v>
      </c>
      <c r="V10" s="97" t="s">
        <v>16</v>
      </c>
      <c r="W10" s="41" t="s">
        <v>17</v>
      </c>
      <c r="X10" s="41" t="s">
        <v>18</v>
      </c>
      <c r="Y10" s="40" t="s">
        <v>19</v>
      </c>
      <c r="Z10" s="41" t="s">
        <v>20</v>
      </c>
      <c r="AA10" s="41" t="s">
        <v>21</v>
      </c>
      <c r="AB10" s="41" t="s">
        <v>22</v>
      </c>
      <c r="AC10" s="41" t="s">
        <v>23</v>
      </c>
      <c r="AD10" s="42" t="s">
        <v>24</v>
      </c>
      <c r="AE10" s="41" t="s">
        <v>25</v>
      </c>
      <c r="AF10" s="41" t="s">
        <v>26</v>
      </c>
      <c r="AG10" s="43" t="s">
        <v>15</v>
      </c>
      <c r="AH10" s="41" t="s">
        <v>16</v>
      </c>
      <c r="AI10" s="41" t="s">
        <v>17</v>
      </c>
      <c r="AJ10" s="41" t="s">
        <v>18</v>
      </c>
      <c r="AK10" s="40" t="s">
        <v>19</v>
      </c>
      <c r="AL10" s="41" t="s">
        <v>20</v>
      </c>
      <c r="AM10" s="41" t="s">
        <v>21</v>
      </c>
      <c r="AN10" s="41" t="s">
        <v>22</v>
      </c>
      <c r="AO10" s="41" t="s">
        <v>23</v>
      </c>
      <c r="AP10" s="42" t="s">
        <v>24</v>
      </c>
      <c r="AQ10" s="41" t="s">
        <v>25</v>
      </c>
      <c r="AR10" s="41" t="s">
        <v>26</v>
      </c>
      <c r="AS10" s="43" t="s">
        <v>15</v>
      </c>
      <c r="AT10" s="41" t="s">
        <v>16</v>
      </c>
      <c r="AU10" s="41" t="s">
        <v>17</v>
      </c>
      <c r="AV10" s="41" t="s">
        <v>18</v>
      </c>
      <c r="AW10" s="40" t="s">
        <v>19</v>
      </c>
      <c r="AX10" s="41" t="s">
        <v>20</v>
      </c>
      <c r="AY10" s="41" t="s">
        <v>21</v>
      </c>
      <c r="AZ10" s="41" t="s">
        <v>22</v>
      </c>
      <c r="BA10" s="41" t="s">
        <v>23</v>
      </c>
      <c r="BB10" s="42" t="s">
        <v>24</v>
      </c>
      <c r="BC10" s="41" t="s">
        <v>25</v>
      </c>
      <c r="BD10" s="41" t="s">
        <v>26</v>
      </c>
      <c r="BE10" s="43" t="s">
        <v>15</v>
      </c>
      <c r="BF10" s="41" t="s">
        <v>16</v>
      </c>
      <c r="BG10" s="41" t="s">
        <v>17</v>
      </c>
      <c r="BH10" s="41" t="s">
        <v>18</v>
      </c>
      <c r="BI10" s="40" t="s">
        <v>19</v>
      </c>
      <c r="BJ10" s="41" t="s">
        <v>19</v>
      </c>
      <c r="BK10" s="41" t="s">
        <v>20</v>
      </c>
      <c r="BL10" s="41" t="s">
        <v>20</v>
      </c>
      <c r="BM10" s="41" t="s">
        <v>21</v>
      </c>
    </row>
    <row r="11" spans="1:65" ht="15.75" customHeight="1">
      <c r="A11" s="13"/>
      <c r="B11" s="13"/>
      <c r="C11" s="13"/>
      <c r="D11" s="13"/>
      <c r="E11" s="13"/>
      <c r="F11" s="90"/>
      <c r="G11" s="27"/>
      <c r="H11" s="27"/>
      <c r="I11" s="27"/>
      <c r="J11" s="27"/>
      <c r="K11" s="27"/>
      <c r="L11" s="27"/>
      <c r="M11" s="27"/>
      <c r="N11" s="27"/>
      <c r="O11" s="27"/>
      <c r="P11" s="90"/>
      <c r="Q11" s="98"/>
      <c r="R11" s="98"/>
      <c r="S11" s="98"/>
      <c r="T11" s="98"/>
      <c r="U11" s="99"/>
      <c r="V11" s="99"/>
      <c r="W11" s="98"/>
      <c r="X11" s="98"/>
      <c r="Y11" s="98"/>
      <c r="Z11" s="98"/>
      <c r="AA11" s="98"/>
      <c r="AB11" s="98"/>
      <c r="AC11" s="98"/>
      <c r="AD11" s="100"/>
      <c r="AE11" s="98"/>
      <c r="AF11" s="98"/>
      <c r="AG11" s="101"/>
      <c r="AH11" s="98"/>
      <c r="AI11" s="98"/>
      <c r="AJ11" s="98"/>
      <c r="AK11" s="98"/>
      <c r="AL11" s="98"/>
      <c r="AM11" s="98"/>
      <c r="AN11" s="98"/>
      <c r="AO11" s="98"/>
      <c r="AP11" s="100"/>
      <c r="AQ11" s="98"/>
      <c r="AR11" s="98"/>
      <c r="AS11" s="101"/>
      <c r="AT11" s="98"/>
      <c r="AU11" s="98"/>
      <c r="AV11" s="98"/>
      <c r="AW11" s="98"/>
      <c r="AX11" s="98"/>
      <c r="AY11" s="98"/>
      <c r="AZ11" s="98"/>
      <c r="BA11" s="98"/>
      <c r="BB11" s="100"/>
      <c r="BC11" s="98"/>
      <c r="BD11" s="98"/>
      <c r="BE11" s="101"/>
      <c r="BF11" s="98"/>
      <c r="BG11" s="98"/>
      <c r="BH11" s="98"/>
      <c r="BI11" s="98"/>
      <c r="BJ11" s="98"/>
      <c r="BK11" s="98"/>
      <c r="BL11" s="98"/>
      <c r="BM11" s="98"/>
    </row>
    <row r="12" spans="1:65" ht="15.75" customHeight="1">
      <c r="F12" s="84"/>
      <c r="G12" s="57"/>
      <c r="H12" s="57"/>
      <c r="I12" s="57"/>
      <c r="J12" s="57"/>
      <c r="K12" s="57"/>
      <c r="L12" s="57"/>
      <c r="M12" s="57"/>
      <c r="N12" s="57"/>
      <c r="O12" s="57"/>
      <c r="P12" s="68"/>
      <c r="Q12" s="57"/>
      <c r="R12" s="57"/>
      <c r="S12" s="102"/>
      <c r="T12" s="102"/>
      <c r="U12" s="102"/>
      <c r="V12" s="102"/>
      <c r="W12" s="57"/>
      <c r="X12" s="57"/>
      <c r="Y12" s="57"/>
      <c r="Z12" s="57"/>
      <c r="AA12" s="57"/>
      <c r="AB12" s="57"/>
      <c r="AC12" s="57"/>
      <c r="AD12" s="68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4"/>
      <c r="BB12" s="50"/>
    </row>
    <row r="13" spans="1:65" ht="15.75" customHeight="1">
      <c r="A13" s="105" t="s">
        <v>27</v>
      </c>
      <c r="B13" s="105" t="s">
        <v>67</v>
      </c>
      <c r="C13" s="105" t="s">
        <v>68</v>
      </c>
      <c r="D13" s="105" t="s">
        <v>69</v>
      </c>
      <c r="E13" s="105" t="s">
        <v>70</v>
      </c>
      <c r="F13" s="106" t="s">
        <v>71</v>
      </c>
      <c r="G13" s="107">
        <v>145355240.03273332</v>
      </c>
      <c r="H13" s="108">
        <f t="shared" ref="H13:S15" si="2">$G13</f>
        <v>145355240.03273332</v>
      </c>
      <c r="I13" s="108">
        <f t="shared" si="2"/>
        <v>145355240.03273332</v>
      </c>
      <c r="J13" s="108">
        <f t="shared" si="2"/>
        <v>145355240.03273332</v>
      </c>
      <c r="K13" s="108">
        <f t="shared" si="2"/>
        <v>145355240.03273332</v>
      </c>
      <c r="L13" s="108">
        <f t="shared" si="2"/>
        <v>145355240.03273332</v>
      </c>
      <c r="M13" s="108">
        <f t="shared" si="2"/>
        <v>145355240.03273332</v>
      </c>
      <c r="N13" s="108">
        <f t="shared" si="2"/>
        <v>145355240.03273332</v>
      </c>
      <c r="O13" s="108">
        <f t="shared" si="2"/>
        <v>145355240.03273332</v>
      </c>
      <c r="P13" s="109">
        <f t="shared" si="2"/>
        <v>145355240.03273332</v>
      </c>
      <c r="Q13" s="108">
        <f t="shared" si="2"/>
        <v>145355240.03273332</v>
      </c>
      <c r="R13" s="108">
        <f t="shared" si="2"/>
        <v>145355240.03273332</v>
      </c>
      <c r="S13" s="108">
        <f t="shared" si="2"/>
        <v>145355240.03273332</v>
      </c>
      <c r="T13" s="107">
        <v>148768018.03273332</v>
      </c>
      <c r="U13" s="108">
        <f>$S13</f>
        <v>145355240.03273332</v>
      </c>
      <c r="V13" s="108">
        <f>$T13</f>
        <v>148768018.03273332</v>
      </c>
      <c r="W13" s="108">
        <f t="shared" ref="W13:BK15" si="3">$T13</f>
        <v>148768018.03273332</v>
      </c>
      <c r="X13" s="108">
        <f t="shared" si="3"/>
        <v>148768018.03273332</v>
      </c>
      <c r="Y13" s="108">
        <f t="shared" si="3"/>
        <v>148768018.03273332</v>
      </c>
      <c r="Z13" s="108">
        <f t="shared" si="3"/>
        <v>148768018.03273332</v>
      </c>
      <c r="AA13" s="108">
        <f t="shared" si="3"/>
        <v>148768018.03273332</v>
      </c>
      <c r="AB13" s="108">
        <f t="shared" si="3"/>
        <v>148768018.03273332</v>
      </c>
      <c r="AC13" s="108">
        <f t="shared" si="3"/>
        <v>148768018.03273332</v>
      </c>
      <c r="AD13" s="109">
        <f t="shared" si="3"/>
        <v>148768018.03273332</v>
      </c>
      <c r="AE13" s="108">
        <f t="shared" si="3"/>
        <v>148768018.03273332</v>
      </c>
      <c r="AF13" s="108">
        <f t="shared" si="3"/>
        <v>148768018.03273332</v>
      </c>
      <c r="AG13" s="108">
        <f t="shared" si="3"/>
        <v>148768018.03273332</v>
      </c>
      <c r="AH13" s="108">
        <f t="shared" si="3"/>
        <v>148768018.03273332</v>
      </c>
      <c r="AI13" s="108">
        <f t="shared" si="3"/>
        <v>148768018.03273332</v>
      </c>
      <c r="AJ13" s="108">
        <f t="shared" si="3"/>
        <v>148768018.03273332</v>
      </c>
      <c r="AK13" s="108">
        <f t="shared" si="3"/>
        <v>148768018.03273332</v>
      </c>
      <c r="AL13" s="108">
        <f t="shared" si="3"/>
        <v>148768018.03273332</v>
      </c>
      <c r="AM13" s="108">
        <f t="shared" si="3"/>
        <v>148768018.03273332</v>
      </c>
      <c r="AN13" s="108">
        <f t="shared" si="3"/>
        <v>148768018.03273332</v>
      </c>
      <c r="AO13" s="108">
        <f t="shared" si="3"/>
        <v>148768018.03273332</v>
      </c>
      <c r="AP13" s="109">
        <f t="shared" si="3"/>
        <v>148768018.03273332</v>
      </c>
      <c r="AQ13" s="108">
        <f t="shared" si="3"/>
        <v>148768018.03273332</v>
      </c>
      <c r="AR13" s="108">
        <f t="shared" si="3"/>
        <v>148768018.03273332</v>
      </c>
      <c r="AS13" s="108">
        <f t="shared" si="3"/>
        <v>148768018.03273332</v>
      </c>
      <c r="AT13" s="108">
        <f t="shared" si="3"/>
        <v>148768018.03273332</v>
      </c>
      <c r="AU13" s="108">
        <f t="shared" si="3"/>
        <v>148768018.03273332</v>
      </c>
      <c r="AV13" s="108">
        <f t="shared" si="3"/>
        <v>148768018.03273332</v>
      </c>
      <c r="AW13" s="108">
        <f t="shared" si="3"/>
        <v>148768018.03273332</v>
      </c>
      <c r="AX13" s="108">
        <f t="shared" si="3"/>
        <v>148768018.03273332</v>
      </c>
      <c r="AY13" s="108">
        <f t="shared" si="3"/>
        <v>148768018.03273332</v>
      </c>
      <c r="AZ13" s="108">
        <f t="shared" si="3"/>
        <v>148768018.03273332</v>
      </c>
      <c r="BA13" s="108">
        <f t="shared" si="3"/>
        <v>148768018.03273332</v>
      </c>
      <c r="BB13" s="109">
        <f t="shared" si="3"/>
        <v>148768018.03273332</v>
      </c>
      <c r="BC13" s="108">
        <f t="shared" si="3"/>
        <v>148768018.03273332</v>
      </c>
      <c r="BD13" s="108">
        <f t="shared" si="3"/>
        <v>148768018.03273332</v>
      </c>
      <c r="BE13" s="108">
        <f t="shared" si="3"/>
        <v>148768018.03273332</v>
      </c>
      <c r="BF13" s="108">
        <f t="shared" si="3"/>
        <v>148768018.03273332</v>
      </c>
      <c r="BG13" s="108">
        <f t="shared" si="3"/>
        <v>148768018.03273332</v>
      </c>
      <c r="BH13" s="108">
        <f t="shared" si="3"/>
        <v>148768018.03273332</v>
      </c>
      <c r="BI13" s="108">
        <f t="shared" si="3"/>
        <v>148768018.03273332</v>
      </c>
      <c r="BJ13" s="107">
        <v>148455830.06268737</v>
      </c>
      <c r="BK13" s="110">
        <f t="shared" si="3"/>
        <v>148768018.03273332</v>
      </c>
      <c r="BL13" s="111">
        <f>$BJ13</f>
        <v>148455830.06268737</v>
      </c>
      <c r="BM13" s="111">
        <f t="shared" ref="BM13:BM15" si="4">$BJ13</f>
        <v>148455830.06268737</v>
      </c>
    </row>
    <row r="14" spans="1:65" ht="15.75" customHeight="1">
      <c r="A14" s="105" t="s">
        <v>27</v>
      </c>
      <c r="B14" s="105" t="s">
        <v>67</v>
      </c>
      <c r="C14" s="105" t="s">
        <v>68</v>
      </c>
      <c r="D14" s="105" t="s">
        <v>69</v>
      </c>
      <c r="E14" s="105" t="s">
        <v>72</v>
      </c>
      <c r="F14" s="106" t="s">
        <v>71</v>
      </c>
      <c r="G14" s="107">
        <v>9791445</v>
      </c>
      <c r="H14" s="108">
        <f t="shared" si="2"/>
        <v>9791445</v>
      </c>
      <c r="I14" s="108">
        <f t="shared" si="2"/>
        <v>9791445</v>
      </c>
      <c r="J14" s="108">
        <f t="shared" si="2"/>
        <v>9791445</v>
      </c>
      <c r="K14" s="108">
        <f t="shared" si="2"/>
        <v>9791445</v>
      </c>
      <c r="L14" s="108">
        <f t="shared" si="2"/>
        <v>9791445</v>
      </c>
      <c r="M14" s="108">
        <f t="shared" si="2"/>
        <v>9791445</v>
      </c>
      <c r="N14" s="108">
        <f t="shared" si="2"/>
        <v>9791445</v>
      </c>
      <c r="O14" s="108">
        <f t="shared" si="2"/>
        <v>9791445</v>
      </c>
      <c r="P14" s="109">
        <f t="shared" si="2"/>
        <v>9791445</v>
      </c>
      <c r="Q14" s="108">
        <f t="shared" si="2"/>
        <v>9791445</v>
      </c>
      <c r="R14" s="108">
        <f t="shared" si="2"/>
        <v>9791445</v>
      </c>
      <c r="S14" s="108">
        <f t="shared" si="2"/>
        <v>9791445</v>
      </c>
      <c r="T14" s="107">
        <v>9791516</v>
      </c>
      <c r="U14" s="108">
        <f>$S14</f>
        <v>9791445</v>
      </c>
      <c r="V14" s="108">
        <f>$T14</f>
        <v>9791516</v>
      </c>
      <c r="W14" s="108">
        <f t="shared" si="3"/>
        <v>9791516</v>
      </c>
      <c r="X14" s="108">
        <f t="shared" si="3"/>
        <v>9791516</v>
      </c>
      <c r="Y14" s="108">
        <f t="shared" si="3"/>
        <v>9791516</v>
      </c>
      <c r="Z14" s="108">
        <f t="shared" si="3"/>
        <v>9791516</v>
      </c>
      <c r="AA14" s="108">
        <f t="shared" si="3"/>
        <v>9791516</v>
      </c>
      <c r="AB14" s="108">
        <f t="shared" si="3"/>
        <v>9791516</v>
      </c>
      <c r="AC14" s="108">
        <f t="shared" si="3"/>
        <v>9791516</v>
      </c>
      <c r="AD14" s="109">
        <f t="shared" si="3"/>
        <v>9791516</v>
      </c>
      <c r="AE14" s="108">
        <f t="shared" si="3"/>
        <v>9791516</v>
      </c>
      <c r="AF14" s="108">
        <f t="shared" si="3"/>
        <v>9791516</v>
      </c>
      <c r="AG14" s="108">
        <f t="shared" si="3"/>
        <v>9791516</v>
      </c>
      <c r="AH14" s="108">
        <f t="shared" si="3"/>
        <v>9791516</v>
      </c>
      <c r="AI14" s="108">
        <f t="shared" si="3"/>
        <v>9791516</v>
      </c>
      <c r="AJ14" s="108">
        <f t="shared" si="3"/>
        <v>9791516</v>
      </c>
      <c r="AK14" s="108">
        <f t="shared" si="3"/>
        <v>9791516</v>
      </c>
      <c r="AL14" s="108">
        <f t="shared" si="3"/>
        <v>9791516</v>
      </c>
      <c r="AM14" s="108">
        <f t="shared" si="3"/>
        <v>9791516</v>
      </c>
      <c r="AN14" s="108">
        <f t="shared" si="3"/>
        <v>9791516</v>
      </c>
      <c r="AO14" s="108">
        <f t="shared" si="3"/>
        <v>9791516</v>
      </c>
      <c r="AP14" s="109">
        <f t="shared" si="3"/>
        <v>9791516</v>
      </c>
      <c r="AQ14" s="108">
        <f t="shared" si="3"/>
        <v>9791516</v>
      </c>
      <c r="AR14" s="108">
        <f t="shared" si="3"/>
        <v>9791516</v>
      </c>
      <c r="AS14" s="108">
        <f t="shared" si="3"/>
        <v>9791516</v>
      </c>
      <c r="AT14" s="108">
        <f t="shared" si="3"/>
        <v>9791516</v>
      </c>
      <c r="AU14" s="108">
        <f t="shared" si="3"/>
        <v>9791516</v>
      </c>
      <c r="AV14" s="108">
        <f t="shared" si="3"/>
        <v>9791516</v>
      </c>
      <c r="AW14" s="108">
        <f t="shared" si="3"/>
        <v>9791516</v>
      </c>
      <c r="AX14" s="108">
        <f t="shared" si="3"/>
        <v>9791516</v>
      </c>
      <c r="AY14" s="108">
        <f t="shared" si="3"/>
        <v>9791516</v>
      </c>
      <c r="AZ14" s="108">
        <f t="shared" si="3"/>
        <v>9791516</v>
      </c>
      <c r="BA14" s="108">
        <f t="shared" si="3"/>
        <v>9791516</v>
      </c>
      <c r="BB14" s="109">
        <f t="shared" si="3"/>
        <v>9791516</v>
      </c>
      <c r="BC14" s="108">
        <f t="shared" si="3"/>
        <v>9791516</v>
      </c>
      <c r="BD14" s="108">
        <f t="shared" si="3"/>
        <v>9791516</v>
      </c>
      <c r="BE14" s="108">
        <f t="shared" si="3"/>
        <v>9791516</v>
      </c>
      <c r="BF14" s="108">
        <f t="shared" si="3"/>
        <v>9791516</v>
      </c>
      <c r="BG14" s="108">
        <f t="shared" si="3"/>
        <v>9791516</v>
      </c>
      <c r="BH14" s="108">
        <f t="shared" si="3"/>
        <v>9791516</v>
      </c>
      <c r="BI14" s="108">
        <f t="shared" si="3"/>
        <v>9791516</v>
      </c>
      <c r="BJ14" s="107">
        <v>10026878.499999773</v>
      </c>
      <c r="BK14" s="110">
        <f t="shared" si="3"/>
        <v>9791516</v>
      </c>
      <c r="BL14" s="111">
        <f t="shared" ref="BL14:BL15" si="5">$BJ14</f>
        <v>10026878.499999773</v>
      </c>
      <c r="BM14" s="111">
        <f t="shared" si="4"/>
        <v>10026878.499999773</v>
      </c>
    </row>
    <row r="15" spans="1:65" ht="15.75" customHeight="1">
      <c r="A15" s="105" t="s">
        <v>27</v>
      </c>
      <c r="B15" s="105" t="s">
        <v>67</v>
      </c>
      <c r="C15" s="105" t="s">
        <v>68</v>
      </c>
      <c r="D15" s="105" t="s">
        <v>69</v>
      </c>
      <c r="E15" s="105" t="s">
        <v>73</v>
      </c>
      <c r="F15" s="106" t="s">
        <v>71</v>
      </c>
      <c r="G15" s="107">
        <v>55772733.751642562</v>
      </c>
      <c r="H15" s="108">
        <f t="shared" si="2"/>
        <v>55772733.751642562</v>
      </c>
      <c r="I15" s="108">
        <f t="shared" si="2"/>
        <v>55772733.751642562</v>
      </c>
      <c r="J15" s="108">
        <f t="shared" si="2"/>
        <v>55772733.751642562</v>
      </c>
      <c r="K15" s="108">
        <f t="shared" si="2"/>
        <v>55772733.751642562</v>
      </c>
      <c r="L15" s="108">
        <f t="shared" si="2"/>
        <v>55772733.751642562</v>
      </c>
      <c r="M15" s="108">
        <f t="shared" si="2"/>
        <v>55772733.751642562</v>
      </c>
      <c r="N15" s="108">
        <f t="shared" si="2"/>
        <v>55772733.751642562</v>
      </c>
      <c r="O15" s="108">
        <f t="shared" si="2"/>
        <v>55772733.751642562</v>
      </c>
      <c r="P15" s="109">
        <f t="shared" si="2"/>
        <v>55772733.751642562</v>
      </c>
      <c r="Q15" s="108">
        <f t="shared" si="2"/>
        <v>55772733.751642562</v>
      </c>
      <c r="R15" s="108">
        <f t="shared" si="2"/>
        <v>55772733.751642562</v>
      </c>
      <c r="S15" s="108">
        <f t="shared" si="2"/>
        <v>55772733.751642562</v>
      </c>
      <c r="T15" s="107">
        <v>55772733.751642562</v>
      </c>
      <c r="U15" s="108">
        <f>$S15</f>
        <v>55772733.751642562</v>
      </c>
      <c r="V15" s="108">
        <f>$T15</f>
        <v>55772733.751642562</v>
      </c>
      <c r="W15" s="108">
        <f t="shared" si="3"/>
        <v>55772733.751642562</v>
      </c>
      <c r="X15" s="108">
        <f t="shared" si="3"/>
        <v>55772733.751642562</v>
      </c>
      <c r="Y15" s="108">
        <f t="shared" si="3"/>
        <v>55772733.751642562</v>
      </c>
      <c r="Z15" s="108">
        <f t="shared" si="3"/>
        <v>55772733.751642562</v>
      </c>
      <c r="AA15" s="108">
        <f t="shared" si="3"/>
        <v>55772733.751642562</v>
      </c>
      <c r="AB15" s="108">
        <f t="shared" si="3"/>
        <v>55772733.751642562</v>
      </c>
      <c r="AC15" s="108">
        <f t="shared" si="3"/>
        <v>55772733.751642562</v>
      </c>
      <c r="AD15" s="109">
        <f t="shared" si="3"/>
        <v>55772733.751642562</v>
      </c>
      <c r="AE15" s="108">
        <f t="shared" si="3"/>
        <v>55772733.751642562</v>
      </c>
      <c r="AF15" s="108">
        <f t="shared" si="3"/>
        <v>55772733.751642562</v>
      </c>
      <c r="AG15" s="108">
        <f t="shared" si="3"/>
        <v>55772733.751642562</v>
      </c>
      <c r="AH15" s="108">
        <f t="shared" si="3"/>
        <v>55772733.751642562</v>
      </c>
      <c r="AI15" s="108">
        <f t="shared" si="3"/>
        <v>55772733.751642562</v>
      </c>
      <c r="AJ15" s="108">
        <f t="shared" si="3"/>
        <v>55772733.751642562</v>
      </c>
      <c r="AK15" s="108">
        <f t="shared" si="3"/>
        <v>55772733.751642562</v>
      </c>
      <c r="AL15" s="108">
        <f t="shared" si="3"/>
        <v>55772733.751642562</v>
      </c>
      <c r="AM15" s="108">
        <f t="shared" si="3"/>
        <v>55772733.751642562</v>
      </c>
      <c r="AN15" s="108">
        <f t="shared" si="3"/>
        <v>55772733.751642562</v>
      </c>
      <c r="AO15" s="108">
        <f t="shared" si="3"/>
        <v>55772733.751642562</v>
      </c>
      <c r="AP15" s="109">
        <f t="shared" si="3"/>
        <v>55772733.751642562</v>
      </c>
      <c r="AQ15" s="108">
        <f t="shared" si="3"/>
        <v>55772733.751642562</v>
      </c>
      <c r="AR15" s="108">
        <f t="shared" si="3"/>
        <v>55772733.751642562</v>
      </c>
      <c r="AS15" s="108">
        <f t="shared" si="3"/>
        <v>55772733.751642562</v>
      </c>
      <c r="AT15" s="108">
        <f t="shared" si="3"/>
        <v>55772733.751642562</v>
      </c>
      <c r="AU15" s="108">
        <f t="shared" si="3"/>
        <v>55772733.751642562</v>
      </c>
      <c r="AV15" s="108">
        <f t="shared" si="3"/>
        <v>55772733.751642562</v>
      </c>
      <c r="AW15" s="108">
        <f t="shared" si="3"/>
        <v>55772733.751642562</v>
      </c>
      <c r="AX15" s="108">
        <f t="shared" si="3"/>
        <v>55772733.751642562</v>
      </c>
      <c r="AY15" s="108">
        <f t="shared" si="3"/>
        <v>55772733.751642562</v>
      </c>
      <c r="AZ15" s="108">
        <f t="shared" si="3"/>
        <v>55772733.751642562</v>
      </c>
      <c r="BA15" s="108">
        <f t="shared" si="3"/>
        <v>55772733.751642562</v>
      </c>
      <c r="BB15" s="109">
        <f t="shared" si="3"/>
        <v>55772733.751642562</v>
      </c>
      <c r="BC15" s="108">
        <f t="shared" si="3"/>
        <v>55772733.751642562</v>
      </c>
      <c r="BD15" s="108">
        <f t="shared" si="3"/>
        <v>55772733.751642562</v>
      </c>
      <c r="BE15" s="108">
        <f t="shared" si="3"/>
        <v>55772733.751642562</v>
      </c>
      <c r="BF15" s="108">
        <f t="shared" si="3"/>
        <v>55772733.751642562</v>
      </c>
      <c r="BG15" s="108">
        <f t="shared" si="3"/>
        <v>55772733.751642562</v>
      </c>
      <c r="BH15" s="108">
        <f t="shared" si="3"/>
        <v>55772733.751642562</v>
      </c>
      <c r="BI15" s="108">
        <f t="shared" si="3"/>
        <v>55772733.751642562</v>
      </c>
      <c r="BJ15" s="107">
        <v>37144440.565302372</v>
      </c>
      <c r="BK15" s="110">
        <f t="shared" si="3"/>
        <v>55772733.751642562</v>
      </c>
      <c r="BL15" s="111">
        <f t="shared" si="5"/>
        <v>37144440.565302372</v>
      </c>
      <c r="BM15" s="111">
        <f t="shared" si="4"/>
        <v>37144440.565302372</v>
      </c>
    </row>
    <row r="16" spans="1:65" s="108" customFormat="1" ht="15.75" customHeight="1">
      <c r="A16" s="105" t="s">
        <v>27</v>
      </c>
      <c r="B16" s="105" t="s">
        <v>67</v>
      </c>
      <c r="C16" s="105" t="s">
        <v>68</v>
      </c>
      <c r="D16" s="105" t="s">
        <v>69</v>
      </c>
      <c r="E16" s="105" t="s">
        <v>74</v>
      </c>
      <c r="F16" s="106" t="s">
        <v>71</v>
      </c>
      <c r="G16" s="108">
        <f t="shared" ref="G16:BK16" si="6">G13-G14-G15</f>
        <v>79791061.281090766</v>
      </c>
      <c r="H16" s="108">
        <f t="shared" si="6"/>
        <v>79791061.281090766</v>
      </c>
      <c r="I16" s="108">
        <f t="shared" si="6"/>
        <v>79791061.281090766</v>
      </c>
      <c r="J16" s="108">
        <f t="shared" si="6"/>
        <v>79791061.281090766</v>
      </c>
      <c r="K16" s="108">
        <f t="shared" si="6"/>
        <v>79791061.281090766</v>
      </c>
      <c r="L16" s="108">
        <f t="shared" si="6"/>
        <v>79791061.281090766</v>
      </c>
      <c r="M16" s="108">
        <f t="shared" si="6"/>
        <v>79791061.281090766</v>
      </c>
      <c r="N16" s="108">
        <f t="shared" si="6"/>
        <v>79791061.281090766</v>
      </c>
      <c r="O16" s="108">
        <f t="shared" si="6"/>
        <v>79791061.281090766</v>
      </c>
      <c r="P16" s="109">
        <f t="shared" si="6"/>
        <v>79791061.281090766</v>
      </c>
      <c r="Q16" s="108">
        <f t="shared" si="6"/>
        <v>79791061.281090766</v>
      </c>
      <c r="R16" s="108">
        <f t="shared" si="6"/>
        <v>79791061.281090766</v>
      </c>
      <c r="S16" s="108">
        <f t="shared" si="6"/>
        <v>79791061.281090766</v>
      </c>
      <c r="T16" s="108">
        <f t="shared" si="6"/>
        <v>83203768.281090766</v>
      </c>
      <c r="U16" s="108">
        <f t="shared" si="6"/>
        <v>79791061.281090766</v>
      </c>
      <c r="V16" s="108">
        <f t="shared" si="6"/>
        <v>83203768.281090766</v>
      </c>
      <c r="W16" s="108">
        <f t="shared" si="6"/>
        <v>83203768.281090766</v>
      </c>
      <c r="X16" s="108">
        <f t="shared" si="6"/>
        <v>83203768.281090766</v>
      </c>
      <c r="Y16" s="108">
        <f t="shared" si="6"/>
        <v>83203768.281090766</v>
      </c>
      <c r="Z16" s="108">
        <f t="shared" si="6"/>
        <v>83203768.281090766</v>
      </c>
      <c r="AA16" s="108">
        <f t="shared" si="6"/>
        <v>83203768.281090766</v>
      </c>
      <c r="AB16" s="108">
        <f t="shared" si="6"/>
        <v>83203768.281090766</v>
      </c>
      <c r="AC16" s="108">
        <f t="shared" si="6"/>
        <v>83203768.281090766</v>
      </c>
      <c r="AD16" s="109">
        <f t="shared" si="6"/>
        <v>83203768.281090766</v>
      </c>
      <c r="AE16" s="108">
        <f t="shared" si="6"/>
        <v>83203768.281090766</v>
      </c>
      <c r="AF16" s="108">
        <f t="shared" si="6"/>
        <v>83203768.281090766</v>
      </c>
      <c r="AG16" s="108">
        <f t="shared" si="6"/>
        <v>83203768.281090766</v>
      </c>
      <c r="AH16" s="108">
        <f t="shared" si="6"/>
        <v>83203768.281090766</v>
      </c>
      <c r="AI16" s="108">
        <f t="shared" si="6"/>
        <v>83203768.281090766</v>
      </c>
      <c r="AJ16" s="108">
        <f t="shared" si="6"/>
        <v>83203768.281090766</v>
      </c>
      <c r="AK16" s="108">
        <f t="shared" si="6"/>
        <v>83203768.281090766</v>
      </c>
      <c r="AL16" s="108">
        <f t="shared" si="6"/>
        <v>83203768.281090766</v>
      </c>
      <c r="AM16" s="108">
        <f t="shared" si="6"/>
        <v>83203768.281090766</v>
      </c>
      <c r="AN16" s="108">
        <f t="shared" si="6"/>
        <v>83203768.281090766</v>
      </c>
      <c r="AO16" s="108">
        <f t="shared" si="6"/>
        <v>83203768.281090766</v>
      </c>
      <c r="AP16" s="109">
        <f t="shared" si="6"/>
        <v>83203768.281090766</v>
      </c>
      <c r="AQ16" s="108">
        <f t="shared" si="6"/>
        <v>83203768.281090766</v>
      </c>
      <c r="AR16" s="108">
        <f t="shared" si="6"/>
        <v>83203768.281090766</v>
      </c>
      <c r="AS16" s="108">
        <f t="shared" si="6"/>
        <v>83203768.281090766</v>
      </c>
      <c r="AT16" s="108">
        <f t="shared" si="6"/>
        <v>83203768.281090766</v>
      </c>
      <c r="AU16" s="108">
        <f t="shared" si="6"/>
        <v>83203768.281090766</v>
      </c>
      <c r="AV16" s="108">
        <f t="shared" si="6"/>
        <v>83203768.281090766</v>
      </c>
      <c r="AW16" s="108">
        <f t="shared" si="6"/>
        <v>83203768.281090766</v>
      </c>
      <c r="AX16" s="108">
        <f t="shared" si="6"/>
        <v>83203768.281090766</v>
      </c>
      <c r="AY16" s="108">
        <f t="shared" si="6"/>
        <v>83203768.281090766</v>
      </c>
      <c r="AZ16" s="108">
        <f t="shared" si="6"/>
        <v>83203768.281090766</v>
      </c>
      <c r="BA16" s="108">
        <f t="shared" si="6"/>
        <v>83203768.281090766</v>
      </c>
      <c r="BB16" s="109">
        <f t="shared" si="6"/>
        <v>83203768.281090766</v>
      </c>
      <c r="BC16" s="108">
        <f t="shared" si="6"/>
        <v>83203768.281090766</v>
      </c>
      <c r="BD16" s="108">
        <f t="shared" si="6"/>
        <v>83203768.281090766</v>
      </c>
      <c r="BE16" s="108">
        <f t="shared" si="6"/>
        <v>83203768.281090766</v>
      </c>
      <c r="BF16" s="108">
        <f t="shared" si="6"/>
        <v>83203768.281090766</v>
      </c>
      <c r="BG16" s="108">
        <f t="shared" si="6"/>
        <v>83203768.281090766</v>
      </c>
      <c r="BH16" s="108">
        <f t="shared" si="6"/>
        <v>83203768.281090766</v>
      </c>
      <c r="BI16" s="108">
        <f t="shared" si="6"/>
        <v>83203768.281090766</v>
      </c>
      <c r="BJ16" s="108">
        <f t="shared" si="6"/>
        <v>101284510.99738523</v>
      </c>
      <c r="BK16" s="110">
        <f t="shared" si="6"/>
        <v>83203768.281090766</v>
      </c>
      <c r="BL16" s="111">
        <f>BL13-BL14-BL15</f>
        <v>101284510.99738523</v>
      </c>
      <c r="BM16" s="111">
        <f t="shared" ref="BM16" si="7">BM13-BM14-BM15</f>
        <v>101284510.99738523</v>
      </c>
    </row>
    <row r="17" spans="1:65" ht="15.75" customHeight="1">
      <c r="A17" s="105" t="s">
        <v>27</v>
      </c>
      <c r="B17" s="105" t="s">
        <v>67</v>
      </c>
      <c r="C17" s="105" t="s">
        <v>68</v>
      </c>
      <c r="D17" s="105" t="s">
        <v>69</v>
      </c>
      <c r="E17" s="105" t="s">
        <v>75</v>
      </c>
      <c r="F17" s="106" t="s">
        <v>76</v>
      </c>
      <c r="G17" s="112">
        <v>105258.649784939</v>
      </c>
      <c r="H17" s="113">
        <f>$G17</f>
        <v>105258.649784939</v>
      </c>
      <c r="I17" s="113">
        <f t="shared" ref="I17:BI17" si="8">$G17</f>
        <v>105258.649784939</v>
      </c>
      <c r="J17" s="113">
        <f t="shared" si="8"/>
        <v>105258.649784939</v>
      </c>
      <c r="K17" s="113">
        <f t="shared" si="8"/>
        <v>105258.649784939</v>
      </c>
      <c r="L17" s="113">
        <f t="shared" si="8"/>
        <v>105258.649784939</v>
      </c>
      <c r="M17" s="113">
        <f t="shared" si="8"/>
        <v>105258.649784939</v>
      </c>
      <c r="N17" s="113">
        <f t="shared" si="8"/>
        <v>105258.649784939</v>
      </c>
      <c r="O17" s="113">
        <f t="shared" si="8"/>
        <v>105258.649784939</v>
      </c>
      <c r="P17" s="114">
        <f t="shared" si="8"/>
        <v>105258.649784939</v>
      </c>
      <c r="Q17" s="113">
        <f t="shared" si="8"/>
        <v>105258.649784939</v>
      </c>
      <c r="R17" s="113">
        <f t="shared" si="8"/>
        <v>105258.649784939</v>
      </c>
      <c r="S17" s="113">
        <f t="shared" si="8"/>
        <v>105258.649784939</v>
      </c>
      <c r="T17" s="113">
        <f t="shared" si="8"/>
        <v>105258.649784939</v>
      </c>
      <c r="U17" s="113">
        <f t="shared" si="8"/>
        <v>105258.649784939</v>
      </c>
      <c r="V17" s="113">
        <f t="shared" si="8"/>
        <v>105258.649784939</v>
      </c>
      <c r="W17" s="113">
        <f t="shared" si="8"/>
        <v>105258.649784939</v>
      </c>
      <c r="X17" s="113">
        <f t="shared" si="8"/>
        <v>105258.649784939</v>
      </c>
      <c r="Y17" s="113">
        <f t="shared" si="8"/>
        <v>105258.649784939</v>
      </c>
      <c r="Z17" s="113">
        <f t="shared" si="8"/>
        <v>105258.649784939</v>
      </c>
      <c r="AA17" s="113">
        <f t="shared" si="8"/>
        <v>105258.649784939</v>
      </c>
      <c r="AB17" s="113">
        <f t="shared" si="8"/>
        <v>105258.649784939</v>
      </c>
      <c r="AC17" s="113">
        <f t="shared" si="8"/>
        <v>105258.649784939</v>
      </c>
      <c r="AD17" s="114">
        <f t="shared" si="8"/>
        <v>105258.649784939</v>
      </c>
      <c r="AE17" s="113">
        <f t="shared" si="8"/>
        <v>105258.649784939</v>
      </c>
      <c r="AF17" s="113">
        <f t="shared" si="8"/>
        <v>105258.649784939</v>
      </c>
      <c r="AG17" s="113">
        <f t="shared" si="8"/>
        <v>105258.649784939</v>
      </c>
      <c r="AH17" s="113">
        <f t="shared" si="8"/>
        <v>105258.649784939</v>
      </c>
      <c r="AI17" s="113">
        <f t="shared" si="8"/>
        <v>105258.649784939</v>
      </c>
      <c r="AJ17" s="113">
        <f t="shared" si="8"/>
        <v>105258.649784939</v>
      </c>
      <c r="AK17" s="113">
        <f t="shared" si="8"/>
        <v>105258.649784939</v>
      </c>
      <c r="AL17" s="113">
        <f t="shared" si="8"/>
        <v>105258.649784939</v>
      </c>
      <c r="AM17" s="113">
        <f t="shared" si="8"/>
        <v>105258.649784939</v>
      </c>
      <c r="AN17" s="113">
        <f t="shared" si="8"/>
        <v>105258.649784939</v>
      </c>
      <c r="AO17" s="113">
        <f t="shared" si="8"/>
        <v>105258.649784939</v>
      </c>
      <c r="AP17" s="114">
        <f t="shared" si="8"/>
        <v>105258.649784939</v>
      </c>
      <c r="AQ17" s="113">
        <f t="shared" si="8"/>
        <v>105258.649784939</v>
      </c>
      <c r="AR17" s="113">
        <f t="shared" si="8"/>
        <v>105258.649784939</v>
      </c>
      <c r="AS17" s="113">
        <f t="shared" si="8"/>
        <v>105258.649784939</v>
      </c>
      <c r="AT17" s="113">
        <f t="shared" si="8"/>
        <v>105258.649784939</v>
      </c>
      <c r="AU17" s="113">
        <f t="shared" si="8"/>
        <v>105258.649784939</v>
      </c>
      <c r="AV17" s="113">
        <f t="shared" si="8"/>
        <v>105258.649784939</v>
      </c>
      <c r="AW17" s="113">
        <f t="shared" si="8"/>
        <v>105258.649784939</v>
      </c>
      <c r="AX17" s="113">
        <f t="shared" si="8"/>
        <v>105258.649784939</v>
      </c>
      <c r="AY17" s="113">
        <f t="shared" si="8"/>
        <v>105258.649784939</v>
      </c>
      <c r="AZ17" s="113">
        <f t="shared" si="8"/>
        <v>105258.649784939</v>
      </c>
      <c r="BA17" s="113">
        <f t="shared" si="8"/>
        <v>105258.649784939</v>
      </c>
      <c r="BB17" s="114">
        <f t="shared" si="8"/>
        <v>105258.649784939</v>
      </c>
      <c r="BC17" s="113">
        <f t="shared" si="8"/>
        <v>105258.649784939</v>
      </c>
      <c r="BD17" s="113">
        <f t="shared" si="8"/>
        <v>105258.649784939</v>
      </c>
      <c r="BE17" s="113">
        <f t="shared" si="8"/>
        <v>105258.649784939</v>
      </c>
      <c r="BF17" s="113">
        <f t="shared" si="8"/>
        <v>105258.649784939</v>
      </c>
      <c r="BG17" s="113">
        <f t="shared" si="8"/>
        <v>105258.649784939</v>
      </c>
      <c r="BH17" s="113">
        <f t="shared" si="8"/>
        <v>105258.649784939</v>
      </c>
      <c r="BI17" s="113">
        <f t="shared" si="8"/>
        <v>105258.649784939</v>
      </c>
      <c r="BJ17" s="115">
        <v>107789.70430107282</v>
      </c>
      <c r="BK17" s="113">
        <f>$G17</f>
        <v>105258.649784939</v>
      </c>
      <c r="BL17" s="111">
        <f>$BJ17</f>
        <v>107789.70430107282</v>
      </c>
      <c r="BM17" s="111">
        <f t="shared" ref="BM17" si="9">$BJ17</f>
        <v>107789.70430107282</v>
      </c>
    </row>
    <row r="18" spans="1:65" ht="15.75" customHeight="1">
      <c r="A18" s="105" t="s">
        <v>27</v>
      </c>
      <c r="B18" s="105" t="s">
        <v>67</v>
      </c>
      <c r="C18" s="105" t="s">
        <v>68</v>
      </c>
      <c r="D18" s="105" t="s">
        <v>77</v>
      </c>
      <c r="E18" s="105" t="s">
        <v>78</v>
      </c>
      <c r="F18" s="106" t="s">
        <v>79</v>
      </c>
      <c r="G18" s="113">
        <v>112822191.42967261</v>
      </c>
      <c r="H18" s="113">
        <v>107361146.72659461</v>
      </c>
      <c r="I18" s="113">
        <v>116331374.15738307</v>
      </c>
      <c r="J18" s="113">
        <v>214773402.05362487</v>
      </c>
      <c r="K18" s="113">
        <v>207510288.34424433</v>
      </c>
      <c r="L18" s="113">
        <v>181117397.77098736</v>
      </c>
      <c r="M18" s="113">
        <v>146056561.15933228</v>
      </c>
      <c r="N18" s="113">
        <v>109055881.75086591</v>
      </c>
      <c r="O18" s="113">
        <v>88206782.5691479</v>
      </c>
      <c r="P18" s="114">
        <v>72328812.839375094</v>
      </c>
      <c r="Q18" s="113">
        <v>91654491.253386825</v>
      </c>
      <c r="R18" s="113">
        <v>122568307.43456201</v>
      </c>
      <c r="S18" s="113">
        <v>112822191.42967261</v>
      </c>
      <c r="T18" s="113">
        <v>112822191.42967261</v>
      </c>
      <c r="U18" s="113">
        <v>107361146.72659461</v>
      </c>
      <c r="V18" s="113">
        <v>107361146.72659461</v>
      </c>
      <c r="W18" s="113">
        <v>116331374.15738307</v>
      </c>
      <c r="X18" s="113">
        <v>214773402.05362487</v>
      </c>
      <c r="Y18" s="113">
        <v>207510288.34424433</v>
      </c>
      <c r="Z18" s="113">
        <v>181117397.77098736</v>
      </c>
      <c r="AA18" s="113">
        <v>146056561.15933228</v>
      </c>
      <c r="AB18" s="113">
        <v>109055881.75086591</v>
      </c>
      <c r="AC18" s="113">
        <v>88206782.5691479</v>
      </c>
      <c r="AD18" s="114">
        <v>72328812.839375094</v>
      </c>
      <c r="AE18" s="113">
        <v>91654491.253386825</v>
      </c>
      <c r="AF18" s="113">
        <v>122568307.43456201</v>
      </c>
      <c r="AG18" s="113">
        <v>112822191.42967261</v>
      </c>
      <c r="AH18" s="113">
        <v>107361146.72659461</v>
      </c>
      <c r="AI18" s="113">
        <v>116331374.15738307</v>
      </c>
      <c r="AJ18" s="113">
        <v>214773402.05362487</v>
      </c>
      <c r="AK18" s="113">
        <v>207510288.34424433</v>
      </c>
      <c r="AL18" s="113">
        <v>181117397.77098736</v>
      </c>
      <c r="AM18" s="113">
        <v>146056561.15933228</v>
      </c>
      <c r="AN18" s="113">
        <v>109055881.75086591</v>
      </c>
      <c r="AO18" s="113">
        <v>88206782.5691479</v>
      </c>
      <c r="AP18" s="114">
        <v>72328812.839375094</v>
      </c>
      <c r="AQ18" s="113">
        <v>91654491.253386825</v>
      </c>
      <c r="AR18" s="113">
        <v>122568307.43456201</v>
      </c>
      <c r="AS18" s="113">
        <v>112822191.42967261</v>
      </c>
      <c r="AT18" s="113">
        <v>107361146.72659461</v>
      </c>
      <c r="AU18" s="113">
        <v>116331374.15738307</v>
      </c>
      <c r="AV18" s="113">
        <v>214773402.05362487</v>
      </c>
      <c r="AW18" s="113">
        <v>207510288.34424433</v>
      </c>
      <c r="AX18" s="113">
        <v>181117397.77098736</v>
      </c>
      <c r="AY18" s="113">
        <v>146056561.15933228</v>
      </c>
      <c r="AZ18" s="113">
        <v>109055881.75086591</v>
      </c>
      <c r="BA18" s="113">
        <v>88206782.5691479</v>
      </c>
      <c r="BB18" s="114">
        <v>72328812.839375094</v>
      </c>
      <c r="BC18" s="113">
        <v>91654491.253386825</v>
      </c>
      <c r="BD18" s="113">
        <v>122568307.43456201</v>
      </c>
      <c r="BE18" s="113">
        <v>112822191.42967261</v>
      </c>
      <c r="BF18" s="113">
        <v>107361146.72659461</v>
      </c>
      <c r="BG18" s="113">
        <v>116331374.15738307</v>
      </c>
      <c r="BH18" s="113">
        <v>214773402.05362487</v>
      </c>
      <c r="BI18" s="113">
        <v>207510288.34424433</v>
      </c>
      <c r="BJ18" s="113">
        <v>191310335.73525828</v>
      </c>
      <c r="BK18" s="113">
        <v>181117397.77098736</v>
      </c>
      <c r="BL18" s="111">
        <v>134338915.01484981</v>
      </c>
      <c r="BM18" s="111">
        <v>155384871.72279134</v>
      </c>
    </row>
    <row r="19" spans="1:65" ht="15.75" customHeight="1">
      <c r="A19" s="105" t="s">
        <v>27</v>
      </c>
      <c r="B19" s="105" t="s">
        <v>67</v>
      </c>
      <c r="C19" s="105" t="s">
        <v>68</v>
      </c>
      <c r="D19" s="105" t="s">
        <v>69</v>
      </c>
      <c r="E19" s="105" t="s">
        <v>78</v>
      </c>
      <c r="F19" s="106" t="s">
        <v>79</v>
      </c>
      <c r="G19" s="113">
        <v>1569786637.489177</v>
      </c>
      <c r="H19" s="113">
        <v>1569786637.489177</v>
      </c>
      <c r="I19" s="113">
        <v>1569786637.489177</v>
      </c>
      <c r="J19" s="113">
        <v>1569786637.489177</v>
      </c>
      <c r="K19" s="113">
        <v>1569786637.489177</v>
      </c>
      <c r="L19" s="113">
        <v>1569786637.489177</v>
      </c>
      <c r="M19" s="113">
        <v>1569786637.489177</v>
      </c>
      <c r="N19" s="113">
        <v>1569786637.489177</v>
      </c>
      <c r="O19" s="113">
        <v>1569786637.489177</v>
      </c>
      <c r="P19" s="114">
        <v>1569786637.489177</v>
      </c>
      <c r="Q19" s="113">
        <v>1569786637.489177</v>
      </c>
      <c r="R19" s="113">
        <v>1569786637.489177</v>
      </c>
      <c r="S19" s="113">
        <v>1569786637.489177</v>
      </c>
      <c r="T19" s="113">
        <v>1569786637.489177</v>
      </c>
      <c r="U19" s="113">
        <v>1569786637.489177</v>
      </c>
      <c r="V19" s="113">
        <v>1569786637.489177</v>
      </c>
      <c r="W19" s="113">
        <v>1569786637.489177</v>
      </c>
      <c r="X19" s="113">
        <v>1569786637.489177</v>
      </c>
      <c r="Y19" s="113">
        <v>1569786637.489177</v>
      </c>
      <c r="Z19" s="113">
        <v>1569786637.489177</v>
      </c>
      <c r="AA19" s="113">
        <v>1569786637.489177</v>
      </c>
      <c r="AB19" s="113">
        <v>1569786637.489177</v>
      </c>
      <c r="AC19" s="113">
        <v>1569786637.489177</v>
      </c>
      <c r="AD19" s="114">
        <v>1569786637.489177</v>
      </c>
      <c r="AE19" s="113">
        <v>1569786637.489177</v>
      </c>
      <c r="AF19" s="113">
        <v>1569786637.489177</v>
      </c>
      <c r="AG19" s="113">
        <v>1569786637.489177</v>
      </c>
      <c r="AH19" s="113">
        <v>1569786637.489177</v>
      </c>
      <c r="AI19" s="113">
        <v>1569786637.489177</v>
      </c>
      <c r="AJ19" s="113">
        <v>1569786637.489177</v>
      </c>
      <c r="AK19" s="113">
        <v>1569786637.489177</v>
      </c>
      <c r="AL19" s="113">
        <v>1569786637.489177</v>
      </c>
      <c r="AM19" s="113">
        <v>1569786637.489177</v>
      </c>
      <c r="AN19" s="113">
        <v>1569786637.489177</v>
      </c>
      <c r="AO19" s="113">
        <v>1569786637.489177</v>
      </c>
      <c r="AP19" s="114">
        <v>1569786637.489177</v>
      </c>
      <c r="AQ19" s="113">
        <v>1569786637.489177</v>
      </c>
      <c r="AR19" s="113">
        <v>1569786637.489177</v>
      </c>
      <c r="AS19" s="113">
        <v>1569786637.489177</v>
      </c>
      <c r="AT19" s="113">
        <v>1569786637.489177</v>
      </c>
      <c r="AU19" s="113">
        <v>1569786637.489177</v>
      </c>
      <c r="AV19" s="113">
        <v>1569786637.489177</v>
      </c>
      <c r="AW19" s="113">
        <v>1569786637.489177</v>
      </c>
      <c r="AX19" s="113">
        <v>1569786637.489177</v>
      </c>
      <c r="AY19" s="113">
        <v>1569786637.489177</v>
      </c>
      <c r="AZ19" s="113">
        <v>1569786637.489177</v>
      </c>
      <c r="BA19" s="113">
        <v>1569786637.489177</v>
      </c>
      <c r="BB19" s="114">
        <v>1569786637.489177</v>
      </c>
      <c r="BC19" s="113">
        <v>1569786637.489177</v>
      </c>
      <c r="BD19" s="113">
        <v>1569786637.489177</v>
      </c>
      <c r="BE19" s="113">
        <v>1569786637.489177</v>
      </c>
      <c r="BF19" s="113">
        <v>1569786637.489177</v>
      </c>
      <c r="BG19" s="113">
        <v>1569786637.489177</v>
      </c>
      <c r="BH19" s="113">
        <v>1569786637.489177</v>
      </c>
      <c r="BI19" s="113">
        <v>1569786637.489177</v>
      </c>
      <c r="BJ19" s="113">
        <v>1524718211.8738825</v>
      </c>
      <c r="BK19" s="113">
        <v>1569786637.489177</v>
      </c>
      <c r="BL19" s="111">
        <v>1524718211.8738825</v>
      </c>
      <c r="BM19" s="111">
        <v>1524718211.8738825</v>
      </c>
    </row>
    <row r="20" spans="1:65" s="123" customFormat="1" ht="15.75" customHeight="1">
      <c r="A20" s="116" t="s">
        <v>27</v>
      </c>
      <c r="B20" s="116" t="s">
        <v>67</v>
      </c>
      <c r="C20" s="116" t="s">
        <v>80</v>
      </c>
      <c r="D20" s="116" t="s">
        <v>77</v>
      </c>
      <c r="E20" s="116" t="s">
        <v>81</v>
      </c>
      <c r="F20" s="117" t="s">
        <v>82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9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9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9"/>
      <c r="BC20" s="118"/>
      <c r="BD20" s="118"/>
      <c r="BE20" s="118"/>
      <c r="BF20" s="118"/>
      <c r="BG20" s="118"/>
      <c r="BH20" s="118"/>
      <c r="BI20" s="118"/>
      <c r="BJ20" s="120">
        <f>ROUND(-4967533.74688582/1569786637.48918,5)</f>
        <v>-3.16E-3</v>
      </c>
      <c r="BK20" s="113"/>
      <c r="BL20" s="120">
        <v>-8.3000000000000001E-4</v>
      </c>
      <c r="BM20" s="120">
        <v>1.39E-3</v>
      </c>
    </row>
    <row r="21" spans="1:65" s="123" customFormat="1" ht="15.75" customHeight="1">
      <c r="A21" s="116" t="s">
        <v>27</v>
      </c>
      <c r="B21" s="116" t="s">
        <v>67</v>
      </c>
      <c r="C21" s="116" t="s">
        <v>80</v>
      </c>
      <c r="D21" s="116" t="s">
        <v>77</v>
      </c>
      <c r="E21" s="116" t="s">
        <v>83</v>
      </c>
      <c r="F21" s="117" t="s">
        <v>82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9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9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9"/>
      <c r="BC21" s="118"/>
      <c r="BD21" s="118"/>
      <c r="BE21" s="118"/>
      <c r="BF21" s="118"/>
      <c r="BG21" s="118"/>
      <c r="BH21" s="118"/>
      <c r="BI21" s="118"/>
      <c r="BJ21" s="120">
        <f>ROUND(4792065.42987238/1637294934.09458,5)</f>
        <v>2.9299999999999999E-3</v>
      </c>
      <c r="BK21" s="113"/>
      <c r="BL21" s="121">
        <f t="shared" ref="BL21:BM22" si="10">$BJ21</f>
        <v>2.9299999999999999E-3</v>
      </c>
      <c r="BM21" s="121">
        <f t="shared" si="10"/>
        <v>2.9299999999999999E-3</v>
      </c>
    </row>
    <row r="22" spans="1:65" s="123" customFormat="1" ht="15.75" customHeight="1">
      <c r="A22" s="116" t="s">
        <v>27</v>
      </c>
      <c r="B22" s="116" t="s">
        <v>67</v>
      </c>
      <c r="C22" s="116" t="s">
        <v>80</v>
      </c>
      <c r="D22" s="116" t="s">
        <v>77</v>
      </c>
      <c r="E22" s="116" t="s">
        <v>84</v>
      </c>
      <c r="F22" s="117" t="s">
        <v>82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9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9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9"/>
      <c r="BC22" s="118"/>
      <c r="BD22" s="118"/>
      <c r="BE22" s="118"/>
      <c r="BF22" s="118"/>
      <c r="BG22" s="118"/>
      <c r="BH22" s="118"/>
      <c r="BI22" s="118"/>
      <c r="BJ22" s="120">
        <f>ROUND(-5474868.64700303/1524718211.87388,5)</f>
        <v>-3.5899999999999999E-3</v>
      </c>
      <c r="BK22" s="113"/>
      <c r="BL22" s="121">
        <f t="shared" si="10"/>
        <v>-3.5899999999999999E-3</v>
      </c>
      <c r="BM22" s="121">
        <f t="shared" si="10"/>
        <v>-3.5899999999999999E-3</v>
      </c>
    </row>
    <row r="23" spans="1:65" s="113" customFormat="1" ht="15.75" customHeight="1">
      <c r="F23" s="114"/>
      <c r="P23" s="114"/>
      <c r="AD23" s="114"/>
      <c r="AP23" s="114"/>
      <c r="BB23" s="114"/>
      <c r="BJ23" s="118"/>
      <c r="BL23" s="118"/>
    </row>
    <row r="24" spans="1:65" ht="15.75" customHeight="1">
      <c r="A24" s="105" t="s">
        <v>27</v>
      </c>
      <c r="B24" s="105" t="s">
        <v>28</v>
      </c>
      <c r="C24" s="105" t="s">
        <v>80</v>
      </c>
      <c r="D24" s="105" t="s">
        <v>77</v>
      </c>
      <c r="E24" s="105" t="s">
        <v>70</v>
      </c>
      <c r="F24" s="106" t="s">
        <v>76</v>
      </c>
      <c r="G24" s="124">
        <v>14079.474248407665</v>
      </c>
      <c r="H24" s="124">
        <v>92894.116525541584</v>
      </c>
      <c r="I24" s="5">
        <v>106787</v>
      </c>
      <c r="J24" s="5">
        <v>107036</v>
      </c>
      <c r="K24" s="5">
        <v>107015</v>
      </c>
      <c r="L24" s="5">
        <v>106964</v>
      </c>
      <c r="M24" s="5">
        <v>107102</v>
      </c>
      <c r="N24" s="5">
        <v>107082</v>
      </c>
      <c r="O24" s="5">
        <v>107063</v>
      </c>
      <c r="P24" s="48">
        <v>106972</v>
      </c>
      <c r="Q24" s="5">
        <v>107013</v>
      </c>
      <c r="R24" s="5">
        <v>106899</v>
      </c>
      <c r="S24" s="124">
        <v>92185.200000000012</v>
      </c>
      <c r="T24" s="124">
        <v>14787.8</v>
      </c>
      <c r="U24" s="124">
        <v>12986.266666666666</v>
      </c>
      <c r="V24" s="124">
        <v>94093.733333333337</v>
      </c>
      <c r="W24" s="5">
        <v>107372</v>
      </c>
      <c r="X24" s="5">
        <v>107473</v>
      </c>
      <c r="Y24" s="5">
        <v>107535</v>
      </c>
      <c r="Z24" s="5">
        <v>107656</v>
      </c>
      <c r="AA24" s="5">
        <v>107793</v>
      </c>
      <c r="AB24" s="5">
        <v>107753</v>
      </c>
      <c r="AC24" s="5">
        <v>107643</v>
      </c>
      <c r="AD24" s="48">
        <v>107581</v>
      </c>
      <c r="AE24" s="5">
        <v>107642</v>
      </c>
      <c r="AF24" s="5">
        <v>107693</v>
      </c>
      <c r="AG24" s="5">
        <v>107820</v>
      </c>
      <c r="AH24" s="5">
        <v>107770</v>
      </c>
      <c r="AI24" s="5">
        <v>107902</v>
      </c>
      <c r="AJ24" s="5">
        <v>107922</v>
      </c>
      <c r="AK24" s="5">
        <v>108076</v>
      </c>
      <c r="AL24" s="5">
        <v>108163</v>
      </c>
      <c r="AM24" s="5">
        <v>108281</v>
      </c>
      <c r="AN24" s="5">
        <v>108332</v>
      </c>
      <c r="AO24" s="5">
        <v>108408</v>
      </c>
      <c r="AP24" s="48">
        <v>108442</v>
      </c>
      <c r="AQ24" s="5">
        <v>108415</v>
      </c>
      <c r="AR24" s="5">
        <v>108317</v>
      </c>
      <c r="AS24" s="5">
        <v>108468</v>
      </c>
      <c r="AT24" s="5">
        <v>108502</v>
      </c>
      <c r="AU24" s="5">
        <v>108705</v>
      </c>
      <c r="AV24" s="5">
        <v>108774</v>
      </c>
      <c r="AW24" s="5">
        <v>109001</v>
      </c>
      <c r="AX24" s="5">
        <v>109089</v>
      </c>
      <c r="AY24" s="5">
        <v>109180</v>
      </c>
      <c r="AZ24" s="5">
        <v>109174</v>
      </c>
      <c r="BA24" s="5">
        <v>109326</v>
      </c>
      <c r="BB24" s="48">
        <v>109446</v>
      </c>
      <c r="BC24" s="5">
        <v>109465</v>
      </c>
      <c r="BD24" s="5">
        <v>109592</v>
      </c>
      <c r="BE24" s="5">
        <v>109665</v>
      </c>
      <c r="BF24" s="5">
        <v>109749</v>
      </c>
      <c r="BG24" s="5">
        <v>110056</v>
      </c>
      <c r="BH24" s="5">
        <v>110187</v>
      </c>
      <c r="BI24" s="5">
        <v>53970.984012539928</v>
      </c>
      <c r="BJ24" s="58">
        <v>56247.015987460072</v>
      </c>
      <c r="BK24" s="58">
        <v>43.451507589211552</v>
      </c>
      <c r="BL24" s="58">
        <v>110260.54849241079</v>
      </c>
      <c r="BM24" s="5">
        <v>110444</v>
      </c>
    </row>
    <row r="25" spans="1:65" s="5" customFormat="1" ht="15.75" customHeight="1">
      <c r="A25" s="105" t="s">
        <v>27</v>
      </c>
      <c r="B25" s="105" t="s">
        <v>28</v>
      </c>
      <c r="C25" s="105" t="s">
        <v>80</v>
      </c>
      <c r="D25" s="105" t="s">
        <v>77</v>
      </c>
      <c r="E25" s="105" t="s">
        <v>74</v>
      </c>
      <c r="F25" s="106" t="s">
        <v>71</v>
      </c>
      <c r="G25" s="5">
        <f t="shared" ref="G25:BM25" si="11">G16/G17*G18/G19*G24</f>
        <v>767073.16141326958</v>
      </c>
      <c r="H25" s="5">
        <f t="shared" si="11"/>
        <v>4816052.0187171167</v>
      </c>
      <c r="I25" s="5">
        <f t="shared" si="11"/>
        <v>5998892.2725118631</v>
      </c>
      <c r="J25" s="5">
        <f t="shared" si="11"/>
        <v>11101104.381540569</v>
      </c>
      <c r="K25" s="5">
        <f t="shared" si="11"/>
        <v>10723587.71654324</v>
      </c>
      <c r="L25" s="5">
        <f t="shared" si="11"/>
        <v>9355211.7933614906</v>
      </c>
      <c r="M25" s="5">
        <f t="shared" si="11"/>
        <v>7553956.348118945</v>
      </c>
      <c r="N25" s="5">
        <f t="shared" si="11"/>
        <v>5639250.4959877133</v>
      </c>
      <c r="O25" s="5">
        <f t="shared" si="11"/>
        <v>4560339.8465521475</v>
      </c>
      <c r="P25" s="48">
        <f t="shared" si="11"/>
        <v>3736261.5573432073</v>
      </c>
      <c r="Q25" s="5">
        <f t="shared" si="11"/>
        <v>4736375.3174852291</v>
      </c>
      <c r="R25" s="5">
        <f t="shared" si="11"/>
        <v>6327143.0038342942</v>
      </c>
      <c r="S25" s="5">
        <f t="shared" si="11"/>
        <v>5022402.9357851837</v>
      </c>
      <c r="T25" s="5">
        <f t="shared" si="11"/>
        <v>840122.60921785084</v>
      </c>
      <c r="U25" s="5">
        <f t="shared" si="11"/>
        <v>673266.92082164856</v>
      </c>
      <c r="V25" s="5">
        <f t="shared" si="11"/>
        <v>5086890.8027204573</v>
      </c>
      <c r="W25" s="5">
        <f t="shared" si="11"/>
        <v>6289736.8248806037</v>
      </c>
      <c r="X25" s="5">
        <f t="shared" si="11"/>
        <v>11623166.033157419</v>
      </c>
      <c r="Y25" s="5">
        <f t="shared" si="11"/>
        <v>11236577.369522907</v>
      </c>
      <c r="Z25" s="5">
        <f t="shared" si="11"/>
        <v>9818451.1189114433</v>
      </c>
      <c r="AA25" s="5">
        <f t="shared" si="11"/>
        <v>7927864.2180569349</v>
      </c>
      <c r="AB25" s="5">
        <f t="shared" si="11"/>
        <v>5917292.4928542012</v>
      </c>
      <c r="AC25" s="5">
        <f t="shared" si="11"/>
        <v>4781149.7587885298</v>
      </c>
      <c r="AD25" s="48">
        <f t="shared" si="11"/>
        <v>3918244.0876651211</v>
      </c>
      <c r="AE25" s="5">
        <f t="shared" si="11"/>
        <v>4967982.7898944365</v>
      </c>
      <c r="AF25" s="5">
        <f t="shared" si="11"/>
        <v>6646763.6683107577</v>
      </c>
      <c r="AG25" s="5">
        <f t="shared" si="11"/>
        <v>6125456.1006957553</v>
      </c>
      <c r="AH25" s="5">
        <f t="shared" si="11"/>
        <v>5826256.4613851402</v>
      </c>
      <c r="AI25" s="5">
        <f t="shared" si="11"/>
        <v>6320783.6575482152</v>
      </c>
      <c r="AJ25" s="5">
        <f t="shared" si="11"/>
        <v>11671725.220570888</v>
      </c>
      <c r="AK25" s="5">
        <f t="shared" si="11"/>
        <v>11293107.693202751</v>
      </c>
      <c r="AL25" s="5">
        <f t="shared" si="11"/>
        <v>9864690.5734452177</v>
      </c>
      <c r="AM25" s="5">
        <f t="shared" si="11"/>
        <v>7963755.2104071965</v>
      </c>
      <c r="AN25" s="5">
        <f t="shared" si="11"/>
        <v>5949088.4739717813</v>
      </c>
      <c r="AO25" s="5">
        <f t="shared" si="11"/>
        <v>4815128.5550453532</v>
      </c>
      <c r="AP25" s="48">
        <f t="shared" si="11"/>
        <v>3949602.8606778248</v>
      </c>
      <c r="AQ25" s="5">
        <f t="shared" si="11"/>
        <v>5003658.9265008578</v>
      </c>
      <c r="AR25" s="5">
        <f t="shared" si="11"/>
        <v>6685276.6684967121</v>
      </c>
      <c r="AS25" s="5">
        <f t="shared" si="11"/>
        <v>6162270.194122307</v>
      </c>
      <c r="AT25" s="5">
        <f t="shared" si="11"/>
        <v>5865829.8095315062</v>
      </c>
      <c r="AU25" s="5">
        <f t="shared" si="11"/>
        <v>6367822.5379861239</v>
      </c>
      <c r="AV25" s="5">
        <f t="shared" si="11"/>
        <v>11763868.712054797</v>
      </c>
      <c r="AW25" s="5">
        <f t="shared" si="11"/>
        <v>11389763.052544441</v>
      </c>
      <c r="AX25" s="5">
        <f t="shared" si="11"/>
        <v>9949143.6994773205</v>
      </c>
      <c r="AY25" s="5">
        <f t="shared" si="11"/>
        <v>8029874.0672163879</v>
      </c>
      <c r="AZ25" s="5">
        <f t="shared" si="11"/>
        <v>5995327.189172131</v>
      </c>
      <c r="BA25" s="5">
        <f t="shared" si="11"/>
        <v>4855903.1105535412</v>
      </c>
      <c r="BB25" s="48">
        <f t="shared" si="11"/>
        <v>3986169.8851897349</v>
      </c>
      <c r="BC25" s="5">
        <f t="shared" si="11"/>
        <v>5052119.3966648197</v>
      </c>
      <c r="BD25" s="5">
        <f t="shared" si="11"/>
        <v>6763969.0967612807</v>
      </c>
      <c r="BE25" s="5">
        <f t="shared" si="11"/>
        <v>6230274.0055907993</v>
      </c>
      <c r="BF25" s="5">
        <f t="shared" si="11"/>
        <v>5933245.0624529803</v>
      </c>
      <c r="BG25" s="5">
        <f t="shared" si="11"/>
        <v>6446962.6718237512</v>
      </c>
      <c r="BH25" s="5">
        <f t="shared" si="11"/>
        <v>11916684.150396068</v>
      </c>
      <c r="BI25" s="5">
        <f t="shared" si="11"/>
        <v>5639551.1932504652</v>
      </c>
      <c r="BJ25" s="58">
        <f t="shared" si="11"/>
        <v>6631535.3422178729</v>
      </c>
      <c r="BK25" s="58">
        <f t="shared" si="11"/>
        <v>3962.8678690243296</v>
      </c>
      <c r="BL25" s="58">
        <f t="shared" si="11"/>
        <v>9128473.3576456252</v>
      </c>
      <c r="BM25" s="5">
        <f t="shared" si="11"/>
        <v>10576136.035604563</v>
      </c>
    </row>
    <row r="26" spans="1:65" ht="15.75" customHeight="1">
      <c r="A26" s="105" t="s">
        <v>27</v>
      </c>
      <c r="B26" s="105" t="s">
        <v>28</v>
      </c>
      <c r="C26" s="105" t="s">
        <v>80</v>
      </c>
      <c r="D26" s="105" t="s">
        <v>77</v>
      </c>
      <c r="E26" s="105" t="s">
        <v>70</v>
      </c>
      <c r="F26" s="106" t="s">
        <v>79</v>
      </c>
      <c r="G26" s="124">
        <v>12651805.999999998</v>
      </c>
      <c r="H26" s="124">
        <v>77489899.999999985</v>
      </c>
      <c r="I26" s="5">
        <v>109071422</v>
      </c>
      <c r="J26" s="5">
        <v>177328261</v>
      </c>
      <c r="K26" s="5">
        <v>251229307</v>
      </c>
      <c r="L26" s="5">
        <v>206799635</v>
      </c>
      <c r="M26" s="5">
        <v>154940456</v>
      </c>
      <c r="N26" s="5">
        <v>112617962</v>
      </c>
      <c r="O26" s="5">
        <v>93726266</v>
      </c>
      <c r="P26" s="48">
        <v>95715205</v>
      </c>
      <c r="Q26" s="5">
        <v>118220473</v>
      </c>
      <c r="R26" s="5">
        <v>133230327</v>
      </c>
      <c r="S26" s="124">
        <v>98832762.100795835</v>
      </c>
      <c r="T26" s="124">
        <v>14815033.955317538</v>
      </c>
      <c r="U26" s="124">
        <v>10955737.473568499</v>
      </c>
      <c r="V26" s="124">
        <v>82118315.010169148</v>
      </c>
      <c r="W26" s="5">
        <v>125335807</v>
      </c>
      <c r="X26" s="5">
        <v>178754914</v>
      </c>
      <c r="Y26" s="5">
        <v>199165773</v>
      </c>
      <c r="Z26" s="5">
        <v>151223495</v>
      </c>
      <c r="AA26" s="5">
        <v>149596723</v>
      </c>
      <c r="AB26" s="5">
        <v>109928411</v>
      </c>
      <c r="AC26" s="5">
        <v>94419235</v>
      </c>
      <c r="AD26" s="48">
        <v>94495604</v>
      </c>
      <c r="AE26" s="5">
        <v>111536257</v>
      </c>
      <c r="AF26" s="5">
        <v>134299314</v>
      </c>
      <c r="AG26" s="5">
        <v>102120686</v>
      </c>
      <c r="AH26" s="5">
        <v>87570612</v>
      </c>
      <c r="AI26" s="5">
        <v>120580493</v>
      </c>
      <c r="AJ26" s="5">
        <v>182647242</v>
      </c>
      <c r="AK26" s="5">
        <v>184635397</v>
      </c>
      <c r="AL26" s="5">
        <v>191104451</v>
      </c>
      <c r="AM26" s="5">
        <v>194003727</v>
      </c>
      <c r="AN26" s="5">
        <v>112647735</v>
      </c>
      <c r="AO26" s="5">
        <v>88489581</v>
      </c>
      <c r="AP26" s="48">
        <v>95761196</v>
      </c>
      <c r="AQ26" s="5">
        <v>106301627</v>
      </c>
      <c r="AR26" s="5">
        <v>119968789</v>
      </c>
      <c r="AS26" s="5">
        <v>108548486</v>
      </c>
      <c r="AT26" s="5">
        <v>96404374</v>
      </c>
      <c r="AU26" s="5">
        <v>135387498</v>
      </c>
      <c r="AV26" s="5">
        <v>193239456</v>
      </c>
      <c r="AW26" s="5">
        <v>184807655</v>
      </c>
      <c r="AX26" s="5">
        <v>157382966</v>
      </c>
      <c r="AY26" s="5">
        <v>136550190</v>
      </c>
      <c r="AZ26" s="5">
        <v>117116197</v>
      </c>
      <c r="BA26" s="5">
        <v>89924240</v>
      </c>
      <c r="BB26" s="48">
        <v>94015672</v>
      </c>
      <c r="BC26" s="5">
        <v>111837110</v>
      </c>
      <c r="BD26" s="5">
        <v>133115372</v>
      </c>
      <c r="BE26" s="5">
        <v>115353973</v>
      </c>
      <c r="BF26" s="5">
        <v>91727478</v>
      </c>
      <c r="BG26" s="5">
        <v>128948065</v>
      </c>
      <c r="BH26" s="5">
        <v>189034396</v>
      </c>
      <c r="BI26" s="5">
        <v>92171542</v>
      </c>
      <c r="BJ26" s="58">
        <v>96058545</v>
      </c>
      <c r="BK26" s="58">
        <v>67749.925942092523</v>
      </c>
      <c r="BL26" s="58">
        <v>171919098.07405791</v>
      </c>
      <c r="BM26" s="5">
        <v>150094545</v>
      </c>
    </row>
    <row r="27" spans="1:65" ht="15.75" customHeight="1">
      <c r="A27" s="105" t="s">
        <v>27</v>
      </c>
      <c r="B27" s="105" t="s">
        <v>28</v>
      </c>
      <c r="C27" s="105" t="s">
        <v>80</v>
      </c>
      <c r="D27" s="105" t="s">
        <v>77</v>
      </c>
      <c r="E27" s="105" t="s">
        <v>70</v>
      </c>
      <c r="F27" s="106" t="s">
        <v>71</v>
      </c>
      <c r="G27" s="5"/>
      <c r="H27" s="5"/>
      <c r="I27" s="5"/>
      <c r="J27" s="5"/>
      <c r="K27" s="5"/>
      <c r="L27" s="5"/>
      <c r="M27" s="5"/>
      <c r="N27" s="5"/>
      <c r="O27" s="5"/>
      <c r="P27" s="48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8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48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48"/>
      <c r="BC27" s="5"/>
      <c r="BD27" s="5"/>
      <c r="BE27" s="5"/>
      <c r="BF27" s="5"/>
      <c r="BG27" s="5"/>
      <c r="BH27" s="5"/>
      <c r="BI27" s="58"/>
      <c r="BJ27" s="58">
        <v>9026822.5849327222</v>
      </c>
      <c r="BK27" s="58"/>
      <c r="BL27" s="58">
        <v>16304155.503868416</v>
      </c>
      <c r="BM27" s="5">
        <v>14456907.17</v>
      </c>
    </row>
    <row r="28" spans="1:65" ht="15.75" customHeight="1">
      <c r="A28" s="105" t="s">
        <v>27</v>
      </c>
      <c r="B28" s="105" t="s">
        <v>28</v>
      </c>
      <c r="C28" s="105" t="s">
        <v>80</v>
      </c>
      <c r="D28" s="105" t="s">
        <v>77</v>
      </c>
      <c r="E28" s="105" t="s">
        <v>85</v>
      </c>
      <c r="F28" s="106" t="s">
        <v>71</v>
      </c>
      <c r="G28" s="5"/>
      <c r="H28" s="5"/>
      <c r="I28" s="5"/>
      <c r="J28" s="5"/>
      <c r="K28" s="5"/>
      <c r="L28" s="5"/>
      <c r="M28" s="5"/>
      <c r="N28" s="5"/>
      <c r="O28" s="5"/>
      <c r="P28" s="48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48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48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48"/>
      <c r="BC28" s="5"/>
      <c r="BD28" s="5"/>
      <c r="BE28" s="5"/>
      <c r="BF28" s="5"/>
      <c r="BG28" s="5"/>
      <c r="BH28" s="5"/>
      <c r="BI28" s="5"/>
      <c r="BJ28" s="122">
        <f>BJ26*BJ20</f>
        <v>-303545.00219999999</v>
      </c>
      <c r="BK28" s="113"/>
      <c r="BL28" s="122">
        <f t="shared" ref="BL28:BM28" si="12">BL26*BL20</f>
        <v>-142692.85140146807</v>
      </c>
      <c r="BM28" s="5">
        <f t="shared" si="12"/>
        <v>208631.41754999998</v>
      </c>
    </row>
    <row r="29" spans="1:65" ht="15.75" customHeight="1">
      <c r="A29" s="105" t="s">
        <v>27</v>
      </c>
      <c r="B29" s="105" t="s">
        <v>28</v>
      </c>
      <c r="C29" s="105" t="s">
        <v>80</v>
      </c>
      <c r="D29" s="105" t="s">
        <v>77</v>
      </c>
      <c r="E29" s="105" t="s">
        <v>86</v>
      </c>
      <c r="F29" s="106" t="s">
        <v>71</v>
      </c>
      <c r="G29" s="5"/>
      <c r="H29" s="5"/>
      <c r="I29" s="5"/>
      <c r="J29" s="5"/>
      <c r="K29" s="5"/>
      <c r="L29" s="5"/>
      <c r="M29" s="5"/>
      <c r="N29" s="5"/>
      <c r="O29" s="5"/>
      <c r="P29" s="4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48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48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48"/>
      <c r="BC29" s="5"/>
      <c r="BD29" s="5"/>
      <c r="BE29" s="5"/>
      <c r="BF29" s="5"/>
      <c r="BG29" s="5"/>
      <c r="BH29" s="5"/>
      <c r="BI29" s="5"/>
      <c r="BJ29" s="122">
        <f>BJ26*BJ21</f>
        <v>281451.53684999997</v>
      </c>
      <c r="BK29" s="113"/>
      <c r="BL29" s="122">
        <f>BL26*BL21</f>
        <v>503722.95735698967</v>
      </c>
      <c r="BM29" s="5">
        <f t="shared" ref="BM29" si="13">BM26*BM21</f>
        <v>439777.01684999996</v>
      </c>
    </row>
    <row r="30" spans="1:65" ht="15.75" customHeight="1">
      <c r="A30" s="105" t="s">
        <v>27</v>
      </c>
      <c r="B30" s="105" t="s">
        <v>28</v>
      </c>
      <c r="C30" s="105" t="s">
        <v>80</v>
      </c>
      <c r="D30" s="105" t="s">
        <v>77</v>
      </c>
      <c r="E30" s="105" t="s">
        <v>87</v>
      </c>
      <c r="F30" s="106" t="s">
        <v>71</v>
      </c>
      <c r="G30" s="5"/>
      <c r="H30" s="5"/>
      <c r="I30" s="5"/>
      <c r="J30" s="5"/>
      <c r="K30" s="5"/>
      <c r="L30" s="5"/>
      <c r="M30" s="5"/>
      <c r="N30" s="5"/>
      <c r="O30" s="5"/>
      <c r="P30" s="4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8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48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48"/>
      <c r="BC30" s="5"/>
      <c r="BD30" s="5"/>
      <c r="BE30" s="5"/>
      <c r="BF30" s="5"/>
      <c r="BG30" s="5"/>
      <c r="BH30" s="5"/>
      <c r="BI30" s="5"/>
      <c r="BJ30" s="122">
        <f>BJ26*BJ22</f>
        <v>-344850.17654999997</v>
      </c>
      <c r="BK30" s="113"/>
      <c r="BL30" s="122">
        <f>BL26*BL22</f>
        <v>-617189.56208586786</v>
      </c>
      <c r="BM30" s="122">
        <f t="shared" ref="BM30" si="14">BM26*BM22</f>
        <v>-538839.41654999997</v>
      </c>
    </row>
    <row r="31" spans="1:65" ht="15.75" customHeight="1">
      <c r="A31" s="105" t="s">
        <v>27</v>
      </c>
      <c r="B31" s="105" t="s">
        <v>28</v>
      </c>
      <c r="C31" s="105" t="s">
        <v>80</v>
      </c>
      <c r="D31" s="105" t="s">
        <v>77</v>
      </c>
      <c r="E31" s="105" t="s">
        <v>72</v>
      </c>
      <c r="F31" s="106" t="s">
        <v>71</v>
      </c>
      <c r="G31" s="5"/>
      <c r="H31" s="5"/>
      <c r="I31" s="5"/>
      <c r="J31" s="5"/>
      <c r="K31" s="5"/>
      <c r="L31" s="5"/>
      <c r="M31" s="5"/>
      <c r="N31" s="5"/>
      <c r="O31" s="5"/>
      <c r="P31" s="4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48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48"/>
      <c r="BC31" s="5"/>
      <c r="BD31" s="5"/>
      <c r="BE31" s="5"/>
      <c r="BF31" s="5"/>
      <c r="BG31" s="5"/>
      <c r="BH31" s="5"/>
      <c r="BI31" s="5"/>
      <c r="BJ31" s="58">
        <f>BJ14/BJ17/12*BJ24</f>
        <v>436020.30372532958</v>
      </c>
      <c r="BK31" s="58"/>
      <c r="BL31" s="58">
        <f t="shared" ref="BL31:BM31" si="15">BL14/BL17/12*BL24</f>
        <v>854726.90414902358</v>
      </c>
      <c r="BM31" s="58">
        <f t="shared" si="15"/>
        <v>856148.99882646836</v>
      </c>
    </row>
    <row r="32" spans="1:65" ht="15.75" customHeight="1">
      <c r="A32" s="105" t="s">
        <v>27</v>
      </c>
      <c r="B32" s="105" t="s">
        <v>28</v>
      </c>
      <c r="C32" s="105" t="s">
        <v>80</v>
      </c>
      <c r="D32" s="105" t="s">
        <v>77</v>
      </c>
      <c r="E32" s="105" t="s">
        <v>73</v>
      </c>
      <c r="F32" s="106" t="s">
        <v>71</v>
      </c>
      <c r="G32" s="5"/>
      <c r="H32" s="5"/>
      <c r="I32" s="5"/>
      <c r="J32" s="5"/>
      <c r="K32" s="5"/>
      <c r="L32" s="5"/>
      <c r="M32" s="5"/>
      <c r="N32" s="5"/>
      <c r="O32" s="5"/>
      <c r="P32" s="4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48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48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48"/>
      <c r="BC32" s="5"/>
      <c r="BD32" s="5"/>
      <c r="BE32" s="5"/>
      <c r="BF32" s="5"/>
      <c r="BG32" s="5"/>
      <c r="BH32" s="5"/>
      <c r="BI32" s="125"/>
      <c r="BJ32" s="58">
        <f>BJ15/BJ19*BJ26</f>
        <v>2340131.3683771063</v>
      </c>
      <c r="BK32" s="58"/>
      <c r="BL32" s="58">
        <f t="shared" ref="BL32:BM32" si="16">BL15/BL19*BL26</f>
        <v>4188209.1200340693</v>
      </c>
      <c r="BM32" s="58">
        <f t="shared" si="16"/>
        <v>3656530.0148653006</v>
      </c>
    </row>
    <row r="33" spans="1:65" ht="15.75" customHeight="1">
      <c r="A33" s="105" t="s">
        <v>27</v>
      </c>
      <c r="B33" s="105" t="s">
        <v>28</v>
      </c>
      <c r="C33" s="105" t="s">
        <v>80</v>
      </c>
      <c r="D33" s="105" t="s">
        <v>77</v>
      </c>
      <c r="E33" s="105" t="s">
        <v>88</v>
      </c>
      <c r="F33" s="106" t="s">
        <v>71</v>
      </c>
      <c r="G33" s="122">
        <f t="shared" ref="G33:BI33" si="17">G16/G19*G26</f>
        <v>643081.67986264429</v>
      </c>
      <c r="H33" s="122">
        <f t="shared" si="17"/>
        <v>3938752.7017398397</v>
      </c>
      <c r="I33" s="122">
        <f t="shared" si="17"/>
        <v>5544017.4536953364</v>
      </c>
      <c r="J33" s="122">
        <f t="shared" si="17"/>
        <v>9013460.6846644226</v>
      </c>
      <c r="K33" s="122">
        <f t="shared" si="17"/>
        <v>12769794.666175563</v>
      </c>
      <c r="L33" s="122">
        <f t="shared" si="17"/>
        <v>10511468.218116978</v>
      </c>
      <c r="M33" s="122">
        <f t="shared" si="17"/>
        <v>7875505.5778727662</v>
      </c>
      <c r="N33" s="122">
        <f t="shared" si="17"/>
        <v>5724285.3854751997</v>
      </c>
      <c r="O33" s="122">
        <f t="shared" si="17"/>
        <v>4764034.8410758944</v>
      </c>
      <c r="P33" s="126">
        <f t="shared" si="17"/>
        <v>4865131.0982635505</v>
      </c>
      <c r="Q33" s="122">
        <f t="shared" si="17"/>
        <v>6009056.7600385584</v>
      </c>
      <c r="R33" s="122">
        <f t="shared" si="17"/>
        <v>6771996.2269267663</v>
      </c>
      <c r="S33" s="122">
        <f t="shared" si="17"/>
        <v>5023594.1554308431</v>
      </c>
      <c r="T33" s="122">
        <f t="shared" si="17"/>
        <v>785244.70960355643</v>
      </c>
      <c r="U33" s="122">
        <f t="shared" si="17"/>
        <v>556871.80617822893</v>
      </c>
      <c r="V33" s="122">
        <f t="shared" si="17"/>
        <v>4352536.2559259515</v>
      </c>
      <c r="W33" s="122">
        <f t="shared" si="17"/>
        <v>6643203.0913649648</v>
      </c>
      <c r="X33" s="122">
        <f t="shared" si="17"/>
        <v>9474588.5130932964</v>
      </c>
      <c r="Y33" s="122">
        <f t="shared" si="17"/>
        <v>10556430.046265174</v>
      </c>
      <c r="Z33" s="122">
        <f t="shared" si="17"/>
        <v>8015334.2729186267</v>
      </c>
      <c r="AA33" s="122">
        <f t="shared" si="17"/>
        <v>7929110.096140909</v>
      </c>
      <c r="AB33" s="122">
        <f t="shared" si="17"/>
        <v>5826561.2777682794</v>
      </c>
      <c r="AC33" s="122">
        <f t="shared" si="17"/>
        <v>5004524.7950277701</v>
      </c>
      <c r="AD33" s="126">
        <f t="shared" si="17"/>
        <v>5008572.5989955887</v>
      </c>
      <c r="AE33" s="122">
        <f t="shared" si="17"/>
        <v>5911782.3153416738</v>
      </c>
      <c r="AF33" s="122">
        <f t="shared" si="17"/>
        <v>7118297.9492284609</v>
      </c>
      <c r="AG33" s="122">
        <f t="shared" si="17"/>
        <v>5412726.6035595946</v>
      </c>
      <c r="AH33" s="122">
        <f t="shared" si="17"/>
        <v>4641525.6284353118</v>
      </c>
      <c r="AI33" s="122">
        <f t="shared" si="17"/>
        <v>6391156.0712726852</v>
      </c>
      <c r="AJ33" s="122">
        <f t="shared" si="17"/>
        <v>9680894.4843965042</v>
      </c>
      <c r="AK33" s="122">
        <f t="shared" si="17"/>
        <v>9786273.1288417652</v>
      </c>
      <c r="AL33" s="122">
        <f t="shared" si="17"/>
        <v>10129153.910955425</v>
      </c>
      <c r="AM33" s="122">
        <f t="shared" si="17"/>
        <v>10282824.914852343</v>
      </c>
      <c r="AN33" s="122">
        <f t="shared" si="17"/>
        <v>5970694.2437228765</v>
      </c>
      <c r="AO33" s="122">
        <f t="shared" si="17"/>
        <v>4690233.957266422</v>
      </c>
      <c r="AP33" s="126">
        <f t="shared" si="17"/>
        <v>5075653.0677622426</v>
      </c>
      <c r="AQ33" s="122">
        <f t="shared" si="17"/>
        <v>5634329.9972012425</v>
      </c>
      <c r="AR33" s="122">
        <f t="shared" si="17"/>
        <v>6358733.7810982559</v>
      </c>
      <c r="AS33" s="122">
        <f t="shared" si="17"/>
        <v>5753420.7902629664</v>
      </c>
      <c r="AT33" s="122">
        <f t="shared" si="17"/>
        <v>5109743.5817196621</v>
      </c>
      <c r="AU33" s="122">
        <f t="shared" si="17"/>
        <v>7175975.2202797718</v>
      </c>
      <c r="AV33" s="122">
        <f t="shared" si="17"/>
        <v>10242316.080295267</v>
      </c>
      <c r="AW33" s="122">
        <f t="shared" si="17"/>
        <v>9795403.3599026483</v>
      </c>
      <c r="AX33" s="122">
        <f t="shared" si="17"/>
        <v>8341806.1548794843</v>
      </c>
      <c r="AY33" s="122">
        <f t="shared" si="17"/>
        <v>7237601.6562806619</v>
      </c>
      <c r="AZ33" s="122">
        <f t="shared" si="17"/>
        <v>6207537.1801715707</v>
      </c>
      <c r="BA33" s="122">
        <f t="shared" si="17"/>
        <v>4766275.523774663</v>
      </c>
      <c r="BB33" s="126">
        <f t="shared" si="17"/>
        <v>4983134.6509553697</v>
      </c>
      <c r="BC33" s="122">
        <f t="shared" si="17"/>
        <v>5927728.497262747</v>
      </c>
      <c r="BD33" s="122">
        <f t="shared" si="17"/>
        <v>7055545.1945077218</v>
      </c>
      <c r="BE33" s="122">
        <f t="shared" si="17"/>
        <v>6114133.6093589813</v>
      </c>
      <c r="BF33" s="122">
        <f t="shared" si="17"/>
        <v>4861852.9692214122</v>
      </c>
      <c r="BG33" s="122">
        <f t="shared" si="17"/>
        <v>6834664.4469567304</v>
      </c>
      <c r="BH33" s="122">
        <f t="shared" si="17"/>
        <v>10019434.301655782</v>
      </c>
      <c r="BI33" s="122">
        <f t="shared" si="17"/>
        <v>4885389.7972689932</v>
      </c>
      <c r="BJ33" s="122">
        <f>BJ27-BJ28-BJ29-BJ30-BJ31-BJ32</f>
        <v>6617614.554730285</v>
      </c>
      <c r="BK33" s="122">
        <f>BK16/BK19*BK26</f>
        <v>3590.9651697400127</v>
      </c>
      <c r="BL33" s="122">
        <f t="shared" ref="BL33:BM33" si="18">BL27-BL28-BL29-BL30-BL31-BL32</f>
        <v>11517378.935815671</v>
      </c>
      <c r="BM33" s="122">
        <f t="shared" si="18"/>
        <v>9834659.1384582296</v>
      </c>
    </row>
    <row r="34" spans="1:65" ht="15.75" customHeight="1" thickBot="1">
      <c r="A34" s="127" t="s">
        <v>27</v>
      </c>
      <c r="B34" s="127" t="s">
        <v>28</v>
      </c>
      <c r="C34" s="127" t="s">
        <v>80</v>
      </c>
      <c r="D34" s="127" t="s">
        <v>77</v>
      </c>
      <c r="E34" s="127" t="s">
        <v>10</v>
      </c>
      <c r="F34" s="128" t="s">
        <v>71</v>
      </c>
      <c r="G34" s="129">
        <f t="shared" ref="G34:BM34" si="19">G33-G25</f>
        <v>-123991.48155062529</v>
      </c>
      <c r="H34" s="129">
        <f t="shared" si="19"/>
        <v>-877299.31697727693</v>
      </c>
      <c r="I34" s="129">
        <f t="shared" si="19"/>
        <v>-454874.81881652679</v>
      </c>
      <c r="J34" s="129">
        <f t="shared" si="19"/>
        <v>-2087643.6968761459</v>
      </c>
      <c r="K34" s="129">
        <f t="shared" si="19"/>
        <v>2046206.9496323224</v>
      </c>
      <c r="L34" s="129">
        <f t="shared" si="19"/>
        <v>1156256.4247554876</v>
      </c>
      <c r="M34" s="129">
        <f t="shared" si="19"/>
        <v>321549.22975382116</v>
      </c>
      <c r="N34" s="129">
        <f t="shared" si="19"/>
        <v>85034.889487486333</v>
      </c>
      <c r="O34" s="129">
        <f t="shared" si="19"/>
        <v>203694.99452374689</v>
      </c>
      <c r="P34" s="130">
        <f t="shared" si="19"/>
        <v>1128869.5409203433</v>
      </c>
      <c r="Q34" s="129">
        <f t="shared" si="19"/>
        <v>1272681.4425533293</v>
      </c>
      <c r="R34" s="129">
        <f t="shared" si="19"/>
        <v>444853.22309247218</v>
      </c>
      <c r="S34" s="129">
        <f t="shared" si="19"/>
        <v>1191.2196456594393</v>
      </c>
      <c r="T34" s="129">
        <f t="shared" si="19"/>
        <v>-54877.899614294409</v>
      </c>
      <c r="U34" s="129">
        <f t="shared" si="19"/>
        <v>-116395.11464341963</v>
      </c>
      <c r="V34" s="129">
        <f t="shared" si="19"/>
        <v>-734354.54679450579</v>
      </c>
      <c r="W34" s="129">
        <f t="shared" si="19"/>
        <v>353466.26648436114</v>
      </c>
      <c r="X34" s="129">
        <f t="shared" si="19"/>
        <v>-2148577.520064123</v>
      </c>
      <c r="Y34" s="129">
        <f t="shared" si="19"/>
        <v>-680147.32325773314</v>
      </c>
      <c r="Z34" s="129">
        <f t="shared" si="19"/>
        <v>-1803116.8459928166</v>
      </c>
      <c r="AA34" s="129">
        <f t="shared" si="19"/>
        <v>1245.878083974123</v>
      </c>
      <c r="AB34" s="129">
        <f t="shared" si="19"/>
        <v>-90731.215085921809</v>
      </c>
      <c r="AC34" s="129">
        <f t="shared" si="19"/>
        <v>223375.03623924032</v>
      </c>
      <c r="AD34" s="130">
        <f t="shared" si="19"/>
        <v>1090328.5113304676</v>
      </c>
      <c r="AE34" s="129">
        <f t="shared" si="19"/>
        <v>943799.52544723731</v>
      </c>
      <c r="AF34" s="129">
        <f t="shared" si="19"/>
        <v>471534.28091770317</v>
      </c>
      <c r="AG34" s="129">
        <f t="shared" si="19"/>
        <v>-712729.49713616073</v>
      </c>
      <c r="AH34" s="129">
        <f t="shared" si="19"/>
        <v>-1184730.8329498284</v>
      </c>
      <c r="AI34" s="129">
        <f t="shared" si="19"/>
        <v>70372.413724469952</v>
      </c>
      <c r="AJ34" s="129">
        <f t="shared" si="19"/>
        <v>-1990830.7361743841</v>
      </c>
      <c r="AK34" s="129">
        <f t="shared" si="19"/>
        <v>-1506834.5643609855</v>
      </c>
      <c r="AL34" s="129">
        <f t="shared" si="19"/>
        <v>264463.33751020767</v>
      </c>
      <c r="AM34" s="129">
        <f t="shared" si="19"/>
        <v>2319069.704445147</v>
      </c>
      <c r="AN34" s="129">
        <f t="shared" si="19"/>
        <v>21605.769751095213</v>
      </c>
      <c r="AO34" s="129">
        <f t="shared" si="19"/>
        <v>-124894.59777893126</v>
      </c>
      <c r="AP34" s="130">
        <f t="shared" si="19"/>
        <v>1126050.2070844178</v>
      </c>
      <c r="AQ34" s="129">
        <f t="shared" si="19"/>
        <v>630671.07070038468</v>
      </c>
      <c r="AR34" s="129">
        <f t="shared" si="19"/>
        <v>-326542.88739845622</v>
      </c>
      <c r="AS34" s="129">
        <f t="shared" si="19"/>
        <v>-408849.40385934059</v>
      </c>
      <c r="AT34" s="129">
        <f t="shared" si="19"/>
        <v>-756086.22781184409</v>
      </c>
      <c r="AU34" s="129">
        <f t="shared" si="19"/>
        <v>808152.6822936479</v>
      </c>
      <c r="AV34" s="129">
        <f t="shared" si="19"/>
        <v>-1521552.6317595299</v>
      </c>
      <c r="AW34" s="129">
        <f t="shared" si="19"/>
        <v>-1594359.6926417928</v>
      </c>
      <c r="AX34" s="129">
        <f t="shared" si="19"/>
        <v>-1607337.5445978362</v>
      </c>
      <c r="AY34" s="129">
        <f t="shared" si="19"/>
        <v>-792272.41093572602</v>
      </c>
      <c r="AZ34" s="129">
        <f t="shared" si="19"/>
        <v>212209.99099943973</v>
      </c>
      <c r="BA34" s="129">
        <f t="shared" si="19"/>
        <v>-89627.586778878234</v>
      </c>
      <c r="BB34" s="130">
        <f t="shared" si="19"/>
        <v>996964.76576563483</v>
      </c>
      <c r="BC34" s="129">
        <f t="shared" si="19"/>
        <v>875609.10059792735</v>
      </c>
      <c r="BD34" s="129">
        <f t="shared" si="19"/>
        <v>291576.09774644114</v>
      </c>
      <c r="BE34" s="129">
        <f t="shared" si="19"/>
        <v>-116140.39623181801</v>
      </c>
      <c r="BF34" s="129">
        <f t="shared" si="19"/>
        <v>-1071392.0932315681</v>
      </c>
      <c r="BG34" s="129">
        <f t="shared" si="19"/>
        <v>387701.77513297927</v>
      </c>
      <c r="BH34" s="129">
        <f t="shared" si="19"/>
        <v>-1897249.8487402853</v>
      </c>
      <c r="BI34" s="129">
        <f t="shared" si="19"/>
        <v>-754161.39598147199</v>
      </c>
      <c r="BJ34" s="129">
        <f t="shared" si="19"/>
        <v>-13920.787487587892</v>
      </c>
      <c r="BK34" s="129">
        <f t="shared" si="19"/>
        <v>-371.9026992843169</v>
      </c>
      <c r="BL34" s="129">
        <f t="shared" si="19"/>
        <v>2388905.5781700462</v>
      </c>
      <c r="BM34" s="129">
        <f t="shared" si="19"/>
        <v>-741476.89714633301</v>
      </c>
    </row>
    <row r="35" spans="1:65" ht="15.75" customHeight="1" thickTop="1">
      <c r="A35" s="105"/>
      <c r="B35" s="105"/>
      <c r="C35" s="105"/>
      <c r="D35" s="105"/>
      <c r="E35" s="105"/>
      <c r="F35" s="106"/>
      <c r="G35" s="4"/>
      <c r="H35" s="4"/>
      <c r="I35" s="4"/>
      <c r="J35" s="4"/>
      <c r="K35" s="4"/>
      <c r="L35" s="4"/>
      <c r="M35" s="4"/>
      <c r="N35" s="4"/>
      <c r="O35" s="4"/>
      <c r="P35" s="13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31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31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31"/>
      <c r="BC35" s="4"/>
      <c r="BD35" s="4"/>
      <c r="BE35" s="4"/>
      <c r="BF35" s="4"/>
      <c r="BG35" s="4"/>
      <c r="BH35" s="4"/>
      <c r="BI35" s="4"/>
      <c r="BJ35" s="4"/>
      <c r="BK35" s="122"/>
      <c r="BL35" s="122"/>
      <c r="BM35" s="4"/>
    </row>
    <row r="36" spans="1:65" ht="15.75" customHeight="1">
      <c r="F36" s="10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46"/>
      <c r="R36" s="46"/>
      <c r="S36" s="132"/>
      <c r="T36" s="132"/>
      <c r="U36" s="132"/>
      <c r="V36" s="132"/>
      <c r="W36" s="46"/>
      <c r="X36" s="46"/>
      <c r="Y36" s="46"/>
      <c r="Z36" s="46"/>
      <c r="AA36" s="46"/>
      <c r="AB36" s="46"/>
      <c r="AC36" s="46"/>
      <c r="AD36" s="47"/>
      <c r="AP36" s="50"/>
      <c r="BB36" s="50"/>
      <c r="BK36" s="122"/>
      <c r="BL36" s="122"/>
    </row>
    <row r="37" spans="1:65" ht="15.75" customHeight="1">
      <c r="A37" s="105" t="s">
        <v>45</v>
      </c>
      <c r="B37" s="105" t="s">
        <v>67</v>
      </c>
      <c r="C37" s="105" t="s">
        <v>68</v>
      </c>
      <c r="D37" s="105" t="s">
        <v>69</v>
      </c>
      <c r="E37" s="105" t="s">
        <v>70</v>
      </c>
      <c r="F37" s="106" t="s">
        <v>71</v>
      </c>
      <c r="G37" s="107">
        <v>49430454.891159162</v>
      </c>
      <c r="H37" s="108">
        <f t="shared" ref="H37:S39" si="20">$G37</f>
        <v>49430454.891159162</v>
      </c>
      <c r="I37" s="108">
        <f t="shared" si="20"/>
        <v>49430454.891159162</v>
      </c>
      <c r="J37" s="108">
        <f t="shared" si="20"/>
        <v>49430454.891159162</v>
      </c>
      <c r="K37" s="108">
        <f t="shared" si="20"/>
        <v>49430454.891159162</v>
      </c>
      <c r="L37" s="108">
        <f t="shared" si="20"/>
        <v>49430454.891159162</v>
      </c>
      <c r="M37" s="108">
        <f t="shared" si="20"/>
        <v>49430454.891159162</v>
      </c>
      <c r="N37" s="108">
        <f t="shared" si="20"/>
        <v>49430454.891159162</v>
      </c>
      <c r="O37" s="108">
        <f t="shared" si="20"/>
        <v>49430454.891159162</v>
      </c>
      <c r="P37" s="109">
        <f t="shared" si="20"/>
        <v>49430454.891159162</v>
      </c>
      <c r="Q37" s="108">
        <f t="shared" si="20"/>
        <v>49430454.891159162</v>
      </c>
      <c r="R37" s="108">
        <f t="shared" si="20"/>
        <v>49430454.891159162</v>
      </c>
      <c r="S37" s="108">
        <f t="shared" si="20"/>
        <v>49430454.891159162</v>
      </c>
      <c r="T37" s="107">
        <v>50590493.891159162</v>
      </c>
      <c r="U37" s="108">
        <f>$S37</f>
        <v>49430454.891159162</v>
      </c>
      <c r="V37" s="108">
        <f>$T37</f>
        <v>50590493.891159162</v>
      </c>
      <c r="W37" s="108">
        <f t="shared" ref="W37:BK39" si="21">$T37</f>
        <v>50590493.891159162</v>
      </c>
      <c r="X37" s="108">
        <f t="shared" si="21"/>
        <v>50590493.891159162</v>
      </c>
      <c r="Y37" s="108">
        <f t="shared" si="21"/>
        <v>50590493.891159162</v>
      </c>
      <c r="Z37" s="108">
        <f t="shared" si="21"/>
        <v>50590493.891159162</v>
      </c>
      <c r="AA37" s="108">
        <f t="shared" si="21"/>
        <v>50590493.891159162</v>
      </c>
      <c r="AB37" s="108">
        <f t="shared" si="21"/>
        <v>50590493.891159162</v>
      </c>
      <c r="AC37" s="108">
        <f t="shared" si="21"/>
        <v>50590493.891159162</v>
      </c>
      <c r="AD37" s="109">
        <f t="shared" si="21"/>
        <v>50590493.891159162</v>
      </c>
      <c r="AE37" s="108">
        <f t="shared" si="21"/>
        <v>50590493.891159162</v>
      </c>
      <c r="AF37" s="108">
        <f t="shared" si="21"/>
        <v>50590493.891159162</v>
      </c>
      <c r="AG37" s="108">
        <f t="shared" si="21"/>
        <v>50590493.891159162</v>
      </c>
      <c r="AH37" s="108">
        <f t="shared" si="21"/>
        <v>50590493.891159162</v>
      </c>
      <c r="AI37" s="108">
        <f t="shared" si="21"/>
        <v>50590493.891159162</v>
      </c>
      <c r="AJ37" s="108">
        <f t="shared" si="21"/>
        <v>50590493.891159162</v>
      </c>
      <c r="AK37" s="108">
        <f t="shared" si="21"/>
        <v>50590493.891159162</v>
      </c>
      <c r="AL37" s="108">
        <f t="shared" si="21"/>
        <v>50590493.891159162</v>
      </c>
      <c r="AM37" s="108">
        <f t="shared" si="21"/>
        <v>50590493.891159162</v>
      </c>
      <c r="AN37" s="108">
        <f t="shared" si="21"/>
        <v>50590493.891159162</v>
      </c>
      <c r="AO37" s="108">
        <f t="shared" si="21"/>
        <v>50590493.891159162</v>
      </c>
      <c r="AP37" s="109">
        <f t="shared" si="21"/>
        <v>50590493.891159162</v>
      </c>
      <c r="AQ37" s="108">
        <f t="shared" si="21"/>
        <v>50590493.891159162</v>
      </c>
      <c r="AR37" s="108">
        <f t="shared" si="21"/>
        <v>50590493.891159162</v>
      </c>
      <c r="AS37" s="108">
        <f t="shared" si="21"/>
        <v>50590493.891159162</v>
      </c>
      <c r="AT37" s="108">
        <f t="shared" si="21"/>
        <v>50590493.891159162</v>
      </c>
      <c r="AU37" s="108">
        <f t="shared" si="21"/>
        <v>50590493.891159162</v>
      </c>
      <c r="AV37" s="108">
        <f t="shared" si="21"/>
        <v>50590493.891159162</v>
      </c>
      <c r="AW37" s="108">
        <f t="shared" si="21"/>
        <v>50590493.891159162</v>
      </c>
      <c r="AX37" s="108">
        <f t="shared" si="21"/>
        <v>50590493.891159162</v>
      </c>
      <c r="AY37" s="108">
        <f t="shared" si="21"/>
        <v>50590493.891159162</v>
      </c>
      <c r="AZ37" s="108">
        <f t="shared" si="21"/>
        <v>50590493.891159162</v>
      </c>
      <c r="BA37" s="108">
        <f t="shared" si="21"/>
        <v>50590493.891159162</v>
      </c>
      <c r="BB37" s="109">
        <f t="shared" si="21"/>
        <v>50590493.891159162</v>
      </c>
      <c r="BC37" s="108">
        <f t="shared" si="21"/>
        <v>50590493.891159162</v>
      </c>
      <c r="BD37" s="108">
        <f t="shared" si="21"/>
        <v>50590493.891159162</v>
      </c>
      <c r="BE37" s="108">
        <f t="shared" si="21"/>
        <v>50590493.891159162</v>
      </c>
      <c r="BF37" s="108">
        <f t="shared" si="21"/>
        <v>50590493.891159162</v>
      </c>
      <c r="BG37" s="108">
        <f t="shared" si="21"/>
        <v>50590493.891159162</v>
      </c>
      <c r="BH37" s="108">
        <f t="shared" si="21"/>
        <v>50590493.891159162</v>
      </c>
      <c r="BI37" s="108">
        <f t="shared" si="21"/>
        <v>50590493.891159162</v>
      </c>
      <c r="BJ37" s="107">
        <v>52559234.199139386</v>
      </c>
      <c r="BK37" s="110">
        <f t="shared" si="21"/>
        <v>50590493.891159162</v>
      </c>
      <c r="BL37" s="111">
        <f>$BJ37</f>
        <v>52559234.199139386</v>
      </c>
      <c r="BM37" s="111">
        <f t="shared" ref="BM37:BM39" si="22">$BJ37</f>
        <v>52559234.199139386</v>
      </c>
    </row>
    <row r="38" spans="1:65" ht="15.75" customHeight="1">
      <c r="A38" s="105" t="s">
        <v>45</v>
      </c>
      <c r="B38" s="105" t="s">
        <v>67</v>
      </c>
      <c r="C38" s="105" t="s">
        <v>68</v>
      </c>
      <c r="D38" s="105" t="s">
        <v>69</v>
      </c>
      <c r="E38" s="105" t="s">
        <v>72</v>
      </c>
      <c r="F38" s="106" t="s">
        <v>71</v>
      </c>
      <c r="G38" s="107">
        <v>2572047</v>
      </c>
      <c r="H38" s="108">
        <f t="shared" si="20"/>
        <v>2572047</v>
      </c>
      <c r="I38" s="108">
        <f t="shared" si="20"/>
        <v>2572047</v>
      </c>
      <c r="J38" s="108">
        <f t="shared" si="20"/>
        <v>2572047</v>
      </c>
      <c r="K38" s="108">
        <f t="shared" si="20"/>
        <v>2572047</v>
      </c>
      <c r="L38" s="108">
        <f t="shared" si="20"/>
        <v>2572047</v>
      </c>
      <c r="M38" s="108">
        <f t="shared" si="20"/>
        <v>2572047</v>
      </c>
      <c r="N38" s="108">
        <f t="shared" si="20"/>
        <v>2572047</v>
      </c>
      <c r="O38" s="108">
        <f t="shared" si="20"/>
        <v>2572047</v>
      </c>
      <c r="P38" s="109">
        <f t="shared" si="20"/>
        <v>2572047</v>
      </c>
      <c r="Q38" s="108">
        <f t="shared" si="20"/>
        <v>2572047</v>
      </c>
      <c r="R38" s="108">
        <f t="shared" si="20"/>
        <v>2572047</v>
      </c>
      <c r="S38" s="108">
        <f t="shared" si="20"/>
        <v>2572047</v>
      </c>
      <c r="T38" s="107">
        <v>2633138</v>
      </c>
      <c r="U38" s="108">
        <f>$S38</f>
        <v>2572047</v>
      </c>
      <c r="V38" s="108">
        <f>$T38</f>
        <v>2633138</v>
      </c>
      <c r="W38" s="108">
        <f t="shared" si="21"/>
        <v>2633138</v>
      </c>
      <c r="X38" s="108">
        <f t="shared" si="21"/>
        <v>2633138</v>
      </c>
      <c r="Y38" s="108">
        <f t="shared" si="21"/>
        <v>2633138</v>
      </c>
      <c r="Z38" s="108">
        <f t="shared" si="21"/>
        <v>2633138</v>
      </c>
      <c r="AA38" s="108">
        <f t="shared" si="21"/>
        <v>2633138</v>
      </c>
      <c r="AB38" s="108">
        <f t="shared" si="21"/>
        <v>2633138</v>
      </c>
      <c r="AC38" s="108">
        <f t="shared" si="21"/>
        <v>2633138</v>
      </c>
      <c r="AD38" s="109">
        <f t="shared" si="21"/>
        <v>2633138</v>
      </c>
      <c r="AE38" s="108">
        <f t="shared" si="21"/>
        <v>2633138</v>
      </c>
      <c r="AF38" s="108">
        <f t="shared" si="21"/>
        <v>2633138</v>
      </c>
      <c r="AG38" s="108">
        <f t="shared" si="21"/>
        <v>2633138</v>
      </c>
      <c r="AH38" s="108">
        <f t="shared" si="21"/>
        <v>2633138</v>
      </c>
      <c r="AI38" s="108">
        <f t="shared" si="21"/>
        <v>2633138</v>
      </c>
      <c r="AJ38" s="108">
        <f t="shared" si="21"/>
        <v>2633138</v>
      </c>
      <c r="AK38" s="108">
        <f t="shared" si="21"/>
        <v>2633138</v>
      </c>
      <c r="AL38" s="108">
        <f t="shared" si="21"/>
        <v>2633138</v>
      </c>
      <c r="AM38" s="108">
        <f t="shared" si="21"/>
        <v>2633138</v>
      </c>
      <c r="AN38" s="108">
        <f t="shared" si="21"/>
        <v>2633138</v>
      </c>
      <c r="AO38" s="108">
        <f t="shared" si="21"/>
        <v>2633138</v>
      </c>
      <c r="AP38" s="109">
        <f t="shared" si="21"/>
        <v>2633138</v>
      </c>
      <c r="AQ38" s="108">
        <f t="shared" si="21"/>
        <v>2633138</v>
      </c>
      <c r="AR38" s="108">
        <f t="shared" si="21"/>
        <v>2633138</v>
      </c>
      <c r="AS38" s="108">
        <f t="shared" si="21"/>
        <v>2633138</v>
      </c>
      <c r="AT38" s="108">
        <f t="shared" si="21"/>
        <v>2633138</v>
      </c>
      <c r="AU38" s="108">
        <f t="shared" si="21"/>
        <v>2633138</v>
      </c>
      <c r="AV38" s="108">
        <f t="shared" si="21"/>
        <v>2633138</v>
      </c>
      <c r="AW38" s="108">
        <f t="shared" si="21"/>
        <v>2633138</v>
      </c>
      <c r="AX38" s="108">
        <f t="shared" si="21"/>
        <v>2633138</v>
      </c>
      <c r="AY38" s="108">
        <f t="shared" si="21"/>
        <v>2633138</v>
      </c>
      <c r="AZ38" s="108">
        <f t="shared" si="21"/>
        <v>2633138</v>
      </c>
      <c r="BA38" s="108">
        <f t="shared" si="21"/>
        <v>2633138</v>
      </c>
      <c r="BB38" s="109">
        <f t="shared" si="21"/>
        <v>2633138</v>
      </c>
      <c r="BC38" s="108">
        <f t="shared" si="21"/>
        <v>2633138</v>
      </c>
      <c r="BD38" s="108">
        <f t="shared" si="21"/>
        <v>2633138</v>
      </c>
      <c r="BE38" s="108">
        <f t="shared" si="21"/>
        <v>2633138</v>
      </c>
      <c r="BF38" s="108">
        <f t="shared" si="21"/>
        <v>2633138</v>
      </c>
      <c r="BG38" s="108">
        <f t="shared" si="21"/>
        <v>2633138</v>
      </c>
      <c r="BH38" s="108">
        <f t="shared" si="21"/>
        <v>2633138</v>
      </c>
      <c r="BI38" s="108">
        <f t="shared" si="21"/>
        <v>2633138</v>
      </c>
      <c r="BJ38" s="107">
        <v>2723069</v>
      </c>
      <c r="BK38" s="110">
        <f t="shared" si="21"/>
        <v>2633138</v>
      </c>
      <c r="BL38" s="111">
        <f t="shared" ref="BL38:BL39" si="23">$BJ38</f>
        <v>2723069</v>
      </c>
      <c r="BM38" s="111">
        <f t="shared" si="22"/>
        <v>2723069</v>
      </c>
    </row>
    <row r="39" spans="1:65" ht="15.75" customHeight="1">
      <c r="A39" s="105" t="s">
        <v>45</v>
      </c>
      <c r="B39" s="105" t="s">
        <v>67</v>
      </c>
      <c r="C39" s="105" t="s">
        <v>68</v>
      </c>
      <c r="D39" s="105" t="s">
        <v>69</v>
      </c>
      <c r="E39" s="105" t="s">
        <v>73</v>
      </c>
      <c r="F39" s="106" t="s">
        <v>71</v>
      </c>
      <c r="G39" s="107">
        <v>17436484.683537412</v>
      </c>
      <c r="H39" s="108">
        <f t="shared" si="20"/>
        <v>17436484.683537412</v>
      </c>
      <c r="I39" s="108">
        <f t="shared" si="20"/>
        <v>17436484.683537412</v>
      </c>
      <c r="J39" s="108">
        <f t="shared" si="20"/>
        <v>17436484.683537412</v>
      </c>
      <c r="K39" s="108">
        <f t="shared" si="20"/>
        <v>17436484.683537412</v>
      </c>
      <c r="L39" s="108">
        <f t="shared" si="20"/>
        <v>17436484.683537412</v>
      </c>
      <c r="M39" s="108">
        <f t="shared" si="20"/>
        <v>17436484.683537412</v>
      </c>
      <c r="N39" s="108">
        <f t="shared" si="20"/>
        <v>17436484.683537412</v>
      </c>
      <c r="O39" s="108">
        <f t="shared" si="20"/>
        <v>17436484.683537412</v>
      </c>
      <c r="P39" s="109">
        <f t="shared" si="20"/>
        <v>17436484.683537412</v>
      </c>
      <c r="Q39" s="108">
        <f t="shared" si="20"/>
        <v>17436484.683537412</v>
      </c>
      <c r="R39" s="108">
        <f t="shared" si="20"/>
        <v>17436484.683537412</v>
      </c>
      <c r="S39" s="108">
        <f t="shared" si="20"/>
        <v>17436484.683537412</v>
      </c>
      <c r="T39" s="107">
        <v>17436484.683537412</v>
      </c>
      <c r="U39" s="108">
        <f>$S39</f>
        <v>17436484.683537412</v>
      </c>
      <c r="V39" s="108">
        <f>$T39</f>
        <v>17436484.683537412</v>
      </c>
      <c r="W39" s="108">
        <f t="shared" si="21"/>
        <v>17436484.683537412</v>
      </c>
      <c r="X39" s="108">
        <f t="shared" si="21"/>
        <v>17436484.683537412</v>
      </c>
      <c r="Y39" s="108">
        <f t="shared" si="21"/>
        <v>17436484.683537412</v>
      </c>
      <c r="Z39" s="108">
        <f t="shared" si="21"/>
        <v>17436484.683537412</v>
      </c>
      <c r="AA39" s="108">
        <f t="shared" si="21"/>
        <v>17436484.683537412</v>
      </c>
      <c r="AB39" s="108">
        <f t="shared" si="21"/>
        <v>17436484.683537412</v>
      </c>
      <c r="AC39" s="108">
        <f t="shared" si="21"/>
        <v>17436484.683537412</v>
      </c>
      <c r="AD39" s="109">
        <f t="shared" si="21"/>
        <v>17436484.683537412</v>
      </c>
      <c r="AE39" s="108">
        <f t="shared" si="21"/>
        <v>17436484.683537412</v>
      </c>
      <c r="AF39" s="108">
        <f t="shared" si="21"/>
        <v>17436484.683537412</v>
      </c>
      <c r="AG39" s="108">
        <f t="shared" si="21"/>
        <v>17436484.683537412</v>
      </c>
      <c r="AH39" s="108">
        <f t="shared" si="21"/>
        <v>17436484.683537412</v>
      </c>
      <c r="AI39" s="108">
        <f t="shared" si="21"/>
        <v>17436484.683537412</v>
      </c>
      <c r="AJ39" s="108">
        <f t="shared" si="21"/>
        <v>17436484.683537412</v>
      </c>
      <c r="AK39" s="108">
        <f t="shared" si="21"/>
        <v>17436484.683537412</v>
      </c>
      <c r="AL39" s="108">
        <f t="shared" si="21"/>
        <v>17436484.683537412</v>
      </c>
      <c r="AM39" s="108">
        <f t="shared" si="21"/>
        <v>17436484.683537412</v>
      </c>
      <c r="AN39" s="108">
        <f t="shared" si="21"/>
        <v>17436484.683537412</v>
      </c>
      <c r="AO39" s="108">
        <f t="shared" si="21"/>
        <v>17436484.683537412</v>
      </c>
      <c r="AP39" s="109">
        <f t="shared" si="21"/>
        <v>17436484.683537412</v>
      </c>
      <c r="AQ39" s="108">
        <f t="shared" si="21"/>
        <v>17436484.683537412</v>
      </c>
      <c r="AR39" s="108">
        <f t="shared" si="21"/>
        <v>17436484.683537412</v>
      </c>
      <c r="AS39" s="108">
        <f t="shared" si="21"/>
        <v>17436484.683537412</v>
      </c>
      <c r="AT39" s="108">
        <f t="shared" si="21"/>
        <v>17436484.683537412</v>
      </c>
      <c r="AU39" s="108">
        <f t="shared" si="21"/>
        <v>17436484.683537412</v>
      </c>
      <c r="AV39" s="108">
        <f t="shared" si="21"/>
        <v>17436484.683537412</v>
      </c>
      <c r="AW39" s="108">
        <f t="shared" si="21"/>
        <v>17436484.683537412</v>
      </c>
      <c r="AX39" s="108">
        <f t="shared" si="21"/>
        <v>17436484.683537412</v>
      </c>
      <c r="AY39" s="108">
        <f t="shared" si="21"/>
        <v>17436484.683537412</v>
      </c>
      <c r="AZ39" s="108">
        <f t="shared" si="21"/>
        <v>17436484.683537412</v>
      </c>
      <c r="BA39" s="108">
        <f t="shared" si="21"/>
        <v>17436484.683537412</v>
      </c>
      <c r="BB39" s="109">
        <f t="shared" si="21"/>
        <v>17436484.683537412</v>
      </c>
      <c r="BC39" s="108">
        <f t="shared" si="21"/>
        <v>17436484.683537412</v>
      </c>
      <c r="BD39" s="108">
        <f t="shared" si="21"/>
        <v>17436484.683537412</v>
      </c>
      <c r="BE39" s="108">
        <f t="shared" si="21"/>
        <v>17436484.683537412</v>
      </c>
      <c r="BF39" s="108">
        <f t="shared" si="21"/>
        <v>17436484.683537412</v>
      </c>
      <c r="BG39" s="108">
        <f t="shared" si="21"/>
        <v>17436484.683537412</v>
      </c>
      <c r="BH39" s="108">
        <f t="shared" si="21"/>
        <v>17436484.683537412</v>
      </c>
      <c r="BI39" s="108">
        <f t="shared" si="21"/>
        <v>17436484.683537412</v>
      </c>
      <c r="BJ39" s="107">
        <v>13514283.853270838</v>
      </c>
      <c r="BK39" s="110">
        <f t="shared" si="21"/>
        <v>17436484.683537412</v>
      </c>
      <c r="BL39" s="111">
        <f t="shared" si="23"/>
        <v>13514283.853270838</v>
      </c>
      <c r="BM39" s="111">
        <f t="shared" si="22"/>
        <v>13514283.853270838</v>
      </c>
    </row>
    <row r="40" spans="1:65" ht="15.75" customHeight="1">
      <c r="A40" s="105" t="s">
        <v>45</v>
      </c>
      <c r="B40" s="105" t="s">
        <v>67</v>
      </c>
      <c r="C40" s="105" t="s">
        <v>68</v>
      </c>
      <c r="D40" s="105" t="s">
        <v>69</v>
      </c>
      <c r="E40" s="105" t="s">
        <v>74</v>
      </c>
      <c r="F40" s="106" t="s">
        <v>71</v>
      </c>
      <c r="G40" s="108">
        <f t="shared" ref="G40:BK40" si="24">G37-G38-G39</f>
        <v>29421923.207621749</v>
      </c>
      <c r="H40" s="108">
        <f t="shared" si="24"/>
        <v>29421923.207621749</v>
      </c>
      <c r="I40" s="108">
        <f t="shared" si="24"/>
        <v>29421923.207621749</v>
      </c>
      <c r="J40" s="108">
        <f t="shared" si="24"/>
        <v>29421923.207621749</v>
      </c>
      <c r="K40" s="108">
        <f t="shared" si="24"/>
        <v>29421923.207621749</v>
      </c>
      <c r="L40" s="108">
        <f t="shared" si="24"/>
        <v>29421923.207621749</v>
      </c>
      <c r="M40" s="108">
        <f t="shared" si="24"/>
        <v>29421923.207621749</v>
      </c>
      <c r="N40" s="108">
        <f t="shared" si="24"/>
        <v>29421923.207621749</v>
      </c>
      <c r="O40" s="108">
        <f t="shared" si="24"/>
        <v>29421923.207621749</v>
      </c>
      <c r="P40" s="109">
        <f t="shared" si="24"/>
        <v>29421923.207621749</v>
      </c>
      <c r="Q40" s="108">
        <f t="shared" si="24"/>
        <v>29421923.207621749</v>
      </c>
      <c r="R40" s="108">
        <f t="shared" si="24"/>
        <v>29421923.207621749</v>
      </c>
      <c r="S40" s="108">
        <f t="shared" si="24"/>
        <v>29421923.207621749</v>
      </c>
      <c r="T40" s="108">
        <f t="shared" si="24"/>
        <v>30520871.207621749</v>
      </c>
      <c r="U40" s="108">
        <f t="shared" si="24"/>
        <v>29421923.207621749</v>
      </c>
      <c r="V40" s="108">
        <f t="shared" si="24"/>
        <v>30520871.207621749</v>
      </c>
      <c r="W40" s="108">
        <f t="shared" si="24"/>
        <v>30520871.207621749</v>
      </c>
      <c r="X40" s="108">
        <f t="shared" si="24"/>
        <v>30520871.207621749</v>
      </c>
      <c r="Y40" s="108">
        <f t="shared" si="24"/>
        <v>30520871.207621749</v>
      </c>
      <c r="Z40" s="108">
        <f t="shared" si="24"/>
        <v>30520871.207621749</v>
      </c>
      <c r="AA40" s="108">
        <f t="shared" si="24"/>
        <v>30520871.207621749</v>
      </c>
      <c r="AB40" s="108">
        <f t="shared" si="24"/>
        <v>30520871.207621749</v>
      </c>
      <c r="AC40" s="108">
        <f t="shared" si="24"/>
        <v>30520871.207621749</v>
      </c>
      <c r="AD40" s="109">
        <f t="shared" si="24"/>
        <v>30520871.207621749</v>
      </c>
      <c r="AE40" s="108">
        <f t="shared" si="24"/>
        <v>30520871.207621749</v>
      </c>
      <c r="AF40" s="108">
        <f t="shared" si="24"/>
        <v>30520871.207621749</v>
      </c>
      <c r="AG40" s="108">
        <f t="shared" si="24"/>
        <v>30520871.207621749</v>
      </c>
      <c r="AH40" s="108">
        <f t="shared" si="24"/>
        <v>30520871.207621749</v>
      </c>
      <c r="AI40" s="108">
        <f t="shared" si="24"/>
        <v>30520871.207621749</v>
      </c>
      <c r="AJ40" s="108">
        <f t="shared" si="24"/>
        <v>30520871.207621749</v>
      </c>
      <c r="AK40" s="108">
        <f t="shared" si="24"/>
        <v>30520871.207621749</v>
      </c>
      <c r="AL40" s="108">
        <f t="shared" si="24"/>
        <v>30520871.207621749</v>
      </c>
      <c r="AM40" s="108">
        <f t="shared" si="24"/>
        <v>30520871.207621749</v>
      </c>
      <c r="AN40" s="108">
        <f t="shared" si="24"/>
        <v>30520871.207621749</v>
      </c>
      <c r="AO40" s="108">
        <f t="shared" si="24"/>
        <v>30520871.207621749</v>
      </c>
      <c r="AP40" s="109">
        <f t="shared" si="24"/>
        <v>30520871.207621749</v>
      </c>
      <c r="AQ40" s="108">
        <f t="shared" si="24"/>
        <v>30520871.207621749</v>
      </c>
      <c r="AR40" s="108">
        <f t="shared" si="24"/>
        <v>30520871.207621749</v>
      </c>
      <c r="AS40" s="108">
        <f t="shared" si="24"/>
        <v>30520871.207621749</v>
      </c>
      <c r="AT40" s="108">
        <f t="shared" si="24"/>
        <v>30520871.207621749</v>
      </c>
      <c r="AU40" s="108">
        <f t="shared" si="24"/>
        <v>30520871.207621749</v>
      </c>
      <c r="AV40" s="108">
        <f t="shared" si="24"/>
        <v>30520871.207621749</v>
      </c>
      <c r="AW40" s="108">
        <f t="shared" si="24"/>
        <v>30520871.207621749</v>
      </c>
      <c r="AX40" s="108">
        <f t="shared" si="24"/>
        <v>30520871.207621749</v>
      </c>
      <c r="AY40" s="108">
        <f t="shared" si="24"/>
        <v>30520871.207621749</v>
      </c>
      <c r="AZ40" s="108">
        <f t="shared" si="24"/>
        <v>30520871.207621749</v>
      </c>
      <c r="BA40" s="108">
        <f t="shared" si="24"/>
        <v>30520871.207621749</v>
      </c>
      <c r="BB40" s="109">
        <f t="shared" si="24"/>
        <v>30520871.207621749</v>
      </c>
      <c r="BC40" s="108">
        <f t="shared" si="24"/>
        <v>30520871.207621749</v>
      </c>
      <c r="BD40" s="108">
        <f t="shared" si="24"/>
        <v>30520871.207621749</v>
      </c>
      <c r="BE40" s="108">
        <f t="shared" si="24"/>
        <v>30520871.207621749</v>
      </c>
      <c r="BF40" s="108">
        <f t="shared" si="24"/>
        <v>30520871.207621749</v>
      </c>
      <c r="BG40" s="108">
        <f t="shared" si="24"/>
        <v>30520871.207621749</v>
      </c>
      <c r="BH40" s="108">
        <f t="shared" si="24"/>
        <v>30520871.207621749</v>
      </c>
      <c r="BI40" s="108">
        <f t="shared" si="24"/>
        <v>30520871.207621749</v>
      </c>
      <c r="BJ40" s="108">
        <f t="shared" si="24"/>
        <v>36321881.34586855</v>
      </c>
      <c r="BK40" s="110">
        <f t="shared" si="24"/>
        <v>30520871.207621749</v>
      </c>
      <c r="BL40" s="111">
        <f>BL37-BL38-BL39</f>
        <v>36321881.34586855</v>
      </c>
      <c r="BM40" s="111">
        <f t="shared" ref="BM40" si="25">BM37-BM38-BM39</f>
        <v>36321881.34586855</v>
      </c>
    </row>
    <row r="41" spans="1:65" ht="15.75" customHeight="1">
      <c r="A41" s="105" t="s">
        <v>45</v>
      </c>
      <c r="B41" s="105" t="s">
        <v>67</v>
      </c>
      <c r="C41" s="105" t="s">
        <v>68</v>
      </c>
      <c r="D41" s="105" t="s">
        <v>69</v>
      </c>
      <c r="E41" s="105" t="s">
        <v>75</v>
      </c>
      <c r="F41" s="106" t="s">
        <v>76</v>
      </c>
      <c r="G41" s="112">
        <v>19046.041792326934</v>
      </c>
      <c r="H41" s="113">
        <f>$G41</f>
        <v>19046.041792326934</v>
      </c>
      <c r="I41" s="113">
        <f t="shared" ref="I41:BI41" si="26">$G41</f>
        <v>19046.041792326934</v>
      </c>
      <c r="J41" s="113">
        <f t="shared" si="26"/>
        <v>19046.041792326934</v>
      </c>
      <c r="K41" s="113">
        <f t="shared" si="26"/>
        <v>19046.041792326934</v>
      </c>
      <c r="L41" s="113">
        <f t="shared" si="26"/>
        <v>19046.041792326934</v>
      </c>
      <c r="M41" s="113">
        <f t="shared" si="26"/>
        <v>19046.041792326934</v>
      </c>
      <c r="N41" s="113">
        <f t="shared" si="26"/>
        <v>19046.041792326934</v>
      </c>
      <c r="O41" s="113">
        <f t="shared" si="26"/>
        <v>19046.041792326934</v>
      </c>
      <c r="P41" s="114">
        <f t="shared" si="26"/>
        <v>19046.041792326934</v>
      </c>
      <c r="Q41" s="113">
        <f t="shared" si="26"/>
        <v>19046.041792326934</v>
      </c>
      <c r="R41" s="113">
        <f t="shared" si="26"/>
        <v>19046.041792326934</v>
      </c>
      <c r="S41" s="113">
        <f t="shared" si="26"/>
        <v>19046.041792326934</v>
      </c>
      <c r="T41" s="113">
        <f t="shared" si="26"/>
        <v>19046.041792326934</v>
      </c>
      <c r="U41" s="113">
        <f t="shared" si="26"/>
        <v>19046.041792326934</v>
      </c>
      <c r="V41" s="113">
        <f t="shared" si="26"/>
        <v>19046.041792326934</v>
      </c>
      <c r="W41" s="113">
        <f t="shared" si="26"/>
        <v>19046.041792326934</v>
      </c>
      <c r="X41" s="113">
        <f t="shared" si="26"/>
        <v>19046.041792326934</v>
      </c>
      <c r="Y41" s="113">
        <f t="shared" si="26"/>
        <v>19046.041792326934</v>
      </c>
      <c r="Z41" s="113">
        <f t="shared" si="26"/>
        <v>19046.041792326934</v>
      </c>
      <c r="AA41" s="113">
        <f t="shared" si="26"/>
        <v>19046.041792326934</v>
      </c>
      <c r="AB41" s="113">
        <f t="shared" si="26"/>
        <v>19046.041792326934</v>
      </c>
      <c r="AC41" s="113">
        <f t="shared" si="26"/>
        <v>19046.041792326934</v>
      </c>
      <c r="AD41" s="114">
        <f t="shared" si="26"/>
        <v>19046.041792326934</v>
      </c>
      <c r="AE41" s="113">
        <f t="shared" si="26"/>
        <v>19046.041792326934</v>
      </c>
      <c r="AF41" s="113">
        <f t="shared" si="26"/>
        <v>19046.041792326934</v>
      </c>
      <c r="AG41" s="113">
        <f t="shared" si="26"/>
        <v>19046.041792326934</v>
      </c>
      <c r="AH41" s="113">
        <f t="shared" si="26"/>
        <v>19046.041792326934</v>
      </c>
      <c r="AI41" s="113">
        <f t="shared" si="26"/>
        <v>19046.041792326934</v>
      </c>
      <c r="AJ41" s="113">
        <f t="shared" si="26"/>
        <v>19046.041792326934</v>
      </c>
      <c r="AK41" s="113">
        <f t="shared" si="26"/>
        <v>19046.041792326934</v>
      </c>
      <c r="AL41" s="113">
        <f t="shared" si="26"/>
        <v>19046.041792326934</v>
      </c>
      <c r="AM41" s="113">
        <f t="shared" si="26"/>
        <v>19046.041792326934</v>
      </c>
      <c r="AN41" s="113">
        <f t="shared" si="26"/>
        <v>19046.041792326934</v>
      </c>
      <c r="AO41" s="113">
        <f t="shared" si="26"/>
        <v>19046.041792326934</v>
      </c>
      <c r="AP41" s="114">
        <f t="shared" si="26"/>
        <v>19046.041792326934</v>
      </c>
      <c r="AQ41" s="113">
        <f t="shared" si="26"/>
        <v>19046.041792326934</v>
      </c>
      <c r="AR41" s="113">
        <f t="shared" si="26"/>
        <v>19046.041792326934</v>
      </c>
      <c r="AS41" s="113">
        <f t="shared" si="26"/>
        <v>19046.041792326934</v>
      </c>
      <c r="AT41" s="113">
        <f t="shared" si="26"/>
        <v>19046.041792326934</v>
      </c>
      <c r="AU41" s="113">
        <f t="shared" si="26"/>
        <v>19046.041792326934</v>
      </c>
      <c r="AV41" s="113">
        <f t="shared" si="26"/>
        <v>19046.041792326934</v>
      </c>
      <c r="AW41" s="113">
        <f t="shared" si="26"/>
        <v>19046.041792326934</v>
      </c>
      <c r="AX41" s="113">
        <f t="shared" si="26"/>
        <v>19046.041792326934</v>
      </c>
      <c r="AY41" s="113">
        <f t="shared" si="26"/>
        <v>19046.041792326934</v>
      </c>
      <c r="AZ41" s="113">
        <f t="shared" si="26"/>
        <v>19046.041792326934</v>
      </c>
      <c r="BA41" s="113">
        <f t="shared" si="26"/>
        <v>19046.041792326934</v>
      </c>
      <c r="BB41" s="114">
        <f t="shared" si="26"/>
        <v>19046.041792326934</v>
      </c>
      <c r="BC41" s="113">
        <f t="shared" si="26"/>
        <v>19046.041792326934</v>
      </c>
      <c r="BD41" s="113">
        <f t="shared" si="26"/>
        <v>19046.041792326934</v>
      </c>
      <c r="BE41" s="113">
        <f t="shared" si="26"/>
        <v>19046.041792326934</v>
      </c>
      <c r="BF41" s="113">
        <f t="shared" si="26"/>
        <v>19046.041792326934</v>
      </c>
      <c r="BG41" s="113">
        <f t="shared" si="26"/>
        <v>19046.041792326934</v>
      </c>
      <c r="BH41" s="113">
        <f t="shared" si="26"/>
        <v>19046.041792326934</v>
      </c>
      <c r="BI41" s="113">
        <f t="shared" si="26"/>
        <v>19046.041792326934</v>
      </c>
      <c r="BJ41" s="115">
        <v>20111.461125600061</v>
      </c>
      <c r="BK41" s="113">
        <f>$G41</f>
        <v>19046.041792326934</v>
      </c>
      <c r="BL41" s="111">
        <f>$BJ41</f>
        <v>20111.461125600061</v>
      </c>
      <c r="BM41" s="111">
        <f t="shared" ref="BM41" si="27">$BJ41</f>
        <v>20111.461125600061</v>
      </c>
    </row>
    <row r="42" spans="1:65" ht="15.75" customHeight="1">
      <c r="A42" s="105" t="s">
        <v>45</v>
      </c>
      <c r="B42" s="105" t="s">
        <v>67</v>
      </c>
      <c r="C42" s="105" t="s">
        <v>68</v>
      </c>
      <c r="D42" s="105" t="s">
        <v>77</v>
      </c>
      <c r="E42" s="105" t="s">
        <v>78</v>
      </c>
      <c r="F42" s="106" t="s">
        <v>79</v>
      </c>
      <c r="G42" s="113">
        <v>47070144.273122281</v>
      </c>
      <c r="H42" s="113">
        <v>42590994.110857621</v>
      </c>
      <c r="I42" s="113">
        <v>41383473.482383251</v>
      </c>
      <c r="J42" s="113">
        <v>53352472.096582972</v>
      </c>
      <c r="K42" s="113">
        <v>51553372.895612173</v>
      </c>
      <c r="L42" s="113">
        <v>46404947.470008805</v>
      </c>
      <c r="M42" s="113">
        <v>41743259.163386077</v>
      </c>
      <c r="N42" s="113">
        <v>38977017.334625706</v>
      </c>
      <c r="O42" s="113">
        <v>37501502.466451421</v>
      </c>
      <c r="P42" s="114">
        <v>41039143.449469477</v>
      </c>
      <c r="Q42" s="113">
        <v>43957205.164036781</v>
      </c>
      <c r="R42" s="113">
        <v>50693068.445678502</v>
      </c>
      <c r="S42" s="113">
        <v>47070144.273122281</v>
      </c>
      <c r="T42" s="113">
        <v>47070144.273122281</v>
      </c>
      <c r="U42" s="113">
        <v>42590994.110857621</v>
      </c>
      <c r="V42" s="113">
        <v>42590994.110857621</v>
      </c>
      <c r="W42" s="113">
        <v>41383473.482383251</v>
      </c>
      <c r="X42" s="113">
        <v>53352472.096582972</v>
      </c>
      <c r="Y42" s="113">
        <v>51553372.895612173</v>
      </c>
      <c r="Z42" s="113">
        <v>46404947.470008805</v>
      </c>
      <c r="AA42" s="113">
        <v>41743259.163386077</v>
      </c>
      <c r="AB42" s="113">
        <v>38977017.334625706</v>
      </c>
      <c r="AC42" s="113">
        <v>37501502.466451421</v>
      </c>
      <c r="AD42" s="114">
        <v>41039143.449469477</v>
      </c>
      <c r="AE42" s="113">
        <v>43957205.164036781</v>
      </c>
      <c r="AF42" s="113">
        <v>50693068.445678502</v>
      </c>
      <c r="AG42" s="113">
        <v>47070144.273122281</v>
      </c>
      <c r="AH42" s="113">
        <v>42590994.110857621</v>
      </c>
      <c r="AI42" s="113">
        <v>41383473.482383251</v>
      </c>
      <c r="AJ42" s="113">
        <v>53352472.096582972</v>
      </c>
      <c r="AK42" s="113">
        <v>51553372.895612173</v>
      </c>
      <c r="AL42" s="113">
        <v>46404947.470008805</v>
      </c>
      <c r="AM42" s="113">
        <v>41743259.163386077</v>
      </c>
      <c r="AN42" s="113">
        <v>38977017.334625706</v>
      </c>
      <c r="AO42" s="113">
        <v>37501502.466451421</v>
      </c>
      <c r="AP42" s="114">
        <v>41039143.449469477</v>
      </c>
      <c r="AQ42" s="113">
        <v>43957205.164036781</v>
      </c>
      <c r="AR42" s="113">
        <v>50693068.445678502</v>
      </c>
      <c r="AS42" s="113">
        <v>47070144.273122281</v>
      </c>
      <c r="AT42" s="113">
        <v>42590994.110857621</v>
      </c>
      <c r="AU42" s="113">
        <v>41383473.482383251</v>
      </c>
      <c r="AV42" s="113">
        <v>53352472.096582972</v>
      </c>
      <c r="AW42" s="113">
        <v>51553372.895612173</v>
      </c>
      <c r="AX42" s="113">
        <v>46404947.470008805</v>
      </c>
      <c r="AY42" s="113">
        <v>41743259.163386077</v>
      </c>
      <c r="AZ42" s="113">
        <v>38977017.334625706</v>
      </c>
      <c r="BA42" s="113">
        <v>37501502.466451421</v>
      </c>
      <c r="BB42" s="114">
        <v>41039143.449469477</v>
      </c>
      <c r="BC42" s="113">
        <v>43957205.164036781</v>
      </c>
      <c r="BD42" s="113">
        <v>50693068.445678502</v>
      </c>
      <c r="BE42" s="113">
        <v>47070144.273122281</v>
      </c>
      <c r="BF42" s="113">
        <v>42590994.110857621</v>
      </c>
      <c r="BG42" s="113">
        <v>41383473.482383251</v>
      </c>
      <c r="BH42" s="113">
        <v>53352472.096582972</v>
      </c>
      <c r="BI42" s="113">
        <v>51553372.895612173</v>
      </c>
      <c r="BJ42" s="113">
        <v>50686040.808928944</v>
      </c>
      <c r="BK42" s="113">
        <v>46404947.470008805</v>
      </c>
      <c r="BL42" s="111">
        <v>46155412.914243035</v>
      </c>
      <c r="BM42" s="111">
        <v>48443161.749466248</v>
      </c>
    </row>
    <row r="43" spans="1:65" ht="15.75" customHeight="1">
      <c r="A43" s="105" t="s">
        <v>45</v>
      </c>
      <c r="B43" s="105" t="s">
        <v>67</v>
      </c>
      <c r="C43" s="105" t="s">
        <v>68</v>
      </c>
      <c r="D43" s="105" t="s">
        <v>69</v>
      </c>
      <c r="E43" s="105" t="s">
        <v>78</v>
      </c>
      <c r="F43" s="106" t="s">
        <v>79</v>
      </c>
      <c r="G43" s="113">
        <v>536266600.35221499</v>
      </c>
      <c r="H43" s="113">
        <v>536266600.35221499</v>
      </c>
      <c r="I43" s="113">
        <v>536266600.35221499</v>
      </c>
      <c r="J43" s="113">
        <v>536266600.35221499</v>
      </c>
      <c r="K43" s="113">
        <v>536266600.35221499</v>
      </c>
      <c r="L43" s="113">
        <v>536266600.35221499</v>
      </c>
      <c r="M43" s="113">
        <v>536266600.35221499</v>
      </c>
      <c r="N43" s="113">
        <v>536266600.35221499</v>
      </c>
      <c r="O43" s="113">
        <v>536266600.35221499</v>
      </c>
      <c r="P43" s="114">
        <v>536266600.35221499</v>
      </c>
      <c r="Q43" s="113">
        <v>536266600.35221499</v>
      </c>
      <c r="R43" s="113">
        <v>536266600.35221499</v>
      </c>
      <c r="S43" s="113">
        <v>536266600.35221499</v>
      </c>
      <c r="T43" s="113">
        <v>536266600.35221499</v>
      </c>
      <c r="U43" s="113">
        <v>536266600.35221499</v>
      </c>
      <c r="V43" s="113">
        <v>536266600.35221499</v>
      </c>
      <c r="W43" s="113">
        <v>536266600.35221499</v>
      </c>
      <c r="X43" s="113">
        <v>536266600.35221499</v>
      </c>
      <c r="Y43" s="113">
        <v>536266600.35221499</v>
      </c>
      <c r="Z43" s="113">
        <v>536266600.35221499</v>
      </c>
      <c r="AA43" s="113">
        <v>536266600.35221499</v>
      </c>
      <c r="AB43" s="113">
        <v>536266600.35221499</v>
      </c>
      <c r="AC43" s="113">
        <v>536266600.35221499</v>
      </c>
      <c r="AD43" s="114">
        <v>536266600.35221499</v>
      </c>
      <c r="AE43" s="113">
        <v>536266600.35221499</v>
      </c>
      <c r="AF43" s="113">
        <v>536266600.35221499</v>
      </c>
      <c r="AG43" s="113">
        <v>536266600.35221499</v>
      </c>
      <c r="AH43" s="113">
        <v>536266600.35221499</v>
      </c>
      <c r="AI43" s="113">
        <v>536266600.35221499</v>
      </c>
      <c r="AJ43" s="113">
        <v>536266600.35221499</v>
      </c>
      <c r="AK43" s="113">
        <v>536266600.35221499</v>
      </c>
      <c r="AL43" s="113">
        <v>536266600.35221499</v>
      </c>
      <c r="AM43" s="113">
        <v>536266600.35221499</v>
      </c>
      <c r="AN43" s="113">
        <v>536266600.35221499</v>
      </c>
      <c r="AO43" s="113">
        <v>536266600.35221499</v>
      </c>
      <c r="AP43" s="114">
        <v>536266600.35221499</v>
      </c>
      <c r="AQ43" s="113">
        <v>536266600.35221499</v>
      </c>
      <c r="AR43" s="113">
        <v>536266600.35221499</v>
      </c>
      <c r="AS43" s="113">
        <v>536266600.35221499</v>
      </c>
      <c r="AT43" s="113">
        <v>536266600.35221499</v>
      </c>
      <c r="AU43" s="113">
        <v>536266600.35221499</v>
      </c>
      <c r="AV43" s="113">
        <v>536266600.35221499</v>
      </c>
      <c r="AW43" s="113">
        <v>536266600.35221499</v>
      </c>
      <c r="AX43" s="113">
        <v>536266600.35221499</v>
      </c>
      <c r="AY43" s="113">
        <v>536266600.35221499</v>
      </c>
      <c r="AZ43" s="113">
        <v>536266600.35221499</v>
      </c>
      <c r="BA43" s="113">
        <v>536266600.35221499</v>
      </c>
      <c r="BB43" s="114">
        <v>536266600.35221499</v>
      </c>
      <c r="BC43" s="113">
        <v>536266600.35221499</v>
      </c>
      <c r="BD43" s="113">
        <v>536266600.35221499</v>
      </c>
      <c r="BE43" s="113">
        <v>536266600.35221499</v>
      </c>
      <c r="BF43" s="113">
        <v>536266600.35221499</v>
      </c>
      <c r="BG43" s="113">
        <v>536266600.35221499</v>
      </c>
      <c r="BH43" s="113">
        <v>536266600.35221499</v>
      </c>
      <c r="BI43" s="113">
        <v>536266600.35221499</v>
      </c>
      <c r="BJ43" s="113">
        <v>554739131.83022404</v>
      </c>
      <c r="BK43" s="113">
        <v>536266600.35221499</v>
      </c>
      <c r="BL43" s="111">
        <v>554739131.83022404</v>
      </c>
      <c r="BM43" s="111">
        <v>554739131.83022404</v>
      </c>
    </row>
    <row r="44" spans="1:65" ht="15.75" customHeight="1">
      <c r="A44" s="105" t="s">
        <v>45</v>
      </c>
      <c r="B44" s="105" t="s">
        <v>67</v>
      </c>
      <c r="C44" s="116" t="s">
        <v>80</v>
      </c>
      <c r="D44" s="116" t="s">
        <v>77</v>
      </c>
      <c r="E44" s="116" t="s">
        <v>81</v>
      </c>
      <c r="F44" s="106" t="s">
        <v>82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4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4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113"/>
      <c r="BD44" s="113"/>
      <c r="BE44" s="113"/>
      <c r="BF44" s="113"/>
      <c r="BG44" s="113"/>
      <c r="BH44" s="113"/>
      <c r="BI44" s="113"/>
      <c r="BJ44" s="120">
        <f>ROUND(-1796526.15220526/536266600.352215,5)</f>
        <v>-3.3500000000000001E-3</v>
      </c>
      <c r="BK44" s="113"/>
      <c r="BL44" s="120">
        <v>-1.1199999999999999E-3</v>
      </c>
      <c r="BM44" s="120">
        <v>1.75E-3</v>
      </c>
    </row>
    <row r="45" spans="1:65" ht="15.75" customHeight="1">
      <c r="A45" s="105" t="s">
        <v>45</v>
      </c>
      <c r="B45" s="105" t="s">
        <v>67</v>
      </c>
      <c r="C45" s="116" t="s">
        <v>80</v>
      </c>
      <c r="D45" s="116" t="s">
        <v>77</v>
      </c>
      <c r="E45" s="116" t="s">
        <v>83</v>
      </c>
      <c r="F45" s="106" t="s">
        <v>82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4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4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113"/>
      <c r="BD45" s="113"/>
      <c r="BE45" s="113"/>
      <c r="BF45" s="113"/>
      <c r="BG45" s="113"/>
      <c r="BH45" s="113"/>
      <c r="BI45" s="113"/>
      <c r="BJ45" s="120">
        <f>ROUND(1551148.76669017/543374182.867637,5)</f>
        <v>2.8500000000000001E-3</v>
      </c>
      <c r="BK45" s="113"/>
      <c r="BL45" s="121">
        <f t="shared" ref="BL45:BM46" si="28">$BJ45</f>
        <v>2.8500000000000001E-3</v>
      </c>
      <c r="BM45" s="121">
        <f t="shared" si="28"/>
        <v>2.8500000000000001E-3</v>
      </c>
    </row>
    <row r="46" spans="1:65" ht="15.75" customHeight="1">
      <c r="A46" s="105" t="s">
        <v>45</v>
      </c>
      <c r="B46" s="105" t="s">
        <v>67</v>
      </c>
      <c r="C46" s="116" t="s">
        <v>80</v>
      </c>
      <c r="D46" s="116" t="s">
        <v>77</v>
      </c>
      <c r="E46" s="116" t="s">
        <v>84</v>
      </c>
      <c r="F46" s="106" t="s">
        <v>82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113"/>
      <c r="R46" s="113"/>
      <c r="S46" s="13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4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4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113"/>
      <c r="BD46" s="113"/>
      <c r="BE46" s="113"/>
      <c r="BF46" s="113"/>
      <c r="BG46" s="113"/>
      <c r="BH46" s="113"/>
      <c r="BI46" s="113"/>
      <c r="BJ46" s="120">
        <f>ROUND(-1670863.18776713/554739131.830224,5)</f>
        <v>-3.0100000000000001E-3</v>
      </c>
      <c r="BK46" s="113"/>
      <c r="BL46" s="121">
        <f t="shared" si="28"/>
        <v>-3.0100000000000001E-3</v>
      </c>
      <c r="BM46" s="121">
        <f t="shared" si="28"/>
        <v>-3.0100000000000001E-3</v>
      </c>
    </row>
    <row r="47" spans="1:65" ht="15.75" customHeight="1">
      <c r="A47" s="105"/>
      <c r="B47" s="105"/>
      <c r="C47" s="60"/>
      <c r="D47" s="60"/>
      <c r="E47" s="60"/>
      <c r="F47" s="106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4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4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4"/>
      <c r="BC47" s="113"/>
      <c r="BD47" s="113"/>
      <c r="BE47" s="113"/>
      <c r="BF47" s="113"/>
      <c r="BG47" s="113"/>
      <c r="BH47" s="113"/>
      <c r="BI47" s="113"/>
      <c r="BJ47" s="118"/>
      <c r="BK47" s="113"/>
      <c r="BL47" s="118"/>
      <c r="BM47" s="113"/>
    </row>
    <row r="48" spans="1:65" ht="15.75" customHeight="1">
      <c r="A48" s="105" t="s">
        <v>45</v>
      </c>
      <c r="B48" s="105" t="s">
        <v>28</v>
      </c>
      <c r="C48" s="105" t="s">
        <v>80</v>
      </c>
      <c r="D48" s="105" t="s">
        <v>77</v>
      </c>
      <c r="E48" s="105" t="s">
        <v>70</v>
      </c>
      <c r="F48" s="106" t="s">
        <v>76</v>
      </c>
      <c r="G48" s="124">
        <f>2551.07634795544*I48/SUM(I48,I60,I72)</f>
        <v>450.89095821409552</v>
      </c>
      <c r="H48" s="124">
        <f>16919.1642728685*I48/SUM(I48,I60,I72)</f>
        <v>2990.3841166060702</v>
      </c>
      <c r="I48" s="5">
        <v>3443</v>
      </c>
      <c r="J48" s="5">
        <v>3435</v>
      </c>
      <c r="K48" s="5">
        <v>3434</v>
      </c>
      <c r="L48" s="5">
        <v>3442</v>
      </c>
      <c r="M48" s="5">
        <v>3446</v>
      </c>
      <c r="N48" s="5">
        <v>3452</v>
      </c>
      <c r="O48" s="5">
        <v>3450</v>
      </c>
      <c r="P48" s="48">
        <v>3447</v>
      </c>
      <c r="Q48" s="5">
        <v>3446</v>
      </c>
      <c r="R48" s="5">
        <v>3445</v>
      </c>
      <c r="S48" s="124">
        <f>16504.0478920339*R48/SUM(R48,R60)</f>
        <v>2966.6811890454883</v>
      </c>
      <c r="T48" s="124">
        <f>2660.83602054222*R48/SUM(R48,R60)</f>
        <v>478.297943687344</v>
      </c>
      <c r="U48" s="124">
        <f>2365.88357066299*SUM(S48:T48)/SUM(S48:T48,S60:T60)</f>
        <v>425.27883646929303</v>
      </c>
      <c r="V48" s="124">
        <f>16848.1549124687*SUM(S48:T48)/SUM(S48:T48,S60:T60)</f>
        <v>3028.5360643597533</v>
      </c>
      <c r="W48" s="5">
        <v>3449</v>
      </c>
      <c r="X48" s="5">
        <v>3442</v>
      </c>
      <c r="Y48" s="5">
        <v>3435</v>
      </c>
      <c r="Z48" s="5">
        <v>3432</v>
      </c>
      <c r="AA48" s="5">
        <v>3427</v>
      </c>
      <c r="AB48" s="5">
        <v>3428</v>
      </c>
      <c r="AC48" s="5">
        <v>3437</v>
      </c>
      <c r="AD48" s="48">
        <v>3439</v>
      </c>
      <c r="AE48" s="5">
        <v>3434</v>
      </c>
      <c r="AF48" s="5">
        <v>3454</v>
      </c>
      <c r="AG48" s="5">
        <v>3464</v>
      </c>
      <c r="AH48" s="5">
        <v>3465</v>
      </c>
      <c r="AI48" s="5">
        <v>3463</v>
      </c>
      <c r="AJ48" s="5">
        <v>3459</v>
      </c>
      <c r="AK48" s="5">
        <v>3456</v>
      </c>
      <c r="AL48" s="5">
        <v>3458</v>
      </c>
      <c r="AM48" s="5">
        <v>3471</v>
      </c>
      <c r="AN48" s="5">
        <v>3466</v>
      </c>
      <c r="AO48" s="5">
        <v>3464</v>
      </c>
      <c r="AP48" s="48">
        <v>3461</v>
      </c>
      <c r="AQ48" s="5">
        <v>3466</v>
      </c>
      <c r="AR48" s="5">
        <v>3461</v>
      </c>
      <c r="AS48" s="5">
        <v>3457</v>
      </c>
      <c r="AT48" s="5">
        <v>3451</v>
      </c>
      <c r="AU48" s="5">
        <v>3461</v>
      </c>
      <c r="AV48" s="5">
        <v>3448</v>
      </c>
      <c r="AW48" s="5">
        <v>3450</v>
      </c>
      <c r="AX48" s="5">
        <v>3449</v>
      </c>
      <c r="AY48" s="5">
        <v>3475</v>
      </c>
      <c r="AZ48" s="5">
        <v>3469</v>
      </c>
      <c r="BA48" s="5">
        <v>3485</v>
      </c>
      <c r="BB48" s="48">
        <v>3487</v>
      </c>
      <c r="BC48" s="5">
        <v>3491</v>
      </c>
      <c r="BD48" s="5">
        <v>3497</v>
      </c>
      <c r="BE48" s="5">
        <v>3493</v>
      </c>
      <c r="BF48" s="5">
        <v>3494</v>
      </c>
      <c r="BG48" s="5">
        <v>3494</v>
      </c>
      <c r="BH48" s="5">
        <v>3494</v>
      </c>
      <c r="BI48" s="5">
        <v>1918.6922925915449</v>
      </c>
      <c r="BJ48" s="58">
        <v>1578.3077074084551</v>
      </c>
      <c r="BK48" s="58">
        <v>24.683701497254535</v>
      </c>
      <c r="BL48" s="58">
        <v>3472.3162985027457</v>
      </c>
      <c r="BM48" s="5">
        <v>3501</v>
      </c>
    </row>
    <row r="49" spans="1:65" ht="15.75" customHeight="1">
      <c r="A49" s="105" t="s">
        <v>45</v>
      </c>
      <c r="B49" s="105" t="s">
        <v>28</v>
      </c>
      <c r="C49" s="105" t="s">
        <v>80</v>
      </c>
      <c r="D49" s="105" t="s">
        <v>77</v>
      </c>
      <c r="E49" s="105" t="s">
        <v>74</v>
      </c>
      <c r="F49" s="106" t="s">
        <v>71</v>
      </c>
      <c r="G49" s="5">
        <f>G$40/G$41*G$42/G$43*G48</f>
        <v>61136.789873766495</v>
      </c>
      <c r="H49" s="5">
        <f t="shared" ref="H49:BM49" si="29">H$40/H$41*H$42/H$43*H48</f>
        <v>366885.315690146</v>
      </c>
      <c r="I49" s="5">
        <f t="shared" si="29"/>
        <v>410439.86695139343</v>
      </c>
      <c r="J49" s="5">
        <f t="shared" si="29"/>
        <v>527918.47916713171</v>
      </c>
      <c r="K49" s="5">
        <f t="shared" si="29"/>
        <v>509968.02974697488</v>
      </c>
      <c r="L49" s="5">
        <f t="shared" si="29"/>
        <v>460108.99839019356</v>
      </c>
      <c r="M49" s="5">
        <f t="shared" si="29"/>
        <v>414368.94803626626</v>
      </c>
      <c r="N49" s="5">
        <f t="shared" si="29"/>
        <v>387583.21848768153</v>
      </c>
      <c r="O49" s="5">
        <f t="shared" si="29"/>
        <v>372694.80426056869</v>
      </c>
      <c r="P49" s="48">
        <f t="shared" si="29"/>
        <v>407497.68580365164</v>
      </c>
      <c r="Q49" s="5">
        <f t="shared" si="29"/>
        <v>436345.92093404598</v>
      </c>
      <c r="R49" s="5">
        <f t="shared" si="29"/>
        <v>503064.16433705209</v>
      </c>
      <c r="S49" s="5">
        <f t="shared" si="29"/>
        <v>402255.49253752979</v>
      </c>
      <c r="T49" s="5">
        <f t="shared" si="29"/>
        <v>67275.27587031819</v>
      </c>
      <c r="U49" s="5">
        <f t="shared" si="29"/>
        <v>52176.76194436814</v>
      </c>
      <c r="V49" s="5">
        <f t="shared" si="29"/>
        <v>385444.60456161847</v>
      </c>
      <c r="W49" s="5">
        <f t="shared" si="29"/>
        <v>426512.31800217257</v>
      </c>
      <c r="X49" s="5">
        <f t="shared" si="29"/>
        <v>548752.936740987</v>
      </c>
      <c r="Y49" s="5">
        <f t="shared" si="29"/>
        <v>529170.06697871722</v>
      </c>
      <c r="Z49" s="5">
        <f t="shared" si="29"/>
        <v>475908.00367186102</v>
      </c>
      <c r="AA49" s="5">
        <f t="shared" si="29"/>
        <v>427476.16321562207</v>
      </c>
      <c r="AB49" s="5">
        <f t="shared" si="29"/>
        <v>399264.64924069186</v>
      </c>
      <c r="AC49" s="5">
        <f t="shared" si="29"/>
        <v>385158.63950727554</v>
      </c>
      <c r="AD49" s="48">
        <f t="shared" si="29"/>
        <v>421737.19747854571</v>
      </c>
      <c r="AE49" s="5">
        <f t="shared" si="29"/>
        <v>451067.78045443952</v>
      </c>
      <c r="AF49" s="5">
        <f t="shared" si="29"/>
        <v>523217.61542407807</v>
      </c>
      <c r="AG49" s="5">
        <f t="shared" si="29"/>
        <v>487230.93772512197</v>
      </c>
      <c r="AH49" s="5">
        <f t="shared" si="29"/>
        <v>440993.77601050719</v>
      </c>
      <c r="AI49" s="5">
        <f t="shared" si="29"/>
        <v>428243.59444520838</v>
      </c>
      <c r="AJ49" s="5">
        <f t="shared" si="29"/>
        <v>551463.22143726726</v>
      </c>
      <c r="AK49" s="5">
        <f t="shared" si="29"/>
        <v>532405.16782487533</v>
      </c>
      <c r="AL49" s="5">
        <f t="shared" si="29"/>
        <v>479513.36733604176</v>
      </c>
      <c r="AM49" s="5">
        <f t="shared" si="29"/>
        <v>432964.62285422353</v>
      </c>
      <c r="AN49" s="5">
        <f t="shared" si="29"/>
        <v>403690.57008991775</v>
      </c>
      <c r="AO49" s="5">
        <f t="shared" si="29"/>
        <v>388184.3256482986</v>
      </c>
      <c r="AP49" s="48">
        <f t="shared" si="29"/>
        <v>424435.13825915864</v>
      </c>
      <c r="AQ49" s="5">
        <f t="shared" si="29"/>
        <v>455271.09116339177</v>
      </c>
      <c r="AR49" s="5">
        <f t="shared" si="29"/>
        <v>524277.98696662829</v>
      </c>
      <c r="AS49" s="5">
        <f t="shared" si="29"/>
        <v>486246.34864773287</v>
      </c>
      <c r="AT49" s="5">
        <f t="shared" si="29"/>
        <v>439211.9829761213</v>
      </c>
      <c r="AU49" s="5">
        <f t="shared" si="29"/>
        <v>427996.26923906041</v>
      </c>
      <c r="AV49" s="5">
        <f t="shared" si="29"/>
        <v>549709.50781026238</v>
      </c>
      <c r="AW49" s="5">
        <f t="shared" si="29"/>
        <v>531480.85329740157</v>
      </c>
      <c r="AX49" s="5">
        <f t="shared" si="29"/>
        <v>478265.35683690227</v>
      </c>
      <c r="AY49" s="5">
        <f t="shared" si="29"/>
        <v>433463.57373046008</v>
      </c>
      <c r="AZ49" s="5">
        <f t="shared" si="29"/>
        <v>404039.98489380401</v>
      </c>
      <c r="BA49" s="5">
        <f t="shared" si="29"/>
        <v>390537.63709131663</v>
      </c>
      <c r="BB49" s="48">
        <f t="shared" si="29"/>
        <v>427623.61372715578</v>
      </c>
      <c r="BC49" s="5">
        <f t="shared" si="29"/>
        <v>458554.92765476072</v>
      </c>
      <c r="BD49" s="5">
        <f t="shared" si="29"/>
        <v>529731.32632831531</v>
      </c>
      <c r="BE49" s="5">
        <f t="shared" si="29"/>
        <v>491309.94961716252</v>
      </c>
      <c r="BF49" s="5">
        <f t="shared" si="29"/>
        <v>444684.63301030657</v>
      </c>
      <c r="BG49" s="5">
        <f t="shared" si="29"/>
        <v>432077.13514050189</v>
      </c>
      <c r="BH49" s="5">
        <f t="shared" si="29"/>
        <v>557043.21934137377</v>
      </c>
      <c r="BI49" s="5">
        <f t="shared" si="29"/>
        <v>295579.19329904404</v>
      </c>
      <c r="BJ49" s="58">
        <f t="shared" si="29"/>
        <v>260444.95859044479</v>
      </c>
      <c r="BK49" s="58">
        <f t="shared" si="29"/>
        <v>3422.8354029109942</v>
      </c>
      <c r="BL49" s="58">
        <f t="shared" si="29"/>
        <v>521768.46629417315</v>
      </c>
      <c r="BM49" s="5">
        <f t="shared" si="29"/>
        <v>552154.35301068088</v>
      </c>
    </row>
    <row r="50" spans="1:65" ht="15.75" customHeight="1">
      <c r="A50" s="105" t="s">
        <v>45</v>
      </c>
      <c r="B50" s="105" t="s">
        <v>28</v>
      </c>
      <c r="C50" s="105" t="s">
        <v>80</v>
      </c>
      <c r="D50" s="105" t="s">
        <v>77</v>
      </c>
      <c r="E50" s="105" t="s">
        <v>70</v>
      </c>
      <c r="F50" s="106" t="s">
        <v>79</v>
      </c>
      <c r="G50" s="124">
        <f>5651577.46666667*I50/SUM(I50,I62,I74)</f>
        <v>192579.39097713568</v>
      </c>
      <c r="H50" s="124">
        <f>36234668.8*I50/SUM(I50,I62,I74)</f>
        <v>1234708.4492637964</v>
      </c>
      <c r="I50" s="5">
        <v>1362949</v>
      </c>
      <c r="J50" s="5">
        <v>2049909</v>
      </c>
      <c r="K50" s="5">
        <v>2905169</v>
      </c>
      <c r="L50" s="5">
        <v>2520391</v>
      </c>
      <c r="M50" s="5">
        <v>1898168</v>
      </c>
      <c r="N50" s="5">
        <v>1440467</v>
      </c>
      <c r="O50" s="5">
        <v>1249310</v>
      </c>
      <c r="P50" s="48">
        <v>1598397</v>
      </c>
      <c r="Q50" s="5">
        <v>1836085</v>
      </c>
      <c r="R50" s="5">
        <v>2023088</v>
      </c>
      <c r="S50" s="124">
        <f>42084005.2228794*R50/SUM(R50,R62)</f>
        <v>1643879.3411940718</v>
      </c>
      <c r="T50" s="124">
        <f>6077228.28108147*R50/SUM(R50,R62)</f>
        <v>237387.81444592393</v>
      </c>
      <c r="U50" s="124">
        <f>6006631.40627688*SUM(S50:T50)/SUM(S50:T50,S62:T62)</f>
        <v>234630.16950624887</v>
      </c>
      <c r="V50" s="124">
        <f>34484570.634299*SUM(S50:T50)/SUM(S50:T50,S62:T62)</f>
        <v>1347031.3235502739</v>
      </c>
      <c r="W50" s="5">
        <v>1493774</v>
      </c>
      <c r="X50" s="5">
        <v>1979607</v>
      </c>
      <c r="Y50" s="5">
        <v>2253576</v>
      </c>
      <c r="Z50" s="5">
        <v>1750714</v>
      </c>
      <c r="AA50" s="5">
        <v>1745147</v>
      </c>
      <c r="AB50" s="5">
        <v>1360862</v>
      </c>
      <c r="AC50" s="5">
        <v>1349437</v>
      </c>
      <c r="AD50" s="48">
        <v>1602917</v>
      </c>
      <c r="AE50" s="5">
        <v>1739222</v>
      </c>
      <c r="AF50" s="5">
        <v>1942168</v>
      </c>
      <c r="AG50" s="5">
        <v>1833361</v>
      </c>
      <c r="AH50" s="5">
        <v>1369833</v>
      </c>
      <c r="AI50" s="5">
        <v>1387479</v>
      </c>
      <c r="AJ50" s="5">
        <v>2037793</v>
      </c>
      <c r="AK50" s="5">
        <v>2111798</v>
      </c>
      <c r="AL50" s="5">
        <v>2164486</v>
      </c>
      <c r="AM50" s="5">
        <v>2329974</v>
      </c>
      <c r="AN50" s="5">
        <v>1448282</v>
      </c>
      <c r="AO50" s="5">
        <v>1292771</v>
      </c>
      <c r="AP50" s="48">
        <v>1534336</v>
      </c>
      <c r="AQ50" s="5">
        <v>1742705</v>
      </c>
      <c r="AR50" s="5">
        <v>1786948</v>
      </c>
      <c r="AS50" s="5">
        <v>1642064</v>
      </c>
      <c r="AT50" s="5">
        <v>1326916</v>
      </c>
      <c r="AU50" s="5">
        <v>1557474</v>
      </c>
      <c r="AV50" s="5">
        <v>2159737</v>
      </c>
      <c r="AW50" s="5">
        <v>2129119</v>
      </c>
      <c r="AX50" s="5">
        <v>1873366</v>
      </c>
      <c r="AY50" s="5">
        <v>1612086</v>
      </c>
      <c r="AZ50" s="5">
        <v>1497974</v>
      </c>
      <c r="BA50" s="5">
        <v>1416848</v>
      </c>
      <c r="BB50" s="48">
        <v>1501833</v>
      </c>
      <c r="BC50" s="5">
        <v>1676951</v>
      </c>
      <c r="BD50" s="5">
        <v>1889593</v>
      </c>
      <c r="BE50" s="5">
        <v>1728551</v>
      </c>
      <c r="BF50" s="5">
        <v>1400870</v>
      </c>
      <c r="BG50" s="5">
        <v>1534067</v>
      </c>
      <c r="BH50" s="5">
        <v>2136768</v>
      </c>
      <c r="BI50" s="5">
        <v>1210195</v>
      </c>
      <c r="BJ50" s="58">
        <v>995501</v>
      </c>
      <c r="BK50" s="58">
        <v>14099.087481582517</v>
      </c>
      <c r="BL50" s="58">
        <v>1983352.9125184175</v>
      </c>
      <c r="BM50" s="5">
        <v>1855591</v>
      </c>
    </row>
    <row r="51" spans="1:65" ht="15.75" customHeight="1">
      <c r="A51" s="105" t="s">
        <v>45</v>
      </c>
      <c r="B51" s="105" t="s">
        <v>28</v>
      </c>
      <c r="C51" s="105" t="s">
        <v>80</v>
      </c>
      <c r="D51" s="105" t="s">
        <v>77</v>
      </c>
      <c r="E51" s="105" t="s">
        <v>70</v>
      </c>
      <c r="F51" s="106" t="s">
        <v>71</v>
      </c>
      <c r="G51" s="5"/>
      <c r="H51" s="5"/>
      <c r="I51" s="5"/>
      <c r="J51" s="5"/>
      <c r="K51" s="5"/>
      <c r="L51" s="5"/>
      <c r="M51" s="5"/>
      <c r="N51" s="5"/>
      <c r="O51" s="5"/>
      <c r="P51" s="48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48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48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48"/>
      <c r="BC51" s="5"/>
      <c r="BD51" s="5"/>
      <c r="BE51" s="5"/>
      <c r="BF51" s="5"/>
      <c r="BG51" s="5"/>
      <c r="BH51" s="5"/>
      <c r="BI51" s="58"/>
      <c r="BJ51" s="58">
        <v>110203.23471973019</v>
      </c>
      <c r="BK51" s="58"/>
      <c r="BL51" s="58">
        <v>227518.68486975692</v>
      </c>
      <c r="BM51" s="58">
        <v>222089.62</v>
      </c>
    </row>
    <row r="52" spans="1:65" ht="15.75" customHeight="1">
      <c r="A52" s="105" t="s">
        <v>45</v>
      </c>
      <c r="B52" s="105" t="s">
        <v>28</v>
      </c>
      <c r="C52" s="105" t="s">
        <v>80</v>
      </c>
      <c r="D52" s="105" t="s">
        <v>77</v>
      </c>
      <c r="E52" s="116" t="s">
        <v>81</v>
      </c>
      <c r="F52" s="106" t="s">
        <v>71</v>
      </c>
      <c r="G52" s="5"/>
      <c r="H52" s="5"/>
      <c r="I52" s="5"/>
      <c r="J52" s="5"/>
      <c r="K52" s="5"/>
      <c r="L52" s="5"/>
      <c r="M52" s="5"/>
      <c r="N52" s="5"/>
      <c r="O52" s="5"/>
      <c r="P52" s="48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4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48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48"/>
      <c r="BC52" s="5"/>
      <c r="BD52" s="5"/>
      <c r="BE52" s="5"/>
      <c r="BF52" s="5"/>
      <c r="BG52" s="5"/>
      <c r="BH52" s="5"/>
      <c r="BI52" s="5"/>
      <c r="BJ52" s="122">
        <f>BJ50*BJ44</f>
        <v>-3334.9283500000001</v>
      </c>
      <c r="BK52" s="111"/>
      <c r="BL52" s="122">
        <f t="shared" ref="BL52:BM52" si="30">BL50*BL44</f>
        <v>-2221.3552620206274</v>
      </c>
      <c r="BM52" s="111">
        <f t="shared" si="30"/>
        <v>3247.2842500000002</v>
      </c>
    </row>
    <row r="53" spans="1:65" ht="15.75" customHeight="1">
      <c r="A53" s="105" t="s">
        <v>45</v>
      </c>
      <c r="B53" s="105" t="s">
        <v>28</v>
      </c>
      <c r="C53" s="105" t="s">
        <v>80</v>
      </c>
      <c r="D53" s="105" t="s">
        <v>77</v>
      </c>
      <c r="E53" s="116" t="s">
        <v>83</v>
      </c>
      <c r="F53" s="106" t="s">
        <v>71</v>
      </c>
      <c r="G53" s="5"/>
      <c r="H53" s="5"/>
      <c r="I53" s="5"/>
      <c r="J53" s="5"/>
      <c r="K53" s="5"/>
      <c r="L53" s="5"/>
      <c r="M53" s="5"/>
      <c r="N53" s="5"/>
      <c r="O53" s="5"/>
      <c r="P53" s="48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4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48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48"/>
      <c r="BC53" s="5"/>
      <c r="BD53" s="5"/>
      <c r="BE53" s="5"/>
      <c r="BF53" s="5"/>
      <c r="BG53" s="5"/>
      <c r="BH53" s="5"/>
      <c r="BI53" s="5"/>
      <c r="BJ53" s="122">
        <f>BJ50*BJ45</f>
        <v>2837.17785</v>
      </c>
      <c r="BK53" s="111"/>
      <c r="BL53" s="122">
        <f t="shared" ref="BL53:BM53" si="31">BL50*BL45</f>
        <v>5652.55580067749</v>
      </c>
      <c r="BM53" s="111">
        <f t="shared" si="31"/>
        <v>5288.4343500000004</v>
      </c>
    </row>
    <row r="54" spans="1:65" ht="15.75" customHeight="1">
      <c r="A54" s="105" t="s">
        <v>45</v>
      </c>
      <c r="B54" s="105" t="s">
        <v>28</v>
      </c>
      <c r="C54" s="105" t="s">
        <v>80</v>
      </c>
      <c r="D54" s="105" t="s">
        <v>77</v>
      </c>
      <c r="E54" s="116" t="s">
        <v>84</v>
      </c>
      <c r="F54" s="106" t="s">
        <v>71</v>
      </c>
      <c r="G54" s="5"/>
      <c r="H54" s="5"/>
      <c r="I54" s="5"/>
      <c r="J54" s="5"/>
      <c r="K54" s="5"/>
      <c r="L54" s="5"/>
      <c r="M54" s="5"/>
      <c r="N54" s="5"/>
      <c r="O54" s="5"/>
      <c r="P54" s="48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48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48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48"/>
      <c r="BC54" s="5"/>
      <c r="BD54" s="5"/>
      <c r="BE54" s="5"/>
      <c r="BF54" s="5"/>
      <c r="BG54" s="5"/>
      <c r="BH54" s="5"/>
      <c r="BI54" s="5"/>
      <c r="BJ54" s="122">
        <f>BJ50*BJ46</f>
        <v>-2996.4580100000003</v>
      </c>
      <c r="BK54" s="111"/>
      <c r="BL54" s="122">
        <f t="shared" ref="BL54:BM54" si="32">BL50*BL46</f>
        <v>-5969.8922666804365</v>
      </c>
      <c r="BM54" s="111">
        <f t="shared" si="32"/>
        <v>-5585.3289100000002</v>
      </c>
    </row>
    <row r="55" spans="1:65" ht="15.75" customHeight="1">
      <c r="A55" s="105" t="s">
        <v>45</v>
      </c>
      <c r="B55" s="105" t="s">
        <v>28</v>
      </c>
      <c r="C55" s="105" t="s">
        <v>80</v>
      </c>
      <c r="D55" s="105" t="s">
        <v>77</v>
      </c>
      <c r="E55" s="105" t="s">
        <v>72</v>
      </c>
      <c r="F55" s="106" t="s">
        <v>71</v>
      </c>
      <c r="G55" s="5"/>
      <c r="H55" s="5"/>
      <c r="I55" s="5"/>
      <c r="J55" s="5"/>
      <c r="K55" s="5"/>
      <c r="L55" s="5"/>
      <c r="M55" s="5"/>
      <c r="N55" s="5"/>
      <c r="O55" s="5"/>
      <c r="P55" s="48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48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48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48"/>
      <c r="BC55" s="5"/>
      <c r="BD55" s="5"/>
      <c r="BE55" s="5"/>
      <c r="BF55" s="5"/>
      <c r="BG55" s="5"/>
      <c r="BH55" s="5"/>
      <c r="BI55" s="5"/>
      <c r="BJ55" s="58">
        <f>BJ$38/BJ$41/12*BJ48</f>
        <v>17808.422618924302</v>
      </c>
      <c r="BK55" s="58"/>
      <c r="BL55" s="58">
        <f>BL$38/BL$41/12*BL48</f>
        <v>39178.973669114159</v>
      </c>
      <c r="BM55" s="58">
        <f>BM$38/BM$41/12*BM48</f>
        <v>39502.618720165025</v>
      </c>
    </row>
    <row r="56" spans="1:65" ht="15.75" customHeight="1">
      <c r="A56" s="105" t="s">
        <v>45</v>
      </c>
      <c r="B56" s="105" t="s">
        <v>28</v>
      </c>
      <c r="C56" s="105" t="s">
        <v>80</v>
      </c>
      <c r="D56" s="105" t="s">
        <v>77</v>
      </c>
      <c r="E56" s="105" t="s">
        <v>73</v>
      </c>
      <c r="F56" s="106" t="s">
        <v>71</v>
      </c>
      <c r="G56" s="5"/>
      <c r="H56" s="5"/>
      <c r="I56" s="5"/>
      <c r="J56" s="5"/>
      <c r="K56" s="5"/>
      <c r="L56" s="5"/>
      <c r="M56" s="5"/>
      <c r="N56" s="5"/>
      <c r="O56" s="5"/>
      <c r="P56" s="48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48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48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48"/>
      <c r="BC56" s="5"/>
      <c r="BD56" s="5"/>
      <c r="BE56" s="5"/>
      <c r="BF56" s="5"/>
      <c r="BG56" s="5"/>
      <c r="BH56" s="5"/>
      <c r="BI56" s="125"/>
      <c r="BJ56" s="58">
        <f>BJ$39/BJ$43*BJ50</f>
        <v>24251.909263780519</v>
      </c>
      <c r="BK56" s="58"/>
      <c r="BL56" s="58">
        <f>BL$39/BL$43*BL50</f>
        <v>48317.475193346349</v>
      </c>
      <c r="BM56" s="58">
        <f>BM$39/BM$43*BM50</f>
        <v>45205.001866083265</v>
      </c>
    </row>
    <row r="57" spans="1:65" ht="15.75" customHeight="1">
      <c r="A57" s="105" t="s">
        <v>45</v>
      </c>
      <c r="B57" s="105" t="s">
        <v>28</v>
      </c>
      <c r="C57" s="105" t="s">
        <v>80</v>
      </c>
      <c r="D57" s="105" t="s">
        <v>77</v>
      </c>
      <c r="E57" s="105" t="s">
        <v>88</v>
      </c>
      <c r="F57" s="106" t="s">
        <v>71</v>
      </c>
      <c r="G57" s="122">
        <f>G$40/G$43*G50</f>
        <v>10565.744816064318</v>
      </c>
      <c r="H57" s="122">
        <f t="shared" ref="H57:BF57" si="33">H$40/H$43*H50</f>
        <v>67741.487450797023</v>
      </c>
      <c r="I57" s="122">
        <f t="shared" si="33"/>
        <v>74777.323047094789</v>
      </c>
      <c r="J57" s="122">
        <f t="shared" si="33"/>
        <v>112466.94301118166</v>
      </c>
      <c r="K57" s="122">
        <f t="shared" si="33"/>
        <v>159390.23457180374</v>
      </c>
      <c r="L57" s="122">
        <f t="shared" si="33"/>
        <v>138279.63629746257</v>
      </c>
      <c r="M57" s="122">
        <f t="shared" si="33"/>
        <v>104141.77033304829</v>
      </c>
      <c r="N57" s="122">
        <f t="shared" si="33"/>
        <v>79030.298417387225</v>
      </c>
      <c r="O57" s="122">
        <f t="shared" si="33"/>
        <v>68542.592170335061</v>
      </c>
      <c r="P57" s="126">
        <f t="shared" si="33"/>
        <v>87695.026612519738</v>
      </c>
      <c r="Q57" s="122">
        <f t="shared" si="33"/>
        <v>100735.62634179638</v>
      </c>
      <c r="R57" s="122">
        <f t="shared" si="33"/>
        <v>110995.42604213431</v>
      </c>
      <c r="S57" s="122">
        <f t="shared" si="33"/>
        <v>90190.386101691605</v>
      </c>
      <c r="T57" s="122">
        <f t="shared" si="33"/>
        <v>13510.59884431404</v>
      </c>
      <c r="U57" s="122">
        <f t="shared" si="33"/>
        <v>12872.83381972721</v>
      </c>
      <c r="V57" s="122">
        <f t="shared" si="33"/>
        <v>76664.423090507247</v>
      </c>
      <c r="W57" s="122">
        <f t="shared" si="33"/>
        <v>85016.079385421428</v>
      </c>
      <c r="X57" s="122">
        <f t="shared" si="33"/>
        <v>112666.59204400127</v>
      </c>
      <c r="Y57" s="122">
        <f t="shared" si="33"/>
        <v>128259.15842495616</v>
      </c>
      <c r="Z57" s="122">
        <f t="shared" si="33"/>
        <v>99639.463804543848</v>
      </c>
      <c r="AA57" s="122">
        <f t="shared" si="33"/>
        <v>99322.625705916711</v>
      </c>
      <c r="AB57" s="122">
        <f t="shared" si="33"/>
        <v>77451.576894900674</v>
      </c>
      <c r="AC57" s="122">
        <f t="shared" si="33"/>
        <v>76801.338835476403</v>
      </c>
      <c r="AD57" s="126">
        <f t="shared" si="33"/>
        <v>91227.80214426115</v>
      </c>
      <c r="AE57" s="122">
        <f t="shared" si="33"/>
        <v>98985.412532867369</v>
      </c>
      <c r="AF57" s="122">
        <f t="shared" si="33"/>
        <v>110535.80318563929</v>
      </c>
      <c r="AG57" s="122">
        <f t="shared" si="33"/>
        <v>104343.20340167629</v>
      </c>
      <c r="AH57" s="122">
        <f t="shared" si="33"/>
        <v>77962.14894138604</v>
      </c>
      <c r="AI57" s="122">
        <f t="shared" si="33"/>
        <v>78966.446604108205</v>
      </c>
      <c r="AJ57" s="122">
        <f t="shared" si="33"/>
        <v>115978.16768738515</v>
      </c>
      <c r="AK57" s="122">
        <f t="shared" si="33"/>
        <v>120190.05981759905</v>
      </c>
      <c r="AL57" s="122">
        <f t="shared" si="33"/>
        <v>123188.72440183941</v>
      </c>
      <c r="AM57" s="122">
        <f t="shared" si="33"/>
        <v>132607.244837551</v>
      </c>
      <c r="AN57" s="122">
        <f t="shared" si="33"/>
        <v>82426.965179790859</v>
      </c>
      <c r="AO57" s="122">
        <f t="shared" si="33"/>
        <v>73576.271887963405</v>
      </c>
      <c r="AP57" s="126">
        <f t="shared" si="33"/>
        <v>87324.609465628644</v>
      </c>
      <c r="AQ57" s="122">
        <f t="shared" si="33"/>
        <v>99183.642656366254</v>
      </c>
      <c r="AR57" s="122">
        <f t="shared" si="33"/>
        <v>101701.67175598185</v>
      </c>
      <c r="AS57" s="122">
        <f t="shared" si="33"/>
        <v>93455.79945824646</v>
      </c>
      <c r="AT57" s="122">
        <f t="shared" si="33"/>
        <v>75519.587296194644</v>
      </c>
      <c r="AU57" s="122">
        <f t="shared" si="33"/>
        <v>88641.476705800102</v>
      </c>
      <c r="AV57" s="122">
        <f t="shared" si="33"/>
        <v>122918.4416408586</v>
      </c>
      <c r="AW57" s="122">
        <f t="shared" si="33"/>
        <v>121175.86055521724</v>
      </c>
      <c r="AX57" s="122">
        <f t="shared" si="33"/>
        <v>106620.03259793609</v>
      </c>
      <c r="AY57" s="122">
        <f t="shared" si="33"/>
        <v>91749.643086655997</v>
      </c>
      <c r="AZ57" s="122">
        <f t="shared" si="33"/>
        <v>85255.116571380451</v>
      </c>
      <c r="BA57" s="122">
        <f t="shared" si="33"/>
        <v>80637.942583734606</v>
      </c>
      <c r="BB57" s="126">
        <f t="shared" si="33"/>
        <v>85474.746214384242</v>
      </c>
      <c r="BC57" s="122">
        <f t="shared" si="33"/>
        <v>95441.344769330462</v>
      </c>
      <c r="BD57" s="122">
        <f t="shared" si="33"/>
        <v>107543.56983997353</v>
      </c>
      <c r="BE57" s="122">
        <f t="shared" si="33"/>
        <v>98378.087339684309</v>
      </c>
      <c r="BF57" s="122">
        <f t="shared" si="33"/>
        <v>79728.576832007588</v>
      </c>
      <c r="BG57" s="122">
        <f>BG$40/BG$43*BG50</f>
        <v>87309.29970300413</v>
      </c>
      <c r="BH57" s="122">
        <f>BH$40/BH$43*BH50</f>
        <v>121611.1928017412</v>
      </c>
      <c r="BI57" s="122">
        <f>BI$40/BI$43*BI50</f>
        <v>68876.573157545979</v>
      </c>
      <c r="BJ57" s="122">
        <f>BJ51-BJ52-BJ53-BJ54-BJ55-BJ56</f>
        <v>71637.111347025362</v>
      </c>
      <c r="BK57" s="122">
        <f>BK$40/BK$43*BK50</f>
        <v>802.43004671136373</v>
      </c>
      <c r="BL57" s="122">
        <f>BL51-BL52-BL53-BL54-BL55-BL56</f>
        <v>142560.92773531997</v>
      </c>
      <c r="BM57" s="122">
        <f t="shared" ref="BM57" si="34">BM51-BM52-BM53-BM54-BM55-BM56</f>
        <v>134431.60972375172</v>
      </c>
    </row>
    <row r="58" spans="1:65" ht="15.75" customHeight="1" thickBot="1">
      <c r="A58" s="127" t="s">
        <v>45</v>
      </c>
      <c r="B58" s="127" t="s">
        <v>28</v>
      </c>
      <c r="C58" s="127" t="s">
        <v>80</v>
      </c>
      <c r="D58" s="127" t="s">
        <v>77</v>
      </c>
      <c r="E58" s="127" t="s">
        <v>10</v>
      </c>
      <c r="F58" s="128" t="s">
        <v>71</v>
      </c>
      <c r="G58" s="129">
        <f>G57-G49</f>
        <v>-50571.045057702177</v>
      </c>
      <c r="H58" s="129">
        <f t="shared" ref="H58:BM58" si="35">H57-H49</f>
        <v>-299143.82823934895</v>
      </c>
      <c r="I58" s="129">
        <f t="shared" si="35"/>
        <v>-335662.54390429863</v>
      </c>
      <c r="J58" s="129">
        <f t="shared" si="35"/>
        <v>-415451.53615595005</v>
      </c>
      <c r="K58" s="129">
        <f t="shared" si="35"/>
        <v>-350577.79517517111</v>
      </c>
      <c r="L58" s="129">
        <f t="shared" si="35"/>
        <v>-321829.362092731</v>
      </c>
      <c r="M58" s="129">
        <f t="shared" si="35"/>
        <v>-310227.17770321795</v>
      </c>
      <c r="N58" s="129">
        <f t="shared" si="35"/>
        <v>-308552.92007029429</v>
      </c>
      <c r="O58" s="129">
        <f t="shared" si="35"/>
        <v>-304152.21209023363</v>
      </c>
      <c r="P58" s="130">
        <f t="shared" si="35"/>
        <v>-319802.65919113188</v>
      </c>
      <c r="Q58" s="129">
        <f t="shared" si="35"/>
        <v>-335610.29459224961</v>
      </c>
      <c r="R58" s="129">
        <f t="shared" si="35"/>
        <v>-392068.7382949178</v>
      </c>
      <c r="S58" s="129">
        <f t="shared" si="35"/>
        <v>-312065.10643583816</v>
      </c>
      <c r="T58" s="129">
        <f t="shared" si="35"/>
        <v>-53764.677026004152</v>
      </c>
      <c r="U58" s="129">
        <f t="shared" si="35"/>
        <v>-39303.92812464093</v>
      </c>
      <c r="V58" s="129">
        <f t="shared" si="35"/>
        <v>-308780.18147111125</v>
      </c>
      <c r="W58" s="129">
        <f t="shared" si="35"/>
        <v>-341496.23861675116</v>
      </c>
      <c r="X58" s="129">
        <f t="shared" si="35"/>
        <v>-436086.34469698573</v>
      </c>
      <c r="Y58" s="129">
        <f t="shared" si="35"/>
        <v>-400910.90855376108</v>
      </c>
      <c r="Z58" s="129">
        <f t="shared" si="35"/>
        <v>-376268.53986731719</v>
      </c>
      <c r="AA58" s="129">
        <f t="shared" si="35"/>
        <v>-328153.53750970535</v>
      </c>
      <c r="AB58" s="129">
        <f t="shared" si="35"/>
        <v>-321813.07234579115</v>
      </c>
      <c r="AC58" s="129">
        <f t="shared" si="35"/>
        <v>-308357.30067179911</v>
      </c>
      <c r="AD58" s="130">
        <f t="shared" si="35"/>
        <v>-330509.39533428458</v>
      </c>
      <c r="AE58" s="129">
        <f t="shared" si="35"/>
        <v>-352082.36792157218</v>
      </c>
      <c r="AF58" s="129">
        <f t="shared" si="35"/>
        <v>-412681.81223843875</v>
      </c>
      <c r="AG58" s="129">
        <f t="shared" si="35"/>
        <v>-382887.73432344571</v>
      </c>
      <c r="AH58" s="129">
        <f t="shared" si="35"/>
        <v>-363031.62706912117</v>
      </c>
      <c r="AI58" s="129">
        <f t="shared" si="35"/>
        <v>-349277.14784110017</v>
      </c>
      <c r="AJ58" s="129">
        <f t="shared" si="35"/>
        <v>-435485.05374988209</v>
      </c>
      <c r="AK58" s="129">
        <f t="shared" si="35"/>
        <v>-412215.10800727631</v>
      </c>
      <c r="AL58" s="129">
        <f t="shared" si="35"/>
        <v>-356324.64293420233</v>
      </c>
      <c r="AM58" s="129">
        <f t="shared" si="35"/>
        <v>-300357.37801667256</v>
      </c>
      <c r="AN58" s="129">
        <f t="shared" si="35"/>
        <v>-321263.60491012689</v>
      </c>
      <c r="AO58" s="129">
        <f t="shared" si="35"/>
        <v>-314608.0537603352</v>
      </c>
      <c r="AP58" s="130">
        <f t="shared" si="35"/>
        <v>-337110.52879353001</v>
      </c>
      <c r="AQ58" s="129">
        <f t="shared" si="35"/>
        <v>-356087.44850702549</v>
      </c>
      <c r="AR58" s="129">
        <f t="shared" si="35"/>
        <v>-422576.31521064643</v>
      </c>
      <c r="AS58" s="129">
        <f t="shared" si="35"/>
        <v>-392790.54918948642</v>
      </c>
      <c r="AT58" s="129">
        <f t="shared" si="35"/>
        <v>-363692.39567992667</v>
      </c>
      <c r="AU58" s="129">
        <f t="shared" si="35"/>
        <v>-339354.7925332603</v>
      </c>
      <c r="AV58" s="129">
        <f t="shared" si="35"/>
        <v>-426791.06616940378</v>
      </c>
      <c r="AW58" s="129">
        <f t="shared" si="35"/>
        <v>-410304.99274218432</v>
      </c>
      <c r="AX58" s="129">
        <f t="shared" si="35"/>
        <v>-371645.32423896616</v>
      </c>
      <c r="AY58" s="129">
        <f t="shared" si="35"/>
        <v>-341713.93064380408</v>
      </c>
      <c r="AZ58" s="129">
        <f t="shared" si="35"/>
        <v>-318784.86832242354</v>
      </c>
      <c r="BA58" s="129">
        <f t="shared" si="35"/>
        <v>-309899.694507582</v>
      </c>
      <c r="BB58" s="130">
        <f t="shared" si="35"/>
        <v>-342148.86751277151</v>
      </c>
      <c r="BC58" s="129">
        <f t="shared" si="35"/>
        <v>-363113.58288543025</v>
      </c>
      <c r="BD58" s="129">
        <f t="shared" si="35"/>
        <v>-422187.75648834178</v>
      </c>
      <c r="BE58" s="129">
        <f t="shared" si="35"/>
        <v>-392931.86227747821</v>
      </c>
      <c r="BF58" s="129">
        <f t="shared" si="35"/>
        <v>-364956.05617829901</v>
      </c>
      <c r="BG58" s="129">
        <f t="shared" si="35"/>
        <v>-344767.83543749776</v>
      </c>
      <c r="BH58" s="129">
        <f t="shared" si="35"/>
        <v>-435432.02653963258</v>
      </c>
      <c r="BI58" s="129">
        <f t="shared" si="35"/>
        <v>-226702.62014149805</v>
      </c>
      <c r="BJ58" s="129">
        <f t="shared" si="35"/>
        <v>-188807.84724341944</v>
      </c>
      <c r="BK58" s="129">
        <f t="shared" si="35"/>
        <v>-2620.4053561996307</v>
      </c>
      <c r="BL58" s="129">
        <f t="shared" si="35"/>
        <v>-379207.53855885321</v>
      </c>
      <c r="BM58" s="129">
        <f t="shared" si="35"/>
        <v>-417722.74328692915</v>
      </c>
    </row>
    <row r="59" spans="1:65" ht="15.75" customHeight="1" thickTop="1">
      <c r="A59" s="105"/>
      <c r="B59" s="105"/>
      <c r="C59" s="60"/>
      <c r="D59" s="60"/>
      <c r="E59" s="60"/>
      <c r="F59" s="106"/>
      <c r="G59" s="4"/>
      <c r="H59" s="4"/>
      <c r="I59" s="4"/>
      <c r="J59" s="4"/>
      <c r="K59" s="4"/>
      <c r="L59" s="4"/>
      <c r="M59" s="4"/>
      <c r="N59" s="4"/>
      <c r="O59" s="4"/>
      <c r="P59" s="13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31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31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31"/>
      <c r="BC59" s="4"/>
      <c r="BD59" s="4"/>
      <c r="BE59" s="4"/>
      <c r="BF59" s="4"/>
      <c r="BG59" s="4"/>
      <c r="BH59" s="4"/>
      <c r="BI59" s="4"/>
      <c r="BJ59" s="4"/>
      <c r="BK59" s="122"/>
      <c r="BL59" s="122"/>
      <c r="BM59" s="4"/>
    </row>
    <row r="60" spans="1:65" ht="15.75" customHeight="1">
      <c r="A60" s="105" t="s">
        <v>45</v>
      </c>
      <c r="B60" s="105" t="s">
        <v>89</v>
      </c>
      <c r="C60" s="105" t="s">
        <v>80</v>
      </c>
      <c r="D60" s="105" t="s">
        <v>77</v>
      </c>
      <c r="E60" s="105" t="s">
        <v>70</v>
      </c>
      <c r="F60" s="106" t="s">
        <v>76</v>
      </c>
      <c r="G60" s="124">
        <f>2551.07634795544*I60/SUM(I48,I60,I72)</f>
        <v>2050.552025476708</v>
      </c>
      <c r="H60" s="124">
        <f>16919.1642728685*I60/SUM(I48,I60,I72)</f>
        <v>13599.60339756545</v>
      </c>
      <c r="I60" s="5">
        <v>15658</v>
      </c>
      <c r="J60" s="5">
        <v>15685</v>
      </c>
      <c r="K60" s="5">
        <v>15664</v>
      </c>
      <c r="L60" s="5">
        <v>15632</v>
      </c>
      <c r="M60" s="5">
        <v>15656</v>
      </c>
      <c r="N60" s="5">
        <v>15668</v>
      </c>
      <c r="O60" s="5">
        <v>15677</v>
      </c>
      <c r="P60" s="48">
        <v>15704</v>
      </c>
      <c r="Q60" s="5">
        <v>15715</v>
      </c>
      <c r="R60" s="5">
        <v>15720</v>
      </c>
      <c r="S60" s="124">
        <f>16504.0478920339*R60/SUM(R48,R60)</f>
        <v>13537.366702988411</v>
      </c>
      <c r="T60" s="124">
        <f>2660.83602054222*R60/SUM(R48,R60)</f>
        <v>2182.5380768548762</v>
      </c>
      <c r="U60" s="124">
        <f>2365.88357066299*SUM(S60:T60)/SUM(S48:T48,S60:T60)</f>
        <v>1940.6047341936971</v>
      </c>
      <c r="V60" s="124">
        <f>16848.1549124687*SUM(S60:T60)/SUM(S48:T48,S60:T60)</f>
        <v>13819.618848108948</v>
      </c>
      <c r="W60" s="5">
        <v>15822</v>
      </c>
      <c r="X60" s="5">
        <v>15865</v>
      </c>
      <c r="Y60" s="5">
        <v>15887</v>
      </c>
      <c r="Z60" s="5">
        <v>15944</v>
      </c>
      <c r="AA60" s="5">
        <v>15955</v>
      </c>
      <c r="AB60" s="5">
        <v>16004</v>
      </c>
      <c r="AC60" s="5">
        <v>16032</v>
      </c>
      <c r="AD60" s="48">
        <v>16040</v>
      </c>
      <c r="AE60" s="5">
        <v>16067</v>
      </c>
      <c r="AF60" s="5">
        <v>16080</v>
      </c>
      <c r="AG60" s="5">
        <v>16086</v>
      </c>
      <c r="AH60" s="5">
        <v>16086</v>
      </c>
      <c r="AI60" s="5">
        <v>16114</v>
      </c>
      <c r="AJ60" s="5">
        <v>16148</v>
      </c>
      <c r="AK60" s="5">
        <v>16133</v>
      </c>
      <c r="AL60" s="5">
        <v>16145</v>
      </c>
      <c r="AM60" s="5">
        <v>16160</v>
      </c>
      <c r="AN60" s="5">
        <v>16147</v>
      </c>
      <c r="AO60" s="5">
        <v>16177</v>
      </c>
      <c r="AP60" s="48">
        <v>16224</v>
      </c>
      <c r="AQ60" s="5">
        <v>16227</v>
      </c>
      <c r="AR60" s="5">
        <v>16241</v>
      </c>
      <c r="AS60" s="5">
        <v>16288</v>
      </c>
      <c r="AT60" s="5">
        <v>16299</v>
      </c>
      <c r="AU60" s="5">
        <v>16317</v>
      </c>
      <c r="AV60" s="5">
        <v>16346</v>
      </c>
      <c r="AW60" s="5">
        <v>16350</v>
      </c>
      <c r="AX60" s="5">
        <v>16398</v>
      </c>
      <c r="AY60" s="5">
        <v>16404</v>
      </c>
      <c r="AZ60" s="5">
        <v>16403</v>
      </c>
      <c r="BA60" s="5">
        <v>16399</v>
      </c>
      <c r="BB60" s="48">
        <v>16374</v>
      </c>
      <c r="BC60" s="5">
        <v>16421</v>
      </c>
      <c r="BD60" s="5">
        <v>16442</v>
      </c>
      <c r="BE60" s="5">
        <v>16454</v>
      </c>
      <c r="BF60" s="5">
        <v>16471</v>
      </c>
      <c r="BG60" s="5">
        <v>16517</v>
      </c>
      <c r="BH60" s="5">
        <v>16563</v>
      </c>
      <c r="BI60" s="5">
        <v>9304.6308605630002</v>
      </c>
      <c r="BJ60" s="58">
        <v>7279.3691394369998</v>
      </c>
      <c r="BK60" s="58">
        <v>49.883474150778987</v>
      </c>
      <c r="BL60" s="58">
        <v>16571.116525849222</v>
      </c>
      <c r="BM60" s="5">
        <v>16633</v>
      </c>
    </row>
    <row r="61" spans="1:65" ht="15.75" customHeight="1">
      <c r="A61" s="105" t="s">
        <v>45</v>
      </c>
      <c r="B61" s="105" t="s">
        <v>89</v>
      </c>
      <c r="C61" s="105" t="s">
        <v>80</v>
      </c>
      <c r="D61" s="105" t="s">
        <v>77</v>
      </c>
      <c r="E61" s="105" t="s">
        <v>74</v>
      </c>
      <c r="F61" s="106" t="s">
        <v>71</v>
      </c>
      <c r="G61" s="5">
        <f>G$40/G$41*G$42/G$43*G60</f>
        <v>278036.55412240356</v>
      </c>
      <c r="H61" s="5">
        <f t="shared" ref="H61:BM61" si="36">H$40/H$41*H$42/H$43*H60</f>
        <v>1668513.0040883839</v>
      </c>
      <c r="I61" s="5">
        <f t="shared" si="36"/>
        <v>1866589.4384911177</v>
      </c>
      <c r="J61" s="5">
        <f t="shared" si="36"/>
        <v>2410597.1894429289</v>
      </c>
      <c r="K61" s="5">
        <f t="shared" si="36"/>
        <v>2326190.8031323864</v>
      </c>
      <c r="L61" s="5">
        <f t="shared" si="36"/>
        <v>2089606.0031480261</v>
      </c>
      <c r="M61" s="5">
        <f t="shared" si="36"/>
        <v>1882576.9734346445</v>
      </c>
      <c r="N61" s="5">
        <f t="shared" si="36"/>
        <v>1759169.7182111803</v>
      </c>
      <c r="O61" s="5">
        <f t="shared" si="36"/>
        <v>1693546.7960559232</v>
      </c>
      <c r="P61" s="48">
        <f t="shared" si="36"/>
        <v>1856496.564508426</v>
      </c>
      <c r="Q61" s="5">
        <f t="shared" si="36"/>
        <v>1989894.4130814082</v>
      </c>
      <c r="R61" s="5">
        <f t="shared" si="36"/>
        <v>2295549.6845801044</v>
      </c>
      <c r="S61" s="5">
        <f t="shared" si="36"/>
        <v>1835546.1081828645</v>
      </c>
      <c r="T61" s="5">
        <f t="shared" si="36"/>
        <v>306986.16449387575</v>
      </c>
      <c r="U61" s="5">
        <f t="shared" si="36"/>
        <v>238089.60747909063</v>
      </c>
      <c r="V61" s="5">
        <f t="shared" si="36"/>
        <v>1758835.7572448892</v>
      </c>
      <c r="W61" s="5">
        <f t="shared" si="36"/>
        <v>1956589.7058365829</v>
      </c>
      <c r="X61" s="5">
        <f t="shared" si="36"/>
        <v>2529333.3356756996</v>
      </c>
      <c r="Y61" s="5">
        <f t="shared" si="36"/>
        <v>2447430.8163292226</v>
      </c>
      <c r="Z61" s="5">
        <f t="shared" si="36"/>
        <v>2210919.9331422355</v>
      </c>
      <c r="AA61" s="5">
        <f t="shared" si="36"/>
        <v>1990190.3075883426</v>
      </c>
      <c r="AB61" s="5">
        <f t="shared" si="36"/>
        <v>1864011.5071318648</v>
      </c>
      <c r="AC61" s="5">
        <f t="shared" si="36"/>
        <v>1796585.1930697239</v>
      </c>
      <c r="AD61" s="48">
        <f t="shared" si="36"/>
        <v>1967044.0964105476</v>
      </c>
      <c r="AE61" s="5">
        <f t="shared" si="36"/>
        <v>2110456.0362729994</v>
      </c>
      <c r="AF61" s="5">
        <f t="shared" si="36"/>
        <v>2435824.9148868485</v>
      </c>
      <c r="AG61" s="5">
        <f t="shared" si="36"/>
        <v>2262585.6998401592</v>
      </c>
      <c r="AH61" s="5">
        <f t="shared" si="36"/>
        <v>2047280.196509385</v>
      </c>
      <c r="AI61" s="5">
        <f t="shared" si="36"/>
        <v>1992699.1859341864</v>
      </c>
      <c r="AJ61" s="5">
        <f t="shared" si="36"/>
        <v>2574451.6044431892</v>
      </c>
      <c r="AK61" s="5">
        <f t="shared" si="36"/>
        <v>2485327.7119556461</v>
      </c>
      <c r="AL61" s="5">
        <f t="shared" si="36"/>
        <v>2238792.1676230174</v>
      </c>
      <c r="AM61" s="5">
        <f t="shared" si="36"/>
        <v>2015761.5399954631</v>
      </c>
      <c r="AN61" s="5">
        <f t="shared" si="36"/>
        <v>1880666.9461171096</v>
      </c>
      <c r="AO61" s="5">
        <f t="shared" si="36"/>
        <v>1812834.2482715147</v>
      </c>
      <c r="AP61" s="48">
        <f t="shared" si="36"/>
        <v>1989608.6920302196</v>
      </c>
      <c r="AQ61" s="5">
        <f t="shared" si="36"/>
        <v>2131472.5898177605</v>
      </c>
      <c r="AR61" s="5">
        <f t="shared" si="36"/>
        <v>2460213.460365504</v>
      </c>
      <c r="AS61" s="5">
        <f t="shared" si="36"/>
        <v>2290998.127501959</v>
      </c>
      <c r="AT61" s="5">
        <f t="shared" si="36"/>
        <v>2074388.9048182559</v>
      </c>
      <c r="AU61" s="5">
        <f t="shared" si="36"/>
        <v>2017802.6943582052</v>
      </c>
      <c r="AV61" s="5">
        <f t="shared" si="36"/>
        <v>2606018.4497292778</v>
      </c>
      <c r="AW61" s="5">
        <f t="shared" si="36"/>
        <v>2518757.0873659463</v>
      </c>
      <c r="AX61" s="5">
        <f t="shared" si="36"/>
        <v>2273875.1294321609</v>
      </c>
      <c r="AY61" s="5">
        <f t="shared" si="36"/>
        <v>2046197.5434458898</v>
      </c>
      <c r="AZ61" s="5">
        <f t="shared" si="36"/>
        <v>1910483.6760487366</v>
      </c>
      <c r="BA61" s="5">
        <f t="shared" si="36"/>
        <v>1837712.1120977048</v>
      </c>
      <c r="BB61" s="48">
        <f t="shared" si="36"/>
        <v>2008003.7428071261</v>
      </c>
      <c r="BC61" s="5">
        <f t="shared" si="36"/>
        <v>2156955.1609907835</v>
      </c>
      <c r="BD61" s="5">
        <f t="shared" si="36"/>
        <v>2490661.27180159</v>
      </c>
      <c r="BE61" s="5">
        <f t="shared" si="36"/>
        <v>2314346.9541943292</v>
      </c>
      <c r="BF61" s="5">
        <f t="shared" si="36"/>
        <v>2096279.504954997</v>
      </c>
      <c r="BG61" s="5">
        <f t="shared" si="36"/>
        <v>2042535.2149730022</v>
      </c>
      <c r="BH61" s="5">
        <f t="shared" si="36"/>
        <v>2640614.4367347378</v>
      </c>
      <c r="BI61" s="5">
        <f t="shared" si="36"/>
        <v>1433400.9128664809</v>
      </c>
      <c r="BJ61" s="58">
        <f t="shared" si="36"/>
        <v>1201207.4611218963</v>
      </c>
      <c r="BK61" s="58">
        <f t="shared" si="36"/>
        <v>6917.2332748584231</v>
      </c>
      <c r="BL61" s="58">
        <f t="shared" si="36"/>
        <v>2490062.9180016327</v>
      </c>
      <c r="BM61" s="5">
        <f t="shared" si="36"/>
        <v>2623245.7451090133</v>
      </c>
    </row>
    <row r="62" spans="1:65" ht="15.75" customHeight="1">
      <c r="A62" s="105" t="s">
        <v>45</v>
      </c>
      <c r="B62" s="105" t="s">
        <v>89</v>
      </c>
      <c r="C62" s="105" t="s">
        <v>80</v>
      </c>
      <c r="D62" s="105" t="s">
        <v>77</v>
      </c>
      <c r="E62" s="105" t="s">
        <v>70</v>
      </c>
      <c r="F62" s="106" t="s">
        <v>79</v>
      </c>
      <c r="G62" s="124">
        <f>5651577.46666667*I62/SUM(I50,I62,I74)</f>
        <v>5276195.9515928496</v>
      </c>
      <c r="H62" s="124">
        <f>36234668.8*I62/SUM(I50,I62,I74)</f>
        <v>33827938.121252976</v>
      </c>
      <c r="I62" s="5">
        <v>37341410</v>
      </c>
      <c r="J62" s="5">
        <v>45926491</v>
      </c>
      <c r="K62" s="5">
        <v>54567578</v>
      </c>
      <c r="L62" s="5">
        <v>47755749</v>
      </c>
      <c r="M62" s="5">
        <v>41805260</v>
      </c>
      <c r="N62" s="5">
        <v>36268687</v>
      </c>
      <c r="O62" s="5">
        <v>35484722</v>
      </c>
      <c r="P62" s="48">
        <v>39572975</v>
      </c>
      <c r="Q62" s="5">
        <v>44509809</v>
      </c>
      <c r="R62" s="5">
        <v>49768819</v>
      </c>
      <c r="S62" s="124">
        <f>42084005.2228794*R62/SUM(R50,R62)</f>
        <v>40440125.881685331</v>
      </c>
      <c r="T62" s="124">
        <f>6077228.28108147*R62/SUM(R50,R62)</f>
        <v>5839840.4666355466</v>
      </c>
      <c r="U62" s="124">
        <f>6006631.40627688*SUM(S62:T62)/SUM(S50:T50,S62:T62)</f>
        <v>5772001.2367706308</v>
      </c>
      <c r="V62" s="124">
        <f>34484570.634299*SUM(S62:T62)/SUM(S50:T50,S62:T62)</f>
        <v>33137539.310748726</v>
      </c>
      <c r="W62" s="5">
        <v>39613273</v>
      </c>
      <c r="X62" s="5">
        <v>46182629</v>
      </c>
      <c r="Y62" s="5">
        <v>48458322</v>
      </c>
      <c r="Z62" s="5">
        <v>41773283</v>
      </c>
      <c r="AA62" s="5">
        <v>40843677</v>
      </c>
      <c r="AB62" s="5">
        <v>36372781</v>
      </c>
      <c r="AC62" s="5">
        <v>38324821</v>
      </c>
      <c r="AD62" s="48">
        <v>41566448</v>
      </c>
      <c r="AE62" s="5">
        <v>44404765</v>
      </c>
      <c r="AF62" s="5">
        <v>51335663</v>
      </c>
      <c r="AG62" s="5">
        <v>44793190</v>
      </c>
      <c r="AH62" s="5">
        <v>38426065</v>
      </c>
      <c r="AI62" s="5">
        <v>39183430</v>
      </c>
      <c r="AJ62" s="5">
        <v>47933515</v>
      </c>
      <c r="AK62" s="5">
        <v>45761829</v>
      </c>
      <c r="AL62" s="5">
        <v>45367400</v>
      </c>
      <c r="AM62" s="5">
        <v>46423313</v>
      </c>
      <c r="AN62" s="5">
        <v>37491506</v>
      </c>
      <c r="AO62" s="5">
        <v>36308174</v>
      </c>
      <c r="AP62" s="48">
        <v>40009067</v>
      </c>
      <c r="AQ62" s="5">
        <v>43471522</v>
      </c>
      <c r="AR62" s="5">
        <v>46870125</v>
      </c>
      <c r="AS62" s="5">
        <v>46287319</v>
      </c>
      <c r="AT62" s="5">
        <v>38834169</v>
      </c>
      <c r="AU62" s="5">
        <v>40036654</v>
      </c>
      <c r="AV62" s="5">
        <v>48526113</v>
      </c>
      <c r="AW62" s="5">
        <v>47551567</v>
      </c>
      <c r="AX62" s="5">
        <v>43027068</v>
      </c>
      <c r="AY62" s="5">
        <v>39809242</v>
      </c>
      <c r="AZ62" s="5">
        <v>34687616</v>
      </c>
      <c r="BA62" s="5">
        <v>32636705</v>
      </c>
      <c r="BB62" s="48">
        <v>35429341</v>
      </c>
      <c r="BC62" s="5">
        <v>39891540</v>
      </c>
      <c r="BD62" s="5">
        <v>45955692</v>
      </c>
      <c r="BE62" s="5">
        <v>44184788</v>
      </c>
      <c r="BF62" s="5">
        <v>38635093</v>
      </c>
      <c r="BG62" s="5">
        <v>39619795</v>
      </c>
      <c r="BH62" s="5">
        <v>46835079</v>
      </c>
      <c r="BI62" s="5">
        <v>26091046.161212754</v>
      </c>
      <c r="BJ62" s="58">
        <v>20412024.838787246</v>
      </c>
      <c r="BK62" s="58">
        <v>129055.02728757379</v>
      </c>
      <c r="BL62" s="58">
        <v>42871630.972712427</v>
      </c>
      <c r="BM62" s="5">
        <v>41224709</v>
      </c>
    </row>
    <row r="63" spans="1:65" ht="15.75" customHeight="1">
      <c r="A63" s="105" t="s">
        <v>45</v>
      </c>
      <c r="B63" s="105" t="s">
        <v>89</v>
      </c>
      <c r="C63" s="105" t="s">
        <v>80</v>
      </c>
      <c r="D63" s="105" t="s">
        <v>77</v>
      </c>
      <c r="E63" s="105" t="s">
        <v>70</v>
      </c>
      <c r="F63" s="106" t="s">
        <v>71</v>
      </c>
      <c r="G63" s="5"/>
      <c r="H63" s="5"/>
      <c r="I63" s="5"/>
      <c r="J63" s="5"/>
      <c r="K63" s="5"/>
      <c r="L63" s="5"/>
      <c r="M63" s="5"/>
      <c r="N63" s="5"/>
      <c r="O63" s="5"/>
      <c r="P63" s="48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48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48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48"/>
      <c r="BC63" s="5"/>
      <c r="BD63" s="5"/>
      <c r="BE63" s="5"/>
      <c r="BF63" s="5"/>
      <c r="BG63" s="5"/>
      <c r="BH63" s="5"/>
      <c r="BI63" s="58"/>
      <c r="BJ63" s="58">
        <v>1812077.8439134941</v>
      </c>
      <c r="BK63" s="58"/>
      <c r="BL63" s="58">
        <v>3943573.8723468496</v>
      </c>
      <c r="BM63" s="58">
        <v>3943382.74</v>
      </c>
    </row>
    <row r="64" spans="1:65" ht="15.75" customHeight="1">
      <c r="A64" s="105" t="s">
        <v>45</v>
      </c>
      <c r="B64" s="105" t="s">
        <v>89</v>
      </c>
      <c r="C64" s="105" t="s">
        <v>80</v>
      </c>
      <c r="D64" s="105" t="s">
        <v>77</v>
      </c>
      <c r="E64" s="116" t="s">
        <v>81</v>
      </c>
      <c r="F64" s="106" t="s">
        <v>71</v>
      </c>
      <c r="G64" s="5"/>
      <c r="H64" s="5"/>
      <c r="I64" s="5"/>
      <c r="J64" s="5"/>
      <c r="K64" s="5"/>
      <c r="L64" s="5"/>
      <c r="M64" s="5"/>
      <c r="N64" s="5"/>
      <c r="O64" s="5"/>
      <c r="P64" s="48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48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48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48"/>
      <c r="BC64" s="5"/>
      <c r="BD64" s="5"/>
      <c r="BE64" s="5"/>
      <c r="BF64" s="5"/>
      <c r="BG64" s="5"/>
      <c r="BH64" s="5"/>
      <c r="BI64" s="5"/>
      <c r="BJ64" s="122">
        <f>BJ62*BJ44</f>
        <v>-68380.283209937275</v>
      </c>
      <c r="BK64" s="111"/>
      <c r="BL64" s="122">
        <f t="shared" ref="BL64:BM64" si="37">BL62*BL44</f>
        <v>-48016.226689437914</v>
      </c>
      <c r="BM64" s="111">
        <f t="shared" si="37"/>
        <v>72143.240749999997</v>
      </c>
    </row>
    <row r="65" spans="1:65" ht="15.75" customHeight="1">
      <c r="A65" s="105" t="s">
        <v>45</v>
      </c>
      <c r="B65" s="105" t="s">
        <v>89</v>
      </c>
      <c r="C65" s="105" t="s">
        <v>80</v>
      </c>
      <c r="D65" s="105" t="s">
        <v>77</v>
      </c>
      <c r="E65" s="116" t="s">
        <v>83</v>
      </c>
      <c r="F65" s="106" t="s">
        <v>71</v>
      </c>
      <c r="G65" s="5"/>
      <c r="H65" s="5"/>
      <c r="I65" s="5"/>
      <c r="J65" s="5"/>
      <c r="K65" s="5"/>
      <c r="L65" s="5"/>
      <c r="M65" s="5"/>
      <c r="N65" s="5"/>
      <c r="O65" s="5"/>
      <c r="P65" s="48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48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48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48"/>
      <c r="BC65" s="5"/>
      <c r="BD65" s="5"/>
      <c r="BE65" s="5"/>
      <c r="BF65" s="5"/>
      <c r="BG65" s="5"/>
      <c r="BH65" s="5"/>
      <c r="BI65" s="5"/>
      <c r="BJ65" s="122">
        <f>BJ62*BJ45</f>
        <v>58174.270790543655</v>
      </c>
      <c r="BK65" s="111"/>
      <c r="BL65" s="122">
        <f t="shared" ref="BL65:BM65" si="38">BL62*BL45</f>
        <v>122184.14827223042</v>
      </c>
      <c r="BM65" s="111">
        <f t="shared" si="38"/>
        <v>117490.42065</v>
      </c>
    </row>
    <row r="66" spans="1:65" ht="15.75" customHeight="1">
      <c r="A66" s="105" t="s">
        <v>45</v>
      </c>
      <c r="B66" s="105" t="s">
        <v>89</v>
      </c>
      <c r="C66" s="105" t="s">
        <v>80</v>
      </c>
      <c r="D66" s="105" t="s">
        <v>77</v>
      </c>
      <c r="E66" s="116" t="s">
        <v>84</v>
      </c>
      <c r="F66" s="106" t="s">
        <v>71</v>
      </c>
      <c r="G66" s="5"/>
      <c r="H66" s="5"/>
      <c r="I66" s="5"/>
      <c r="J66" s="5"/>
      <c r="K66" s="5"/>
      <c r="L66" s="5"/>
      <c r="M66" s="5"/>
      <c r="N66" s="5"/>
      <c r="O66" s="5"/>
      <c r="P66" s="48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48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48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48"/>
      <c r="BC66" s="5"/>
      <c r="BD66" s="5"/>
      <c r="BE66" s="5"/>
      <c r="BF66" s="5"/>
      <c r="BG66" s="5"/>
      <c r="BH66" s="5"/>
      <c r="BI66" s="5"/>
      <c r="BJ66" s="122">
        <f>BJ62*BJ46</f>
        <v>-61440.194764749613</v>
      </c>
      <c r="BK66" s="111"/>
      <c r="BL66" s="122">
        <f t="shared" ref="BL66:BM66" si="39">BL62*BL46</f>
        <v>-129043.60922786441</v>
      </c>
      <c r="BM66" s="111">
        <f t="shared" si="39"/>
        <v>-124086.37409</v>
      </c>
    </row>
    <row r="67" spans="1:65" ht="15.75" customHeight="1">
      <c r="A67" s="105" t="s">
        <v>45</v>
      </c>
      <c r="B67" s="105" t="s">
        <v>89</v>
      </c>
      <c r="C67" s="105" t="s">
        <v>80</v>
      </c>
      <c r="D67" s="105" t="s">
        <v>77</v>
      </c>
      <c r="E67" s="105" t="s">
        <v>72</v>
      </c>
      <c r="F67" s="106" t="s">
        <v>71</v>
      </c>
      <c r="G67" s="5"/>
      <c r="H67" s="5"/>
      <c r="I67" s="5"/>
      <c r="J67" s="5"/>
      <c r="K67" s="5"/>
      <c r="L67" s="5"/>
      <c r="M67" s="5"/>
      <c r="N67" s="5"/>
      <c r="O67" s="5"/>
      <c r="P67" s="48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48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48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48"/>
      <c r="BC67" s="5"/>
      <c r="BD67" s="5"/>
      <c r="BE67" s="5"/>
      <c r="BF67" s="5"/>
      <c r="BG67" s="5"/>
      <c r="BH67" s="5"/>
      <c r="BI67" s="5"/>
      <c r="BJ67" s="58">
        <f>BJ$38/BJ$41/12*BJ60</f>
        <v>82134.85965110414</v>
      </c>
      <c r="BK67" s="58"/>
      <c r="BL67" s="58">
        <f>BL$38/BL$41/12*BL60</f>
        <v>186975.86343560339</v>
      </c>
      <c r="BM67" s="58">
        <f>BM$38/BM$41/12*BM60</f>
        <v>187674.10944658806</v>
      </c>
    </row>
    <row r="68" spans="1:65" ht="15.75" customHeight="1">
      <c r="A68" s="105" t="s">
        <v>45</v>
      </c>
      <c r="B68" s="105" t="s">
        <v>89</v>
      </c>
      <c r="C68" s="105" t="s">
        <v>80</v>
      </c>
      <c r="D68" s="105" t="s">
        <v>77</v>
      </c>
      <c r="E68" s="105" t="s">
        <v>73</v>
      </c>
      <c r="F68" s="106" t="s">
        <v>71</v>
      </c>
      <c r="G68" s="5"/>
      <c r="H68" s="5"/>
      <c r="I68" s="5"/>
      <c r="J68" s="5"/>
      <c r="K68" s="5"/>
      <c r="L68" s="5"/>
      <c r="M68" s="5"/>
      <c r="N68" s="5"/>
      <c r="O68" s="5"/>
      <c r="P68" s="48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48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48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48"/>
      <c r="BC68" s="5"/>
      <c r="BD68" s="5"/>
      <c r="BE68" s="5"/>
      <c r="BF68" s="5"/>
      <c r="BG68" s="5"/>
      <c r="BH68" s="5"/>
      <c r="BI68" s="125"/>
      <c r="BJ68" s="58">
        <f>BJ$39/BJ$43*BJ62</f>
        <v>497267.78203166294</v>
      </c>
      <c r="BK68" s="58"/>
      <c r="BL68" s="58">
        <f>BL$39/BL$43*BL62</f>
        <v>1044417.739751647</v>
      </c>
      <c r="BM68" s="58">
        <f>BM$39/BM$43*BM62</f>
        <v>1004296.2308362887</v>
      </c>
    </row>
    <row r="69" spans="1:65" ht="15.75" customHeight="1">
      <c r="A69" s="105" t="s">
        <v>45</v>
      </c>
      <c r="B69" s="105" t="s">
        <v>89</v>
      </c>
      <c r="C69" s="105" t="s">
        <v>80</v>
      </c>
      <c r="D69" s="105" t="s">
        <v>77</v>
      </c>
      <c r="E69" s="105" t="s">
        <v>88</v>
      </c>
      <c r="F69" s="106" t="s">
        <v>71</v>
      </c>
      <c r="G69" s="122">
        <f>G$40/G$43*G62</f>
        <v>289475.10811632144</v>
      </c>
      <c r="H69" s="122">
        <f t="shared" ref="H69:BF69" si="40">H$40/H$43*H62</f>
        <v>1855948.1366581337</v>
      </c>
      <c r="I69" s="122">
        <f t="shared" si="40"/>
        <v>2048712.5186665209</v>
      </c>
      <c r="J69" s="122">
        <f t="shared" si="40"/>
        <v>2519727.4835129497</v>
      </c>
      <c r="K69" s="122">
        <f t="shared" si="40"/>
        <v>2993815.1816418241</v>
      </c>
      <c r="L69" s="122">
        <f t="shared" si="40"/>
        <v>2620088.550876793</v>
      </c>
      <c r="M69" s="122">
        <f t="shared" si="40"/>
        <v>2293618.7869742666</v>
      </c>
      <c r="N69" s="122">
        <f t="shared" si="40"/>
        <v>1989858.2590346134</v>
      </c>
      <c r="O69" s="122">
        <f t="shared" si="40"/>
        <v>1946846.5219390832</v>
      </c>
      <c r="P69" s="126">
        <f t="shared" si="40"/>
        <v>2171145.9016512032</v>
      </c>
      <c r="Q69" s="122">
        <f t="shared" si="40"/>
        <v>2442002.1338711041</v>
      </c>
      <c r="R69" s="122">
        <f t="shared" si="40"/>
        <v>2730534.345771844</v>
      </c>
      <c r="S69" s="122">
        <f t="shared" si="40"/>
        <v>2218721.5788117992</v>
      </c>
      <c r="T69" s="122">
        <f t="shared" si="40"/>
        <v>332366.43609386968</v>
      </c>
      <c r="U69" s="122">
        <f t="shared" si="40"/>
        <v>316677.14720817003</v>
      </c>
      <c r="V69" s="122">
        <f t="shared" si="40"/>
        <v>1885977.1777257717</v>
      </c>
      <c r="W69" s="122">
        <f t="shared" si="40"/>
        <v>2254534.5963207092</v>
      </c>
      <c r="X69" s="122">
        <f t="shared" si="40"/>
        <v>2628420.3991309698</v>
      </c>
      <c r="Y69" s="122">
        <f t="shared" si="40"/>
        <v>2757938.3159944634</v>
      </c>
      <c r="Z69" s="122">
        <f t="shared" si="40"/>
        <v>2377468.575378655</v>
      </c>
      <c r="AA69" s="122">
        <f t="shared" si="40"/>
        <v>2324561.3367380281</v>
      </c>
      <c r="AB69" s="122">
        <f t="shared" si="40"/>
        <v>2070106.4799390992</v>
      </c>
      <c r="AC69" s="122">
        <f t="shared" si="40"/>
        <v>2181204.1343389736</v>
      </c>
      <c r="AD69" s="126">
        <f t="shared" si="40"/>
        <v>2365696.8476744085</v>
      </c>
      <c r="AE69" s="122">
        <f t="shared" si="40"/>
        <v>2527235.7306600483</v>
      </c>
      <c r="AF69" s="122">
        <f t="shared" si="40"/>
        <v>2921698.1959193568</v>
      </c>
      <c r="AG69" s="122">
        <f t="shared" si="40"/>
        <v>2549342.401840081</v>
      </c>
      <c r="AH69" s="122">
        <f t="shared" si="40"/>
        <v>2186966.2964473632</v>
      </c>
      <c r="AI69" s="122">
        <f t="shared" si="40"/>
        <v>2230070.677005426</v>
      </c>
      <c r="AJ69" s="122">
        <f t="shared" si="40"/>
        <v>2728069.652077415</v>
      </c>
      <c r="AK69" s="122">
        <f t="shared" si="40"/>
        <v>2604471.1496425029</v>
      </c>
      <c r="AL69" s="122">
        <f t="shared" si="40"/>
        <v>2582022.76911378</v>
      </c>
      <c r="AM69" s="122">
        <f t="shared" si="40"/>
        <v>2642118.5958131994</v>
      </c>
      <c r="AN69" s="122">
        <f t="shared" si="40"/>
        <v>2133777.1646681516</v>
      </c>
      <c r="AO69" s="122">
        <f t="shared" si="40"/>
        <v>2066429.4619692764</v>
      </c>
      <c r="AP69" s="126">
        <f t="shared" si="40"/>
        <v>2277060.6639348688</v>
      </c>
      <c r="AQ69" s="122">
        <f t="shared" si="40"/>
        <v>2474121.4971991037</v>
      </c>
      <c r="AR69" s="122">
        <f t="shared" si="40"/>
        <v>2667548.2822733726</v>
      </c>
      <c r="AS69" s="122">
        <f t="shared" si="40"/>
        <v>2634378.6855590777</v>
      </c>
      <c r="AT69" s="122">
        <f t="shared" si="40"/>
        <v>2210192.9706708454</v>
      </c>
      <c r="AU69" s="122">
        <f t="shared" si="40"/>
        <v>2278630.7398513095</v>
      </c>
      <c r="AV69" s="122">
        <f t="shared" si="40"/>
        <v>2761796.5469166893</v>
      </c>
      <c r="AW69" s="122">
        <f t="shared" si="40"/>
        <v>2706331.6103863004</v>
      </c>
      <c r="AX69" s="122">
        <f t="shared" si="40"/>
        <v>2448826.0130447615</v>
      </c>
      <c r="AY69" s="122">
        <f t="shared" si="40"/>
        <v>2265687.9006767105</v>
      </c>
      <c r="AZ69" s="122">
        <f t="shared" si="40"/>
        <v>1974197.6467303718</v>
      </c>
      <c r="BA69" s="122">
        <f t="shared" si="40"/>
        <v>1857472.8862321745</v>
      </c>
      <c r="BB69" s="126">
        <f t="shared" si="40"/>
        <v>2016411.8983388157</v>
      </c>
      <c r="BC69" s="122">
        <f t="shared" si="40"/>
        <v>2270371.777421962</v>
      </c>
      <c r="BD69" s="122">
        <f t="shared" si="40"/>
        <v>2615504.5939238304</v>
      </c>
      <c r="BE69" s="122">
        <f t="shared" si="40"/>
        <v>2514716.0442182124</v>
      </c>
      <c r="BF69" s="122">
        <f t="shared" si="40"/>
        <v>2198862.8357108501</v>
      </c>
      <c r="BG69" s="122">
        <f>BG$40/BG$43*BG62</f>
        <v>2254905.7869223342</v>
      </c>
      <c r="BH69" s="122">
        <f>BH$40/BH$43*BH62</f>
        <v>2665553.687697392</v>
      </c>
      <c r="BI69" s="122">
        <f>BI$40/BI$43*BI62</f>
        <v>1484935.7745484647</v>
      </c>
      <c r="BJ69" s="122">
        <f>BJ63-BJ64-BJ65-BJ66-BJ67-BJ68</f>
        <v>1304321.4094148702</v>
      </c>
      <c r="BK69" s="122">
        <f>BK$40/BK$43*BK62</f>
        <v>7344.988227782851</v>
      </c>
      <c r="BL69" s="122">
        <f>BL63-BL64-BL65-BL66-BL67-BL68</f>
        <v>2767055.9568046713</v>
      </c>
      <c r="BM69" s="122">
        <f t="shared" ref="BM69" si="41">BM63-BM64-BM65-BM66-BM67-BM68</f>
        <v>2685865.1124071237</v>
      </c>
    </row>
    <row r="70" spans="1:65" ht="15.75" customHeight="1" thickBot="1">
      <c r="A70" s="127" t="s">
        <v>45</v>
      </c>
      <c r="B70" s="127" t="s">
        <v>89</v>
      </c>
      <c r="C70" s="127" t="s">
        <v>80</v>
      </c>
      <c r="D70" s="127" t="s">
        <v>77</v>
      </c>
      <c r="E70" s="127" t="s">
        <v>10</v>
      </c>
      <c r="F70" s="128" t="s">
        <v>71</v>
      </c>
      <c r="G70" s="129">
        <f>G69-G61</f>
        <v>11438.553993917885</v>
      </c>
      <c r="H70" s="129">
        <f t="shared" ref="H70:BH70" si="42">H69-H61</f>
        <v>187435.13256974984</v>
      </c>
      <c r="I70" s="129">
        <f t="shared" si="42"/>
        <v>182123.08017540327</v>
      </c>
      <c r="J70" s="129">
        <f t="shared" si="42"/>
        <v>109130.29407002078</v>
      </c>
      <c r="K70" s="129">
        <f t="shared" si="42"/>
        <v>667624.37850943767</v>
      </c>
      <c r="L70" s="129">
        <f t="shared" si="42"/>
        <v>530482.54772876692</v>
      </c>
      <c r="M70" s="129">
        <f t="shared" si="42"/>
        <v>411041.81353962212</v>
      </c>
      <c r="N70" s="129">
        <f t="shared" si="42"/>
        <v>230688.54082343308</v>
      </c>
      <c r="O70" s="129">
        <f t="shared" si="42"/>
        <v>253299.72588316002</v>
      </c>
      <c r="P70" s="130">
        <f t="shared" si="42"/>
        <v>314649.33714277716</v>
      </c>
      <c r="Q70" s="129">
        <f t="shared" si="42"/>
        <v>452107.72078969586</v>
      </c>
      <c r="R70" s="129">
        <f t="shared" si="42"/>
        <v>434984.66119173961</v>
      </c>
      <c r="S70" s="129">
        <f t="shared" si="42"/>
        <v>383175.47062893468</v>
      </c>
      <c r="T70" s="129">
        <f t="shared" si="42"/>
        <v>25380.271599993925</v>
      </c>
      <c r="U70" s="129">
        <f t="shared" si="42"/>
        <v>78587.539729079406</v>
      </c>
      <c r="V70" s="129">
        <f t="shared" si="42"/>
        <v>127141.42048088252</v>
      </c>
      <c r="W70" s="129">
        <f t="shared" si="42"/>
        <v>297944.89048412628</v>
      </c>
      <c r="X70" s="129">
        <f t="shared" si="42"/>
        <v>99087.063455270138</v>
      </c>
      <c r="Y70" s="129">
        <f t="shared" si="42"/>
        <v>310507.49966524076</v>
      </c>
      <c r="Z70" s="129">
        <f t="shared" si="42"/>
        <v>166548.64223641949</v>
      </c>
      <c r="AA70" s="129">
        <f t="shared" si="42"/>
        <v>334371.02914968552</v>
      </c>
      <c r="AB70" s="129">
        <f t="shared" si="42"/>
        <v>206094.97280723439</v>
      </c>
      <c r="AC70" s="129">
        <f t="shared" si="42"/>
        <v>384618.94126924966</v>
      </c>
      <c r="AD70" s="130">
        <f t="shared" si="42"/>
        <v>398652.75126386085</v>
      </c>
      <c r="AE70" s="129">
        <f t="shared" si="42"/>
        <v>416779.69438704895</v>
      </c>
      <c r="AF70" s="129">
        <f t="shared" si="42"/>
        <v>485873.28103250824</v>
      </c>
      <c r="AG70" s="129">
        <f t="shared" si="42"/>
        <v>286756.70199992182</v>
      </c>
      <c r="AH70" s="129">
        <f t="shared" si="42"/>
        <v>139686.0999379782</v>
      </c>
      <c r="AI70" s="129">
        <f t="shared" si="42"/>
        <v>237371.49107123958</v>
      </c>
      <c r="AJ70" s="129">
        <f t="shared" si="42"/>
        <v>153618.0476342258</v>
      </c>
      <c r="AK70" s="129">
        <f t="shared" si="42"/>
        <v>119143.43768685684</v>
      </c>
      <c r="AL70" s="129">
        <f t="shared" si="42"/>
        <v>343230.60149076255</v>
      </c>
      <c r="AM70" s="129">
        <f t="shared" si="42"/>
        <v>626357.05581773631</v>
      </c>
      <c r="AN70" s="129">
        <f t="shared" si="42"/>
        <v>253110.21855104202</v>
      </c>
      <c r="AO70" s="129">
        <f t="shared" si="42"/>
        <v>253595.21369776176</v>
      </c>
      <c r="AP70" s="130">
        <f t="shared" si="42"/>
        <v>287451.97190464917</v>
      </c>
      <c r="AQ70" s="129">
        <f t="shared" si="42"/>
        <v>342648.90738134319</v>
      </c>
      <c r="AR70" s="129">
        <f t="shared" si="42"/>
        <v>207334.82190786861</v>
      </c>
      <c r="AS70" s="129">
        <f t="shared" si="42"/>
        <v>343380.55805711867</v>
      </c>
      <c r="AT70" s="129">
        <f t="shared" si="42"/>
        <v>135804.06585258944</v>
      </c>
      <c r="AU70" s="129">
        <f t="shared" si="42"/>
        <v>260828.04549310426</v>
      </c>
      <c r="AV70" s="129">
        <f t="shared" si="42"/>
        <v>155778.09718741151</v>
      </c>
      <c r="AW70" s="129">
        <f t="shared" si="42"/>
        <v>187574.5230203541</v>
      </c>
      <c r="AX70" s="129">
        <f t="shared" si="42"/>
        <v>174950.88361260062</v>
      </c>
      <c r="AY70" s="129">
        <f t="shared" si="42"/>
        <v>219490.35723082069</v>
      </c>
      <c r="AZ70" s="129">
        <f t="shared" si="42"/>
        <v>63713.970681635197</v>
      </c>
      <c r="BA70" s="129">
        <f t="shared" si="42"/>
        <v>19760.774134469684</v>
      </c>
      <c r="BB70" s="130">
        <f t="shared" si="42"/>
        <v>8408.1555316895247</v>
      </c>
      <c r="BC70" s="129">
        <f t="shared" si="42"/>
        <v>113416.61643117853</v>
      </c>
      <c r="BD70" s="129">
        <f t="shared" si="42"/>
        <v>124843.32212224044</v>
      </c>
      <c r="BE70" s="129">
        <f t="shared" si="42"/>
        <v>200369.09002388315</v>
      </c>
      <c r="BF70" s="129">
        <f t="shared" si="42"/>
        <v>102583.33075585309</v>
      </c>
      <c r="BG70" s="129">
        <f t="shared" si="42"/>
        <v>212370.57194933202</v>
      </c>
      <c r="BH70" s="129">
        <f t="shared" si="42"/>
        <v>24939.250962654129</v>
      </c>
      <c r="BI70" s="129">
        <f>BI69-BI61</f>
        <v>51534.861681983806</v>
      </c>
      <c r="BJ70" s="129">
        <f>BJ69-BJ61</f>
        <v>103113.94829297392</v>
      </c>
      <c r="BK70" s="129">
        <f>BK69-BK61</f>
        <v>427.75495292442793</v>
      </c>
      <c r="BL70" s="129">
        <f>BL69-BL61</f>
        <v>276993.03880303865</v>
      </c>
      <c r="BM70" s="129">
        <f>BM69-BM61</f>
        <v>62619.367298110388</v>
      </c>
    </row>
    <row r="71" spans="1:65" ht="15.75" customHeight="1" thickTop="1">
      <c r="A71" s="60"/>
      <c r="B71" s="105"/>
      <c r="C71" s="60"/>
      <c r="D71" s="60"/>
      <c r="E71" s="60"/>
      <c r="F71" s="106"/>
      <c r="G71" s="4"/>
      <c r="H71" s="4"/>
      <c r="I71" s="4"/>
      <c r="J71" s="4"/>
      <c r="K71" s="4"/>
      <c r="L71" s="4"/>
      <c r="M71" s="4"/>
      <c r="N71" s="4"/>
      <c r="O71" s="4"/>
      <c r="P71" s="131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131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131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31"/>
      <c r="BC71" s="4"/>
      <c r="BD71" s="4"/>
      <c r="BE71" s="4"/>
      <c r="BF71" s="4"/>
      <c r="BG71" s="4"/>
      <c r="BH71" s="4"/>
      <c r="BI71" s="4"/>
      <c r="BJ71" s="4"/>
      <c r="BK71" s="122"/>
      <c r="BL71" s="122"/>
      <c r="BM71" s="4"/>
    </row>
    <row r="72" spans="1:65" ht="15.75" customHeight="1">
      <c r="A72" s="105" t="s">
        <v>45</v>
      </c>
      <c r="B72" s="105" t="s">
        <v>47</v>
      </c>
      <c r="C72" s="105" t="s">
        <v>80</v>
      </c>
      <c r="D72" s="105" t="s">
        <v>77</v>
      </c>
      <c r="E72" s="105" t="s">
        <v>70</v>
      </c>
      <c r="F72" s="106" t="s">
        <v>76</v>
      </c>
      <c r="G72" s="124">
        <f>2551.07634795544*I72/SUM(I48,I60,I72)</f>
        <v>49.633364264636128</v>
      </c>
      <c r="H72" s="124">
        <f>16919.1642728685*I72/SUM(I48,I60,I72)</f>
        <v>329.17675869697956</v>
      </c>
      <c r="I72" s="5">
        <v>379</v>
      </c>
      <c r="J72" s="5">
        <v>379</v>
      </c>
      <c r="K72" s="5">
        <v>380</v>
      </c>
      <c r="L72" s="5">
        <v>378</v>
      </c>
      <c r="M72" s="5">
        <v>379</v>
      </c>
      <c r="N72" s="5">
        <v>379</v>
      </c>
      <c r="O72" s="5">
        <v>379</v>
      </c>
      <c r="P72" s="48">
        <v>376</v>
      </c>
      <c r="Q72" s="5">
        <v>377</v>
      </c>
      <c r="R72" s="5">
        <v>377</v>
      </c>
      <c r="S72" s="124">
        <v>325.61877463274806</v>
      </c>
      <c r="T72" s="124">
        <v>52.497312791114283</v>
      </c>
      <c r="U72" s="124">
        <v>46.416429337008104</v>
      </c>
      <c r="V72" s="124">
        <v>330.54508753126123</v>
      </c>
      <c r="W72" s="5">
        <v>377</v>
      </c>
      <c r="X72" s="5">
        <v>374</v>
      </c>
      <c r="Y72" s="5">
        <v>375</v>
      </c>
      <c r="Z72" s="5">
        <v>376</v>
      </c>
      <c r="AA72" s="5">
        <v>374</v>
      </c>
      <c r="AB72" s="5">
        <v>373</v>
      </c>
      <c r="AC72" s="5">
        <v>372</v>
      </c>
      <c r="AD72" s="48">
        <v>373</v>
      </c>
      <c r="AE72" s="5">
        <v>375</v>
      </c>
      <c r="AF72" s="5">
        <v>374</v>
      </c>
      <c r="AG72" s="5">
        <v>375</v>
      </c>
      <c r="AH72" s="5">
        <v>376</v>
      </c>
      <c r="AI72" s="5">
        <v>378</v>
      </c>
      <c r="AJ72" s="5">
        <v>378</v>
      </c>
      <c r="AK72" s="5">
        <v>379</v>
      </c>
      <c r="AL72" s="5">
        <v>377</v>
      </c>
      <c r="AM72" s="5">
        <v>379</v>
      </c>
      <c r="AN72" s="5">
        <v>379</v>
      </c>
      <c r="AO72" s="5">
        <v>380</v>
      </c>
      <c r="AP72" s="48">
        <v>380</v>
      </c>
      <c r="AQ72" s="5">
        <v>379</v>
      </c>
      <c r="AR72" s="5">
        <v>378</v>
      </c>
      <c r="AS72" s="5">
        <v>374</v>
      </c>
      <c r="AT72" s="5">
        <v>372</v>
      </c>
      <c r="AU72" s="5">
        <v>370</v>
      </c>
      <c r="AV72" s="5">
        <v>372</v>
      </c>
      <c r="AW72" s="5">
        <v>370</v>
      </c>
      <c r="AX72" s="5">
        <v>373</v>
      </c>
      <c r="AY72" s="5">
        <v>373</v>
      </c>
      <c r="AZ72" s="5">
        <v>372</v>
      </c>
      <c r="BA72" s="5">
        <v>373</v>
      </c>
      <c r="BB72" s="48">
        <v>374</v>
      </c>
      <c r="BC72" s="5">
        <v>372</v>
      </c>
      <c r="BD72" s="5">
        <v>371</v>
      </c>
      <c r="BE72" s="5">
        <v>371</v>
      </c>
      <c r="BF72" s="5">
        <v>370</v>
      </c>
      <c r="BG72" s="5">
        <v>372</v>
      </c>
      <c r="BH72" s="5">
        <v>370</v>
      </c>
      <c r="BI72" s="5">
        <v>207.07028266536088</v>
      </c>
      <c r="BJ72" s="58">
        <v>163.92971733463912</v>
      </c>
      <c r="BK72" s="58">
        <v>2.592206787093513</v>
      </c>
      <c r="BL72" s="58">
        <v>369.40779321290648</v>
      </c>
      <c r="BM72" s="5">
        <v>371</v>
      </c>
    </row>
    <row r="73" spans="1:65" ht="15.75" customHeight="1">
      <c r="A73" s="105" t="s">
        <v>45</v>
      </c>
      <c r="B73" s="105" t="s">
        <v>47</v>
      </c>
      <c r="C73" s="105" t="s">
        <v>80</v>
      </c>
      <c r="D73" s="105" t="s">
        <v>77</v>
      </c>
      <c r="E73" s="105" t="s">
        <v>74</v>
      </c>
      <c r="F73" s="106" t="s">
        <v>71</v>
      </c>
      <c r="G73" s="5">
        <f>G$40/G$41*G$42/G$43*G72</f>
        <v>6729.8412321108044</v>
      </c>
      <c r="H73" s="5">
        <f t="shared" ref="H73:BM73" si="43">H$40/H$41*H$42/H$43*H72</f>
        <v>40386.155865978893</v>
      </c>
      <c r="I73" s="5">
        <f t="shared" si="43"/>
        <v>45180.572051867006</v>
      </c>
      <c r="J73" s="5">
        <f t="shared" si="43"/>
        <v>58247.773975063443</v>
      </c>
      <c r="K73" s="5">
        <f t="shared" si="43"/>
        <v>56432.105796112541</v>
      </c>
      <c r="L73" s="5">
        <f t="shared" si="43"/>
        <v>50529.111386256001</v>
      </c>
      <c r="M73" s="5">
        <f t="shared" si="43"/>
        <v>45573.369502537702</v>
      </c>
      <c r="N73" s="5">
        <f t="shared" si="43"/>
        <v>42553.313964898989</v>
      </c>
      <c r="O73" s="5">
        <f t="shared" si="43"/>
        <v>40942.414728914642</v>
      </c>
      <c r="P73" s="48">
        <f t="shared" si="43"/>
        <v>44449.994157868583</v>
      </c>
      <c r="Q73" s="5">
        <f t="shared" si="43"/>
        <v>47737.206091739798</v>
      </c>
      <c r="R73" s="5">
        <f t="shared" si="43"/>
        <v>55052.30477650759</v>
      </c>
      <c r="S73" s="5">
        <f t="shared" si="43"/>
        <v>44150.999794995034</v>
      </c>
      <c r="T73" s="5">
        <f t="shared" si="43"/>
        <v>7384.0401094871968</v>
      </c>
      <c r="U73" s="5">
        <f t="shared" si="43"/>
        <v>5694.7554783848882</v>
      </c>
      <c r="V73" s="5">
        <f t="shared" si="43"/>
        <v>42068.781036691056</v>
      </c>
      <c r="W73" s="5">
        <f t="shared" si="43"/>
        <v>46620.80135889216</v>
      </c>
      <c r="X73" s="5">
        <f t="shared" si="43"/>
        <v>59626.263318166515</v>
      </c>
      <c r="Y73" s="5">
        <f t="shared" si="43"/>
        <v>57769.657967108862</v>
      </c>
      <c r="Z73" s="5">
        <f t="shared" si="43"/>
        <v>52139.105297383372</v>
      </c>
      <c r="AA73" s="5">
        <f t="shared" si="43"/>
        <v>46651.906928112825</v>
      </c>
      <c r="AB73" s="5">
        <f t="shared" si="43"/>
        <v>43443.907283190805</v>
      </c>
      <c r="AC73" s="5">
        <f t="shared" si="43"/>
        <v>41687.231276318445</v>
      </c>
      <c r="AD73" s="48">
        <f t="shared" si="43"/>
        <v>45742.359598574454</v>
      </c>
      <c r="AE73" s="5">
        <f t="shared" si="43"/>
        <v>49257.54737053431</v>
      </c>
      <c r="AF73" s="5">
        <f t="shared" si="43"/>
        <v>56654.136701970237</v>
      </c>
      <c r="AG73" s="5">
        <f t="shared" si="43"/>
        <v>52745.8434315591</v>
      </c>
      <c r="AH73" s="5">
        <f t="shared" si="43"/>
        <v>47853.870066363837</v>
      </c>
      <c r="AI73" s="5">
        <f t="shared" si="43"/>
        <v>46744.463961966147</v>
      </c>
      <c r="AJ73" s="5">
        <f t="shared" si="43"/>
        <v>60263.97736435011</v>
      </c>
      <c r="AK73" s="5">
        <f t="shared" si="43"/>
        <v>58385.867652091358</v>
      </c>
      <c r="AL73" s="5">
        <f t="shared" si="43"/>
        <v>52277.773130621092</v>
      </c>
      <c r="AM73" s="5">
        <f t="shared" si="43"/>
        <v>47275.595523408447</v>
      </c>
      <c r="AN73" s="5">
        <f t="shared" si="43"/>
        <v>44142.736890963308</v>
      </c>
      <c r="AO73" s="5">
        <f t="shared" si="43"/>
        <v>42583.730873658627</v>
      </c>
      <c r="AP73" s="48">
        <f t="shared" si="43"/>
        <v>46600.795301496764</v>
      </c>
      <c r="AQ73" s="5">
        <f t="shared" si="43"/>
        <v>49782.961209153342</v>
      </c>
      <c r="AR73" s="5">
        <f t="shared" si="43"/>
        <v>57260.063297713234</v>
      </c>
      <c r="AS73" s="5">
        <f t="shared" si="43"/>
        <v>52605.187849074944</v>
      </c>
      <c r="AT73" s="5">
        <f t="shared" si="43"/>
        <v>47344.786342253588</v>
      </c>
      <c r="AU73" s="5">
        <f t="shared" si="43"/>
        <v>45755.163137374271</v>
      </c>
      <c r="AV73" s="5">
        <f t="shared" si="43"/>
        <v>59307.40629507471</v>
      </c>
      <c r="AW73" s="5">
        <f t="shared" si="43"/>
        <v>56999.395860880744</v>
      </c>
      <c r="AX73" s="5">
        <f t="shared" si="43"/>
        <v>51723.101797670206</v>
      </c>
      <c r="AY73" s="5">
        <f t="shared" si="43"/>
        <v>46527.169209053696</v>
      </c>
      <c r="AZ73" s="5">
        <f t="shared" si="43"/>
        <v>43327.435681895382</v>
      </c>
      <c r="BA73" s="5">
        <f t="shared" si="43"/>
        <v>41799.293725985968</v>
      </c>
      <c r="BB73" s="48">
        <f t="shared" si="43"/>
        <v>45864.993270420498</v>
      </c>
      <c r="BC73" s="5">
        <f t="shared" si="43"/>
        <v>48863.486991570033</v>
      </c>
      <c r="BD73" s="5">
        <f t="shared" si="43"/>
        <v>56199.691755162989</v>
      </c>
      <c r="BE73" s="5">
        <f t="shared" si="43"/>
        <v>52183.221101622468</v>
      </c>
      <c r="BF73" s="5">
        <f t="shared" si="43"/>
        <v>47090.24448019846</v>
      </c>
      <c r="BG73" s="5">
        <f t="shared" si="43"/>
        <v>46002.488343522236</v>
      </c>
      <c r="BH73" s="5">
        <f t="shared" si="43"/>
        <v>58988.549271982913</v>
      </c>
      <c r="BI73" s="5">
        <f t="shared" si="43"/>
        <v>31899.678412614532</v>
      </c>
      <c r="BJ73" s="58">
        <f t="shared" si="43"/>
        <v>27050.915510681418</v>
      </c>
      <c r="BK73" s="58">
        <f t="shared" si="43"/>
        <v>359.4556984703737</v>
      </c>
      <c r="BL73" s="58">
        <f t="shared" si="43"/>
        <v>55509.153294855256</v>
      </c>
      <c r="BM73" s="5">
        <f t="shared" si="43"/>
        <v>58511.643806615997</v>
      </c>
    </row>
    <row r="74" spans="1:65" ht="15.75" customHeight="1">
      <c r="A74" s="105" t="s">
        <v>45</v>
      </c>
      <c r="B74" s="105" t="s">
        <v>47</v>
      </c>
      <c r="C74" s="105" t="s">
        <v>80</v>
      </c>
      <c r="D74" s="105" t="s">
        <v>77</v>
      </c>
      <c r="E74" s="105" t="s">
        <v>70</v>
      </c>
      <c r="F74" s="106" t="s">
        <v>79</v>
      </c>
      <c r="G74" s="124">
        <f>5651577.46666667*I74/SUM(I50,I62,I74)</f>
        <v>182802.1240966839</v>
      </c>
      <c r="H74" s="124">
        <f>36234668.8*I74/SUM(I50,I62,I74)</f>
        <v>1172022.2294832272</v>
      </c>
      <c r="I74" s="5">
        <v>1293752</v>
      </c>
      <c r="J74" s="5">
        <v>1536232</v>
      </c>
      <c r="K74" s="5">
        <v>1812562</v>
      </c>
      <c r="L74" s="5">
        <v>1664879</v>
      </c>
      <c r="M74" s="5">
        <v>1478368</v>
      </c>
      <c r="N74" s="5">
        <v>1232056</v>
      </c>
      <c r="O74" s="5">
        <v>1283490</v>
      </c>
      <c r="P74" s="48">
        <v>1265643</v>
      </c>
      <c r="Q74" s="5">
        <v>1379930</v>
      </c>
      <c r="R74" s="5">
        <v>1462763</v>
      </c>
      <c r="S74" s="124">
        <v>1267278.9353082844</v>
      </c>
      <c r="T74" s="124">
        <v>183004.04975444943</v>
      </c>
      <c r="U74" s="124">
        <v>204986.19093891018</v>
      </c>
      <c r="V74" s="124">
        <v>1176842.7763191606</v>
      </c>
      <c r="W74" s="5">
        <v>1352804</v>
      </c>
      <c r="X74" s="5">
        <v>1459586</v>
      </c>
      <c r="Y74" s="5">
        <v>1448787</v>
      </c>
      <c r="Z74" s="5">
        <v>1603556</v>
      </c>
      <c r="AA74" s="5">
        <v>1293091</v>
      </c>
      <c r="AB74" s="5">
        <v>924026</v>
      </c>
      <c r="AC74" s="5">
        <v>1219383</v>
      </c>
      <c r="AD74" s="48">
        <v>1229577</v>
      </c>
      <c r="AE74" s="5">
        <v>1303297</v>
      </c>
      <c r="AF74" s="5">
        <v>1413710</v>
      </c>
      <c r="AG74" s="5">
        <v>1410200</v>
      </c>
      <c r="AH74" s="5">
        <v>1377132</v>
      </c>
      <c r="AI74" s="5">
        <v>1321904</v>
      </c>
      <c r="AJ74" s="5">
        <v>1487012</v>
      </c>
      <c r="AK74" s="5">
        <v>1493849</v>
      </c>
      <c r="AL74" s="5">
        <v>1464372</v>
      </c>
      <c r="AM74" s="5">
        <v>1428987</v>
      </c>
      <c r="AN74" s="5">
        <v>1255255</v>
      </c>
      <c r="AO74" s="5">
        <v>1032865</v>
      </c>
      <c r="AP74" s="48">
        <v>1103394</v>
      </c>
      <c r="AQ74" s="5">
        <v>1351914</v>
      </c>
      <c r="AR74" s="5">
        <v>1364771</v>
      </c>
      <c r="AS74" s="5">
        <v>1347820</v>
      </c>
      <c r="AT74" s="5">
        <v>1231190</v>
      </c>
      <c r="AU74" s="5">
        <v>1270226</v>
      </c>
      <c r="AV74" s="5">
        <v>1431673</v>
      </c>
      <c r="AW74" s="5">
        <v>1375989</v>
      </c>
      <c r="AX74" s="5">
        <v>1324138</v>
      </c>
      <c r="AY74" s="5">
        <v>1227487</v>
      </c>
      <c r="AZ74" s="5">
        <v>1074837</v>
      </c>
      <c r="BA74" s="5">
        <v>1034281</v>
      </c>
      <c r="BB74" s="48">
        <v>1106589</v>
      </c>
      <c r="BC74" s="5">
        <v>1276297</v>
      </c>
      <c r="BD74" s="5">
        <v>1426492</v>
      </c>
      <c r="BE74" s="5">
        <v>1387620</v>
      </c>
      <c r="BF74" s="5">
        <v>1233172</v>
      </c>
      <c r="BG74" s="5">
        <v>1290528</v>
      </c>
      <c r="BH74" s="5">
        <v>1481942</v>
      </c>
      <c r="BI74" s="5">
        <v>747728</v>
      </c>
      <c r="BJ74" s="58">
        <v>591948</v>
      </c>
      <c r="BK74" s="58">
        <v>9760</v>
      </c>
      <c r="BL74" s="58">
        <v>1390869</v>
      </c>
      <c r="BM74" s="5">
        <v>1237221</v>
      </c>
    </row>
    <row r="75" spans="1:65" ht="15.75" customHeight="1">
      <c r="A75" s="105" t="s">
        <v>45</v>
      </c>
      <c r="B75" s="105" t="s">
        <v>47</v>
      </c>
      <c r="C75" s="105" t="s">
        <v>80</v>
      </c>
      <c r="D75" s="105" t="s">
        <v>77</v>
      </c>
      <c r="E75" s="105" t="s">
        <v>70</v>
      </c>
      <c r="F75" s="106" t="s">
        <v>71</v>
      </c>
      <c r="G75" s="5"/>
      <c r="H75" s="5"/>
      <c r="I75" s="5"/>
      <c r="J75" s="5"/>
      <c r="K75" s="5"/>
      <c r="L75" s="5"/>
      <c r="M75" s="5"/>
      <c r="N75" s="5"/>
      <c r="O75" s="5"/>
      <c r="P75" s="48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48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48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48"/>
      <c r="BC75" s="5"/>
      <c r="BD75" s="5"/>
      <c r="BE75" s="5"/>
      <c r="BF75" s="5"/>
      <c r="BG75" s="5"/>
      <c r="BH75" s="5"/>
      <c r="BI75" s="58"/>
      <c r="BJ75" s="58">
        <v>53626.792383710694</v>
      </c>
      <c r="BK75" s="58"/>
      <c r="BL75" s="58">
        <v>128986.327692808</v>
      </c>
      <c r="BM75" s="58">
        <v>120473.52</v>
      </c>
    </row>
    <row r="76" spans="1:65" ht="15.75" customHeight="1">
      <c r="A76" s="105" t="s">
        <v>45</v>
      </c>
      <c r="B76" s="105" t="s">
        <v>47</v>
      </c>
      <c r="C76" s="105" t="s">
        <v>80</v>
      </c>
      <c r="D76" s="105" t="s">
        <v>77</v>
      </c>
      <c r="E76" s="116" t="s">
        <v>81</v>
      </c>
      <c r="F76" s="106" t="s">
        <v>71</v>
      </c>
      <c r="G76" s="5"/>
      <c r="H76" s="5"/>
      <c r="I76" s="5"/>
      <c r="J76" s="5"/>
      <c r="K76" s="5"/>
      <c r="L76" s="5"/>
      <c r="M76" s="5"/>
      <c r="N76" s="5"/>
      <c r="O76" s="5"/>
      <c r="P76" s="48"/>
      <c r="Q76" s="5"/>
      <c r="R76" s="5"/>
      <c r="S76" s="5"/>
      <c r="T76" s="134"/>
      <c r="U76" s="5"/>
      <c r="V76" s="5"/>
      <c r="W76" s="5"/>
      <c r="X76" s="5"/>
      <c r="Y76" s="5"/>
      <c r="Z76" s="5"/>
      <c r="AA76" s="5"/>
      <c r="AB76" s="5"/>
      <c r="AC76" s="5"/>
      <c r="AD76" s="48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48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48"/>
      <c r="BC76" s="5"/>
      <c r="BD76" s="5"/>
      <c r="BE76" s="5"/>
      <c r="BF76" s="5"/>
      <c r="BG76" s="5"/>
      <c r="BH76" s="5"/>
      <c r="BI76" s="5"/>
      <c r="BJ76" s="122">
        <f>BJ74*BJ44</f>
        <v>-1983.0258000000001</v>
      </c>
      <c r="BK76" s="111"/>
      <c r="BL76" s="122">
        <f t="shared" ref="BL76:BM76" si="44">BL74*BL44</f>
        <v>-1557.7732799999999</v>
      </c>
      <c r="BM76" s="111">
        <f t="shared" si="44"/>
        <v>2165.1367500000001</v>
      </c>
    </row>
    <row r="77" spans="1:65" ht="15.75" customHeight="1">
      <c r="A77" s="105" t="s">
        <v>45</v>
      </c>
      <c r="B77" s="105" t="s">
        <v>47</v>
      </c>
      <c r="C77" s="105" t="s">
        <v>80</v>
      </c>
      <c r="D77" s="105" t="s">
        <v>77</v>
      </c>
      <c r="E77" s="116" t="s">
        <v>83</v>
      </c>
      <c r="F77" s="106" t="s">
        <v>71</v>
      </c>
      <c r="G77" s="5"/>
      <c r="H77" s="5"/>
      <c r="I77" s="5"/>
      <c r="J77" s="5"/>
      <c r="K77" s="5"/>
      <c r="L77" s="5"/>
      <c r="M77" s="5"/>
      <c r="N77" s="5"/>
      <c r="O77" s="5"/>
      <c r="P77" s="4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48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48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48"/>
      <c r="BC77" s="5"/>
      <c r="BD77" s="5"/>
      <c r="BE77" s="5"/>
      <c r="BF77" s="5"/>
      <c r="BG77" s="5"/>
      <c r="BH77" s="5"/>
      <c r="BI77" s="5"/>
      <c r="BJ77" s="122">
        <f>BJ74*BJ45</f>
        <v>1687.0518</v>
      </c>
      <c r="BK77" s="111"/>
      <c r="BL77" s="122">
        <f t="shared" ref="BL77:BM77" si="45">BL74*BL45</f>
        <v>3963.9766500000001</v>
      </c>
      <c r="BM77" s="111">
        <f t="shared" si="45"/>
        <v>3526.0798500000001</v>
      </c>
    </row>
    <row r="78" spans="1:65" ht="15.75" customHeight="1">
      <c r="A78" s="105" t="s">
        <v>45</v>
      </c>
      <c r="B78" s="105" t="s">
        <v>47</v>
      </c>
      <c r="C78" s="105" t="s">
        <v>80</v>
      </c>
      <c r="D78" s="105" t="s">
        <v>77</v>
      </c>
      <c r="E78" s="116" t="s">
        <v>84</v>
      </c>
      <c r="F78" s="106" t="s">
        <v>71</v>
      </c>
      <c r="G78" s="5"/>
      <c r="H78" s="5"/>
      <c r="I78" s="5"/>
      <c r="J78" s="5"/>
      <c r="K78" s="5"/>
      <c r="L78" s="5"/>
      <c r="M78" s="5"/>
      <c r="N78" s="5"/>
      <c r="O78" s="5"/>
      <c r="P78" s="48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48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48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48"/>
      <c r="BC78" s="5"/>
      <c r="BD78" s="5"/>
      <c r="BE78" s="5"/>
      <c r="BF78" s="5"/>
      <c r="BG78" s="5"/>
      <c r="BH78" s="5"/>
      <c r="BI78" s="5"/>
      <c r="BJ78" s="122">
        <f>BJ74*BJ46</f>
        <v>-1781.7634800000001</v>
      </c>
      <c r="BK78" s="111"/>
      <c r="BL78" s="122">
        <f t="shared" ref="BL78:BM78" si="46">BL74*BL46</f>
        <v>-4186.5156900000002</v>
      </c>
      <c r="BM78" s="111">
        <f t="shared" si="46"/>
        <v>-3724.03521</v>
      </c>
    </row>
    <row r="79" spans="1:65" ht="15.75" customHeight="1">
      <c r="A79" s="105" t="s">
        <v>45</v>
      </c>
      <c r="B79" s="105" t="s">
        <v>47</v>
      </c>
      <c r="C79" s="105" t="s">
        <v>80</v>
      </c>
      <c r="D79" s="105" t="s">
        <v>77</v>
      </c>
      <c r="E79" s="105" t="s">
        <v>72</v>
      </c>
      <c r="F79" s="106" t="s">
        <v>71</v>
      </c>
      <c r="G79" s="5"/>
      <c r="H79" s="5"/>
      <c r="I79" s="5"/>
      <c r="J79" s="5"/>
      <c r="K79" s="5"/>
      <c r="L79" s="5"/>
      <c r="M79" s="5"/>
      <c r="N79" s="5"/>
      <c r="O79" s="5"/>
      <c r="P79" s="48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48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48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48"/>
      <c r="BC79" s="5"/>
      <c r="BD79" s="5"/>
      <c r="BE79" s="5"/>
      <c r="BF79" s="5"/>
      <c r="BG79" s="5"/>
      <c r="BH79" s="5"/>
      <c r="BI79" s="5"/>
      <c r="BJ79" s="58">
        <f>BJ$38/BJ$41/12*BJ72</f>
        <v>1849.6581321835693</v>
      </c>
      <c r="BK79" s="58"/>
      <c r="BL79" s="58">
        <f>BL$38/BL$41/12*BL72</f>
        <v>4168.116311781494</v>
      </c>
      <c r="BM79" s="58">
        <f>BM$38/BM$41/12*BM72</f>
        <v>4186.0815610343398</v>
      </c>
    </row>
    <row r="80" spans="1:65" ht="15.75" customHeight="1">
      <c r="A80" s="105" t="s">
        <v>45</v>
      </c>
      <c r="B80" s="105" t="s">
        <v>47</v>
      </c>
      <c r="C80" s="105" t="s">
        <v>80</v>
      </c>
      <c r="D80" s="105" t="s">
        <v>77</v>
      </c>
      <c r="E80" s="105" t="s">
        <v>73</v>
      </c>
      <c r="F80" s="106" t="s">
        <v>71</v>
      </c>
      <c r="G80" s="5"/>
      <c r="H80" s="5"/>
      <c r="I80" s="5"/>
      <c r="J80" s="5"/>
      <c r="K80" s="5"/>
      <c r="L80" s="5"/>
      <c r="M80" s="5"/>
      <c r="N80" s="5"/>
      <c r="O80" s="5"/>
      <c r="P80" s="48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48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48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48"/>
      <c r="BC80" s="5"/>
      <c r="BD80" s="5"/>
      <c r="BE80" s="5"/>
      <c r="BF80" s="5"/>
      <c r="BG80" s="5"/>
      <c r="BH80" s="5"/>
      <c r="BI80" s="125"/>
      <c r="BJ80" s="58">
        <f>BJ$39/BJ$43*BJ74</f>
        <v>14420.748130716443</v>
      </c>
      <c r="BK80" s="58"/>
      <c r="BL80" s="58">
        <f>BL$39/BL$43*BL74</f>
        <v>33883.67142353965</v>
      </c>
      <c r="BM80" s="58">
        <f>BM$39/BM$43*BM74</f>
        <v>30140.573873098871</v>
      </c>
    </row>
    <row r="81" spans="1:65" ht="15.75" customHeight="1">
      <c r="A81" s="105" t="s">
        <v>45</v>
      </c>
      <c r="B81" s="105" t="s">
        <v>47</v>
      </c>
      <c r="C81" s="105" t="s">
        <v>80</v>
      </c>
      <c r="D81" s="105" t="s">
        <v>77</v>
      </c>
      <c r="E81" s="105" t="s">
        <v>88</v>
      </c>
      <c r="F81" s="106" t="s">
        <v>71</v>
      </c>
      <c r="G81" s="122">
        <f>G$40/G$43*G74</f>
        <v>10029.321337242143</v>
      </c>
      <c r="H81" s="122">
        <f>H$40/H$43*H74</f>
        <v>64302.248193031104</v>
      </c>
      <c r="I81" s="122">
        <f>I$40/I$43*I74</f>
        <v>70980.874006896061</v>
      </c>
      <c r="J81" s="122">
        <f t="shared" ref="J81:BF81" si="47">J$40/J$43*J74</f>
        <v>84284.383743841128</v>
      </c>
      <c r="K81" s="122">
        <f t="shared" si="47"/>
        <v>99445.052028277089</v>
      </c>
      <c r="L81" s="122">
        <f t="shared" si="47"/>
        <v>91342.518918407164</v>
      </c>
      <c r="M81" s="122">
        <f t="shared" si="47"/>
        <v>81109.712482629533</v>
      </c>
      <c r="N81" s="122">
        <f t="shared" si="47"/>
        <v>67595.9625225239</v>
      </c>
      <c r="O81" s="122">
        <f t="shared" si="47"/>
        <v>70417.855956250525</v>
      </c>
      <c r="P81" s="126">
        <f t="shared" si="47"/>
        <v>69438.691743633986</v>
      </c>
      <c r="Q81" s="122">
        <f t="shared" si="47"/>
        <v>75708.974724936532</v>
      </c>
      <c r="R81" s="122">
        <f t="shared" si="47"/>
        <v>80253.554162582397</v>
      </c>
      <c r="S81" s="122">
        <f t="shared" si="47"/>
        <v>69528.446285463302</v>
      </c>
      <c r="T81" s="122">
        <f t="shared" si="47"/>
        <v>10415.422160097769</v>
      </c>
      <c r="U81" s="122">
        <f t="shared" si="47"/>
        <v>11246.435941500629</v>
      </c>
      <c r="V81" s="122">
        <f t="shared" si="47"/>
        <v>66978.377516083085</v>
      </c>
      <c r="W81" s="122">
        <f t="shared" si="47"/>
        <v>76992.966979553559</v>
      </c>
      <c r="X81" s="122">
        <f t="shared" si="47"/>
        <v>83070.316691714892</v>
      </c>
      <c r="Y81" s="122">
        <f t="shared" si="47"/>
        <v>82455.706555721641</v>
      </c>
      <c r="Z81" s="122">
        <f t="shared" si="47"/>
        <v>91264.169944696347</v>
      </c>
      <c r="AA81" s="122">
        <f t="shared" si="47"/>
        <v>73594.484244988853</v>
      </c>
      <c r="AB81" s="122">
        <f t="shared" si="47"/>
        <v>52589.660664995783</v>
      </c>
      <c r="AC81" s="122">
        <f t="shared" si="47"/>
        <v>69399.495458639212</v>
      </c>
      <c r="AD81" s="126">
        <f t="shared" si="47"/>
        <v>69979.672857131212</v>
      </c>
      <c r="AE81" s="122">
        <f t="shared" si="47"/>
        <v>74175.344606869301</v>
      </c>
      <c r="AF81" s="122">
        <f t="shared" si="47"/>
        <v>80459.34765765378</v>
      </c>
      <c r="AG81" s="122">
        <f t="shared" si="47"/>
        <v>80259.580866530872</v>
      </c>
      <c r="AH81" s="122">
        <f t="shared" si="47"/>
        <v>78377.561422413419</v>
      </c>
      <c r="AI81" s="122">
        <f t="shared" si="47"/>
        <v>75234.336254283524</v>
      </c>
      <c r="AJ81" s="122">
        <f t="shared" si="47"/>
        <v>84631.229516027379</v>
      </c>
      <c r="AK81" s="122">
        <f t="shared" si="47"/>
        <v>85020.347906599258</v>
      </c>
      <c r="AL81" s="122">
        <f t="shared" si="47"/>
        <v>83342.70525647678</v>
      </c>
      <c r="AM81" s="122">
        <f t="shared" si="47"/>
        <v>81328.816964771919</v>
      </c>
      <c r="AN81" s="122">
        <f t="shared" si="47"/>
        <v>71441.100681192183</v>
      </c>
      <c r="AO81" s="122">
        <f t="shared" si="47"/>
        <v>58784.081684661331</v>
      </c>
      <c r="AP81" s="126">
        <f t="shared" si="47"/>
        <v>62798.142086686261</v>
      </c>
      <c r="AQ81" s="122">
        <f t="shared" si="47"/>
        <v>76942.313861576535</v>
      </c>
      <c r="AR81" s="122">
        <f t="shared" si="47"/>
        <v>77674.0522186897</v>
      </c>
      <c r="AS81" s="122">
        <f t="shared" si="47"/>
        <v>76709.309518882175</v>
      </c>
      <c r="AT81" s="122">
        <f t="shared" si="47"/>
        <v>70071.474519262614</v>
      </c>
      <c r="AU81" s="122">
        <f t="shared" si="47"/>
        <v>72293.154421904721</v>
      </c>
      <c r="AV81" s="122">
        <f t="shared" si="47"/>
        <v>81481.686936554281</v>
      </c>
      <c r="AW81" s="122">
        <f t="shared" si="47"/>
        <v>78312.509159663139</v>
      </c>
      <c r="AX81" s="122">
        <f t="shared" si="47"/>
        <v>75361.48127176745</v>
      </c>
      <c r="AY81" s="122">
        <f t="shared" si="47"/>
        <v>69860.723400308736</v>
      </c>
      <c r="AZ81" s="122">
        <f t="shared" si="47"/>
        <v>61172.859963011942</v>
      </c>
      <c r="BA81" s="122">
        <f t="shared" si="47"/>
        <v>58864.67136449895</v>
      </c>
      <c r="BB81" s="126">
        <f t="shared" si="47"/>
        <v>62979.981088862245</v>
      </c>
      <c r="BC81" s="122">
        <f t="shared" si="47"/>
        <v>72638.676982846941</v>
      </c>
      <c r="BD81" s="122">
        <f t="shared" si="47"/>
        <v>81186.817493589115</v>
      </c>
      <c r="BE81" s="122">
        <f t="shared" si="47"/>
        <v>78974.471423922543</v>
      </c>
      <c r="BF81" s="122">
        <f t="shared" si="47"/>
        <v>70184.277305588999</v>
      </c>
      <c r="BG81" s="122">
        <f>BG$40/BG$43*BG74</f>
        <v>73448.614647938128</v>
      </c>
      <c r="BH81" s="122">
        <f>BH$40/BH$43*BH74</f>
        <v>84342.677484405402</v>
      </c>
      <c r="BI81" s="122">
        <f>BI$40/BI$43*BI74</f>
        <v>42555.904043518225</v>
      </c>
      <c r="BJ81" s="122">
        <f>BJ75-BJ76-BJ77-BJ78-BJ79-BJ80</f>
        <v>39434.123600810686</v>
      </c>
      <c r="BK81" s="122">
        <f>BK$40/BK$43*BK74</f>
        <v>555.4768892762313</v>
      </c>
      <c r="BL81" s="122">
        <f>BL75-BL76-BL77-BL78-BL79-BL80</f>
        <v>92714.852277486862</v>
      </c>
      <c r="BM81" s="122">
        <f t="shared" ref="BM81" si="48">BM75-BM76-BM77-BM78-BM79-BM80</f>
        <v>84179.683175866798</v>
      </c>
    </row>
    <row r="82" spans="1:65" ht="15.75" customHeight="1" thickBot="1">
      <c r="A82" s="127" t="s">
        <v>45</v>
      </c>
      <c r="B82" s="127" t="s">
        <v>47</v>
      </c>
      <c r="C82" s="127" t="s">
        <v>80</v>
      </c>
      <c r="D82" s="127" t="s">
        <v>77</v>
      </c>
      <c r="E82" s="127" t="s">
        <v>10</v>
      </c>
      <c r="F82" s="128" t="s">
        <v>71</v>
      </c>
      <c r="G82" s="129">
        <f>G81-G73</f>
        <v>3299.4801051313389</v>
      </c>
      <c r="H82" s="129">
        <f t="shared" ref="H82:BH82" si="49">H81-H73</f>
        <v>23916.092327052211</v>
      </c>
      <c r="I82" s="129">
        <f t="shared" si="49"/>
        <v>25800.301955029056</v>
      </c>
      <c r="J82" s="129">
        <f t="shared" si="49"/>
        <v>26036.609768777686</v>
      </c>
      <c r="K82" s="129">
        <f t="shared" si="49"/>
        <v>43012.946232164548</v>
      </c>
      <c r="L82" s="129">
        <f t="shared" si="49"/>
        <v>40813.407532151163</v>
      </c>
      <c r="M82" s="129">
        <f t="shared" si="49"/>
        <v>35536.342980091831</v>
      </c>
      <c r="N82" s="129">
        <f t="shared" si="49"/>
        <v>25042.648557624911</v>
      </c>
      <c r="O82" s="129">
        <f t="shared" si="49"/>
        <v>29475.441227335883</v>
      </c>
      <c r="P82" s="130">
        <f t="shared" si="49"/>
        <v>24988.697585765403</v>
      </c>
      <c r="Q82" s="129">
        <f t="shared" si="49"/>
        <v>27971.768633196734</v>
      </c>
      <c r="R82" s="129">
        <f t="shared" si="49"/>
        <v>25201.249386074807</v>
      </c>
      <c r="S82" s="129">
        <f t="shared" si="49"/>
        <v>25377.446490468268</v>
      </c>
      <c r="T82" s="129">
        <f t="shared" si="49"/>
        <v>3031.3820506105722</v>
      </c>
      <c r="U82" s="129">
        <f t="shared" si="49"/>
        <v>5551.6804631157411</v>
      </c>
      <c r="V82" s="129">
        <f t="shared" si="49"/>
        <v>24909.596479392028</v>
      </c>
      <c r="W82" s="129">
        <f t="shared" si="49"/>
        <v>30372.165620661399</v>
      </c>
      <c r="X82" s="129">
        <f t="shared" si="49"/>
        <v>23444.053373548377</v>
      </c>
      <c r="Y82" s="129">
        <f t="shared" si="49"/>
        <v>24686.048588612779</v>
      </c>
      <c r="Z82" s="129">
        <f t="shared" si="49"/>
        <v>39125.064647312975</v>
      </c>
      <c r="AA82" s="129">
        <f t="shared" si="49"/>
        <v>26942.577316876028</v>
      </c>
      <c r="AB82" s="129">
        <f t="shared" si="49"/>
        <v>9145.7533818049778</v>
      </c>
      <c r="AC82" s="129">
        <f t="shared" si="49"/>
        <v>27712.264182320767</v>
      </c>
      <c r="AD82" s="130">
        <f t="shared" si="49"/>
        <v>24237.313258556758</v>
      </c>
      <c r="AE82" s="129">
        <f t="shared" si="49"/>
        <v>24917.797236334991</v>
      </c>
      <c r="AF82" s="129">
        <f t="shared" si="49"/>
        <v>23805.210955683542</v>
      </c>
      <c r="AG82" s="129">
        <f t="shared" si="49"/>
        <v>27513.737434971772</v>
      </c>
      <c r="AH82" s="129">
        <f t="shared" si="49"/>
        <v>30523.691356049581</v>
      </c>
      <c r="AI82" s="129">
        <f t="shared" si="49"/>
        <v>28489.872292317377</v>
      </c>
      <c r="AJ82" s="129">
        <f t="shared" si="49"/>
        <v>24367.252151677269</v>
      </c>
      <c r="AK82" s="129">
        <f t="shared" si="49"/>
        <v>26634.4802545079</v>
      </c>
      <c r="AL82" s="129">
        <f t="shared" si="49"/>
        <v>31064.932125855688</v>
      </c>
      <c r="AM82" s="129">
        <f t="shared" si="49"/>
        <v>34053.221441363472</v>
      </c>
      <c r="AN82" s="129">
        <f t="shared" si="49"/>
        <v>27298.363790228876</v>
      </c>
      <c r="AO82" s="129">
        <f t="shared" si="49"/>
        <v>16200.350811002703</v>
      </c>
      <c r="AP82" s="130">
        <f t="shared" si="49"/>
        <v>16197.346785189497</v>
      </c>
      <c r="AQ82" s="129">
        <f t="shared" si="49"/>
        <v>27159.352652423193</v>
      </c>
      <c r="AR82" s="129">
        <f t="shared" si="49"/>
        <v>20413.988920976466</v>
      </c>
      <c r="AS82" s="129">
        <f t="shared" si="49"/>
        <v>24104.121669807231</v>
      </c>
      <c r="AT82" s="129">
        <f t="shared" si="49"/>
        <v>22726.688177009026</v>
      </c>
      <c r="AU82" s="129">
        <f t="shared" si="49"/>
        <v>26537.99128453045</v>
      </c>
      <c r="AV82" s="129">
        <f t="shared" si="49"/>
        <v>22174.28064147957</v>
      </c>
      <c r="AW82" s="129">
        <f t="shared" si="49"/>
        <v>21313.113298782395</v>
      </c>
      <c r="AX82" s="129">
        <f t="shared" si="49"/>
        <v>23638.379474097244</v>
      </c>
      <c r="AY82" s="129">
        <f t="shared" si="49"/>
        <v>23333.55419125504</v>
      </c>
      <c r="AZ82" s="129">
        <f t="shared" si="49"/>
        <v>17845.42428111656</v>
      </c>
      <c r="BA82" s="129">
        <f t="shared" si="49"/>
        <v>17065.377638512982</v>
      </c>
      <c r="BB82" s="130">
        <f t="shared" si="49"/>
        <v>17114.987818441747</v>
      </c>
      <c r="BC82" s="129">
        <f t="shared" si="49"/>
        <v>23775.189991276908</v>
      </c>
      <c r="BD82" s="129">
        <f t="shared" si="49"/>
        <v>24987.125738426126</v>
      </c>
      <c r="BE82" s="129">
        <f t="shared" si="49"/>
        <v>26791.250322300075</v>
      </c>
      <c r="BF82" s="129">
        <f t="shared" si="49"/>
        <v>23094.032825390539</v>
      </c>
      <c r="BG82" s="129">
        <f t="shared" si="49"/>
        <v>27446.126304415891</v>
      </c>
      <c r="BH82" s="129">
        <f t="shared" si="49"/>
        <v>25354.128212422489</v>
      </c>
      <c r="BI82" s="129">
        <f>BI81-BI73</f>
        <v>10656.225630903693</v>
      </c>
      <c r="BJ82" s="129">
        <f>BJ81-BJ73</f>
        <v>12383.208090129268</v>
      </c>
      <c r="BK82" s="129">
        <f>BK81-BK73</f>
        <v>196.0211908058576</v>
      </c>
      <c r="BL82" s="129">
        <f>BL81-BL73</f>
        <v>37205.698982631606</v>
      </c>
      <c r="BM82" s="129">
        <f>BM81-BM73</f>
        <v>25668.039369250801</v>
      </c>
    </row>
    <row r="83" spans="1:65" ht="15.75" customHeight="1" thickTop="1">
      <c r="A83" s="105"/>
      <c r="B83" s="105"/>
      <c r="C83" s="60"/>
      <c r="D83" s="60"/>
      <c r="E83" s="60"/>
      <c r="F83" s="106"/>
      <c r="G83" s="4"/>
      <c r="H83" s="4"/>
      <c r="I83" s="4"/>
      <c r="J83" s="4"/>
      <c r="K83" s="4"/>
      <c r="L83" s="4"/>
      <c r="M83" s="4"/>
      <c r="N83" s="4"/>
      <c r="O83" s="4"/>
      <c r="P83" s="131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131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131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31"/>
      <c r="BC83" s="4"/>
      <c r="BD83" s="4"/>
      <c r="BE83" s="4"/>
      <c r="BF83" s="4"/>
      <c r="BG83" s="4"/>
      <c r="BH83" s="4"/>
      <c r="BI83" s="4"/>
      <c r="BJ83" s="4"/>
      <c r="BK83" s="122"/>
      <c r="BL83" s="122"/>
      <c r="BM83" s="4"/>
    </row>
    <row r="84" spans="1:65" ht="15.75" customHeight="1">
      <c r="A84" s="105" t="s">
        <v>45</v>
      </c>
      <c r="B84" s="105" t="s">
        <v>46</v>
      </c>
      <c r="C84" s="105" t="s">
        <v>80</v>
      </c>
      <c r="D84" s="105" t="s">
        <v>77</v>
      </c>
      <c r="E84" s="105" t="s">
        <v>10</v>
      </c>
      <c r="F84" s="106" t="s">
        <v>71</v>
      </c>
      <c r="G84" s="135">
        <f>G58+G70</f>
        <v>-39132.491063784291</v>
      </c>
      <c r="H84" s="135">
        <f>H58+H70</f>
        <v>-111708.69566959911</v>
      </c>
      <c r="I84" s="135">
        <f t="shared" ref="I84:BL84" si="50">I58+I70</f>
        <v>-153539.46372889535</v>
      </c>
      <c r="J84" s="135">
        <f t="shared" si="50"/>
        <v>-306321.24208592926</v>
      </c>
      <c r="K84" s="135">
        <f t="shared" si="50"/>
        <v>317046.58333426656</v>
      </c>
      <c r="L84" s="135">
        <f t="shared" si="50"/>
        <v>208653.18563603592</v>
      </c>
      <c r="M84" s="135">
        <f t="shared" si="50"/>
        <v>100814.63583640417</v>
      </c>
      <c r="N84" s="135">
        <f t="shared" si="50"/>
        <v>-77864.379246861208</v>
      </c>
      <c r="O84" s="135">
        <f t="shared" si="50"/>
        <v>-50852.486207073613</v>
      </c>
      <c r="P84" s="136">
        <f t="shared" si="50"/>
        <v>-5153.3220483547193</v>
      </c>
      <c r="Q84" s="135">
        <f t="shared" si="50"/>
        <v>116497.42619744624</v>
      </c>
      <c r="R84" s="135">
        <f t="shared" si="50"/>
        <v>42915.922896821809</v>
      </c>
      <c r="S84" s="135">
        <f t="shared" si="50"/>
        <v>71110.364193096524</v>
      </c>
      <c r="T84" s="135">
        <f t="shared" si="50"/>
        <v>-28384.405426010228</v>
      </c>
      <c r="U84" s="135">
        <f t="shared" si="50"/>
        <v>39283.611604438476</v>
      </c>
      <c r="V84" s="135">
        <f t="shared" si="50"/>
        <v>-181638.76099022874</v>
      </c>
      <c r="W84" s="135">
        <f t="shared" si="50"/>
        <v>-43551.348132624873</v>
      </c>
      <c r="X84" s="135">
        <f t="shared" si="50"/>
        <v>-336999.28124171559</v>
      </c>
      <c r="Y84" s="135">
        <f t="shared" si="50"/>
        <v>-90403.408888520324</v>
      </c>
      <c r="Z84" s="135">
        <f t="shared" si="50"/>
        <v>-209719.8976308977</v>
      </c>
      <c r="AA84" s="135">
        <f t="shared" si="50"/>
        <v>6217.4916399801732</v>
      </c>
      <c r="AB84" s="135">
        <f t="shared" si="50"/>
        <v>-115718.09953855677</v>
      </c>
      <c r="AC84" s="135">
        <f t="shared" si="50"/>
        <v>76261.640597450547</v>
      </c>
      <c r="AD84" s="136">
        <f t="shared" si="50"/>
        <v>68143.355929576268</v>
      </c>
      <c r="AE84" s="135">
        <f t="shared" si="50"/>
        <v>64697.32646547677</v>
      </c>
      <c r="AF84" s="135">
        <f t="shared" si="50"/>
        <v>73191.468794069486</v>
      </c>
      <c r="AG84" s="135">
        <f t="shared" si="50"/>
        <v>-96131.03232352389</v>
      </c>
      <c r="AH84" s="135">
        <f t="shared" si="50"/>
        <v>-223345.52713114297</v>
      </c>
      <c r="AI84" s="135">
        <f t="shared" si="50"/>
        <v>-111905.65676986059</v>
      </c>
      <c r="AJ84" s="135">
        <f t="shared" si="50"/>
        <v>-281867.00611565629</v>
      </c>
      <c r="AK84" s="135">
        <f t="shared" si="50"/>
        <v>-293071.67032041948</v>
      </c>
      <c r="AL84" s="135">
        <f t="shared" si="50"/>
        <v>-13094.041443439783</v>
      </c>
      <c r="AM84" s="135">
        <f t="shared" si="50"/>
        <v>325999.67780106375</v>
      </c>
      <c r="AN84" s="135">
        <f t="shared" si="50"/>
        <v>-68153.386359084863</v>
      </c>
      <c r="AO84" s="135">
        <f t="shared" si="50"/>
        <v>-61012.840062573436</v>
      </c>
      <c r="AP84" s="136">
        <f t="shared" si="50"/>
        <v>-49658.556888880848</v>
      </c>
      <c r="AQ84" s="135">
        <f t="shared" si="50"/>
        <v>-13438.541125682299</v>
      </c>
      <c r="AR84" s="135">
        <f t="shared" si="50"/>
        <v>-215241.49330277782</v>
      </c>
      <c r="AS84" s="135">
        <f t="shared" si="50"/>
        <v>-49409.991132367752</v>
      </c>
      <c r="AT84" s="135">
        <f t="shared" si="50"/>
        <v>-227888.32982733723</v>
      </c>
      <c r="AU84" s="135">
        <f t="shared" si="50"/>
        <v>-78526.747040156042</v>
      </c>
      <c r="AV84" s="135">
        <f t="shared" si="50"/>
        <v>-271012.96898199228</v>
      </c>
      <c r="AW84" s="135">
        <f t="shared" si="50"/>
        <v>-222730.46972183022</v>
      </c>
      <c r="AX84" s="135">
        <f t="shared" si="50"/>
        <v>-196694.44062636554</v>
      </c>
      <c r="AY84" s="135">
        <f t="shared" si="50"/>
        <v>-122223.57341298339</v>
      </c>
      <c r="AZ84" s="135">
        <f t="shared" si="50"/>
        <v>-255070.89764078835</v>
      </c>
      <c r="BA84" s="135">
        <f t="shared" si="50"/>
        <v>-290138.92037311231</v>
      </c>
      <c r="BB84" s="136">
        <f t="shared" si="50"/>
        <v>-333740.71198108199</v>
      </c>
      <c r="BC84" s="135">
        <f t="shared" si="50"/>
        <v>-249696.96645425173</v>
      </c>
      <c r="BD84" s="135">
        <f t="shared" si="50"/>
        <v>-297344.43436610134</v>
      </c>
      <c r="BE84" s="135">
        <f t="shared" si="50"/>
        <v>-192562.77225359506</v>
      </c>
      <c r="BF84" s="135">
        <f t="shared" si="50"/>
        <v>-262372.72542244592</v>
      </c>
      <c r="BG84" s="135">
        <f t="shared" si="50"/>
        <v>-132397.26348816574</v>
      </c>
      <c r="BH84" s="135">
        <f t="shared" si="50"/>
        <v>-410492.77557697846</v>
      </c>
      <c r="BI84" s="135">
        <f t="shared" si="50"/>
        <v>-175167.75845951424</v>
      </c>
      <c r="BJ84" s="135">
        <f t="shared" si="50"/>
        <v>-85693.898950445524</v>
      </c>
      <c r="BK84" s="122">
        <f t="shared" si="50"/>
        <v>-2192.6504032752027</v>
      </c>
      <c r="BL84" s="122">
        <f t="shared" si="50"/>
        <v>-102214.49975581456</v>
      </c>
      <c r="BM84" s="135">
        <f>BM58+BM70</f>
        <v>-355103.37598881876</v>
      </c>
    </row>
    <row r="85" spans="1:65" ht="15.75" customHeight="1">
      <c r="A85" s="105" t="s">
        <v>45</v>
      </c>
      <c r="B85" s="105" t="s">
        <v>48</v>
      </c>
      <c r="C85" s="105" t="s">
        <v>80</v>
      </c>
      <c r="D85" s="105" t="s">
        <v>77</v>
      </c>
      <c r="E85" s="105" t="s">
        <v>10</v>
      </c>
      <c r="F85" s="106" t="s">
        <v>71</v>
      </c>
      <c r="G85" s="135">
        <f>G58+G70+G82</f>
        <v>-35833.010958652951</v>
      </c>
      <c r="H85" s="135">
        <f t="shared" ref="H85:BL85" si="51">H58+H70+H82</f>
        <v>-87792.603342546907</v>
      </c>
      <c r="I85" s="135">
        <f>I58+I70+I82</f>
        <v>-127739.1617738663</v>
      </c>
      <c r="J85" s="135">
        <f t="shared" si="51"/>
        <v>-280284.63231715158</v>
      </c>
      <c r="K85" s="135">
        <f t="shared" si="51"/>
        <v>360059.52956643113</v>
      </c>
      <c r="L85" s="135">
        <f t="shared" si="51"/>
        <v>249466.59316818707</v>
      </c>
      <c r="M85" s="135">
        <f t="shared" si="51"/>
        <v>136350.978816496</v>
      </c>
      <c r="N85" s="135">
        <f t="shared" si="51"/>
        <v>-52821.730689236298</v>
      </c>
      <c r="O85" s="135">
        <f t="shared" si="51"/>
        <v>-21377.04497973773</v>
      </c>
      <c r="P85" s="136">
        <f t="shared" si="51"/>
        <v>19835.375537410684</v>
      </c>
      <c r="Q85" s="135">
        <f t="shared" si="51"/>
        <v>144469.19483064298</v>
      </c>
      <c r="R85" s="135">
        <f t="shared" si="51"/>
        <v>68117.172282896616</v>
      </c>
      <c r="S85" s="135">
        <f t="shared" si="51"/>
        <v>96487.810683564792</v>
      </c>
      <c r="T85" s="135">
        <f t="shared" si="51"/>
        <v>-25353.023375399654</v>
      </c>
      <c r="U85" s="135">
        <f t="shared" si="51"/>
        <v>44835.292067554219</v>
      </c>
      <c r="V85" s="135">
        <f t="shared" si="51"/>
        <v>-156729.16451083671</v>
      </c>
      <c r="W85" s="135">
        <f t="shared" si="51"/>
        <v>-13179.182511963474</v>
      </c>
      <c r="X85" s="135">
        <f t="shared" si="51"/>
        <v>-313555.22786816722</v>
      </c>
      <c r="Y85" s="135">
        <f t="shared" si="51"/>
        <v>-65717.360299907537</v>
      </c>
      <c r="Z85" s="135">
        <f t="shared" si="51"/>
        <v>-170594.83298358473</v>
      </c>
      <c r="AA85" s="135">
        <f t="shared" si="51"/>
        <v>33160.068956856201</v>
      </c>
      <c r="AB85" s="135">
        <f t="shared" si="51"/>
        <v>-106572.3461567518</v>
      </c>
      <c r="AC85" s="135">
        <f t="shared" si="51"/>
        <v>103973.90477977131</v>
      </c>
      <c r="AD85" s="136">
        <f t="shared" si="51"/>
        <v>92380.669188133033</v>
      </c>
      <c r="AE85" s="135">
        <f t="shared" si="51"/>
        <v>89615.123701811768</v>
      </c>
      <c r="AF85" s="135">
        <f t="shared" si="51"/>
        <v>96996.679749753035</v>
      </c>
      <c r="AG85" s="135">
        <f t="shared" si="51"/>
        <v>-68617.294888552118</v>
      </c>
      <c r="AH85" s="135">
        <f t="shared" si="51"/>
        <v>-192821.83577509338</v>
      </c>
      <c r="AI85" s="135">
        <f t="shared" si="51"/>
        <v>-83415.784477543217</v>
      </c>
      <c r="AJ85" s="135">
        <f t="shared" si="51"/>
        <v>-257499.75396397902</v>
      </c>
      <c r="AK85" s="135">
        <f t="shared" si="51"/>
        <v>-266437.19006591156</v>
      </c>
      <c r="AL85" s="135">
        <f t="shared" si="51"/>
        <v>17970.890682415906</v>
      </c>
      <c r="AM85" s="135">
        <f t="shared" si="51"/>
        <v>360052.8992424272</v>
      </c>
      <c r="AN85" s="135">
        <f t="shared" si="51"/>
        <v>-40855.022568855988</v>
      </c>
      <c r="AO85" s="135">
        <f t="shared" si="51"/>
        <v>-44812.489251570732</v>
      </c>
      <c r="AP85" s="136">
        <f t="shared" si="51"/>
        <v>-33461.210103691352</v>
      </c>
      <c r="AQ85" s="135">
        <f t="shared" si="51"/>
        <v>13720.811526740894</v>
      </c>
      <c r="AR85" s="135">
        <f t="shared" si="51"/>
        <v>-194827.50438180135</v>
      </c>
      <c r="AS85" s="135">
        <f t="shared" si="51"/>
        <v>-25305.86946256052</v>
      </c>
      <c r="AT85" s="135">
        <f t="shared" si="51"/>
        <v>-205161.64165032821</v>
      </c>
      <c r="AU85" s="135">
        <f t="shared" si="51"/>
        <v>-51988.755755625592</v>
      </c>
      <c r="AV85" s="135">
        <f t="shared" si="51"/>
        <v>-248838.68834051272</v>
      </c>
      <c r="AW85" s="135">
        <f t="shared" si="51"/>
        <v>-201417.35642304784</v>
      </c>
      <c r="AX85" s="135">
        <f t="shared" si="51"/>
        <v>-173056.06115226829</v>
      </c>
      <c r="AY85" s="135">
        <f t="shared" si="51"/>
        <v>-98890.019221728347</v>
      </c>
      <c r="AZ85" s="135">
        <f t="shared" si="51"/>
        <v>-237225.47335967177</v>
      </c>
      <c r="BA85" s="135">
        <f t="shared" si="51"/>
        <v>-273073.54273459932</v>
      </c>
      <c r="BB85" s="136">
        <f t="shared" si="51"/>
        <v>-316625.72416264022</v>
      </c>
      <c r="BC85" s="135">
        <f t="shared" si="51"/>
        <v>-225921.77646297481</v>
      </c>
      <c r="BD85" s="135">
        <f t="shared" si="51"/>
        <v>-272357.30862767523</v>
      </c>
      <c r="BE85" s="135">
        <f t="shared" si="51"/>
        <v>-165771.52193129499</v>
      </c>
      <c r="BF85" s="135">
        <f t="shared" si="51"/>
        <v>-239278.69259705537</v>
      </c>
      <c r="BG85" s="135">
        <f t="shared" si="51"/>
        <v>-104951.13718374984</v>
      </c>
      <c r="BH85" s="135">
        <f t="shared" si="51"/>
        <v>-385138.64736455597</v>
      </c>
      <c r="BI85" s="135">
        <f t="shared" si="51"/>
        <v>-164511.53282861054</v>
      </c>
      <c r="BJ85" s="135">
        <f t="shared" si="51"/>
        <v>-73310.690860316259</v>
      </c>
      <c r="BK85" s="122">
        <f t="shared" si="51"/>
        <v>-1996.629212469345</v>
      </c>
      <c r="BL85" s="122">
        <f t="shared" si="51"/>
        <v>-65008.800773182949</v>
      </c>
      <c r="BM85" s="135">
        <f>BM58+BM70+BM82</f>
        <v>-329435.33661956794</v>
      </c>
    </row>
    <row r="86" spans="1:65" ht="15.75" customHeight="1">
      <c r="A86" s="60"/>
      <c r="B86" s="105"/>
      <c r="C86" s="60"/>
      <c r="D86" s="60"/>
      <c r="E86" s="60"/>
      <c r="F86" s="106"/>
      <c r="G86" s="4"/>
      <c r="H86" s="4"/>
      <c r="I86" s="4"/>
      <c r="J86" s="4"/>
      <c r="K86" s="4"/>
      <c r="L86" s="4"/>
      <c r="M86" s="4"/>
      <c r="N86" s="4"/>
      <c r="O86" s="4"/>
      <c r="P86" s="131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131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131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31"/>
      <c r="BC86" s="4"/>
      <c r="BD86" s="4"/>
      <c r="BE86" s="4"/>
      <c r="BF86" s="4"/>
      <c r="BG86" s="4"/>
      <c r="BH86" s="4"/>
      <c r="BI86" s="4"/>
      <c r="BJ86" s="4"/>
      <c r="BK86" s="122"/>
      <c r="BL86" s="122"/>
      <c r="BM86" s="4"/>
    </row>
    <row r="87" spans="1:65" ht="15.75" customHeight="1">
      <c r="A87" s="60"/>
      <c r="B87" s="105"/>
      <c r="C87" s="60"/>
      <c r="D87" s="60"/>
      <c r="E87" s="60"/>
      <c r="F87" s="106"/>
      <c r="G87" s="4"/>
      <c r="H87" s="4"/>
      <c r="I87" s="4"/>
      <c r="J87" s="4"/>
      <c r="K87" s="4"/>
      <c r="L87" s="4"/>
      <c r="M87" s="4"/>
      <c r="N87" s="4"/>
      <c r="O87" s="4"/>
      <c r="P87" s="131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131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131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31"/>
      <c r="BC87" s="4"/>
      <c r="BD87" s="4"/>
      <c r="BE87" s="4"/>
      <c r="BF87" s="4"/>
      <c r="BG87" s="4"/>
      <c r="BH87" s="4"/>
      <c r="BI87" s="4"/>
      <c r="BJ87" s="4"/>
      <c r="BK87" s="122"/>
      <c r="BL87" s="122"/>
      <c r="BM87" s="4"/>
    </row>
    <row r="88" spans="1:65" ht="15.75" customHeight="1">
      <c r="A88" s="105" t="s">
        <v>49</v>
      </c>
      <c r="B88" s="105" t="s">
        <v>67</v>
      </c>
      <c r="C88" s="105" t="s">
        <v>68</v>
      </c>
      <c r="D88" s="105" t="s">
        <v>69</v>
      </c>
      <c r="E88" s="105" t="s">
        <v>70</v>
      </c>
      <c r="F88" s="106" t="s">
        <v>71</v>
      </c>
      <c r="G88" s="107">
        <v>73313049.390272826</v>
      </c>
      <c r="H88" s="108">
        <f t="shared" ref="H88:S90" si="52">$G88</f>
        <v>73313049.390272826</v>
      </c>
      <c r="I88" s="108">
        <f t="shared" si="52"/>
        <v>73313049.390272826</v>
      </c>
      <c r="J88" s="108">
        <f t="shared" si="52"/>
        <v>73313049.390272826</v>
      </c>
      <c r="K88" s="108">
        <f t="shared" si="52"/>
        <v>73313049.390272826</v>
      </c>
      <c r="L88" s="108">
        <f t="shared" si="52"/>
        <v>73313049.390272826</v>
      </c>
      <c r="M88" s="108">
        <f t="shared" si="52"/>
        <v>73313049.390272826</v>
      </c>
      <c r="N88" s="108">
        <f t="shared" si="52"/>
        <v>73313049.390272826</v>
      </c>
      <c r="O88" s="108">
        <f t="shared" si="52"/>
        <v>73313049.390272826</v>
      </c>
      <c r="P88" s="109">
        <f t="shared" si="52"/>
        <v>73313049.390272826</v>
      </c>
      <c r="Q88" s="108">
        <f t="shared" si="52"/>
        <v>73313049.390272826</v>
      </c>
      <c r="R88" s="108">
        <f t="shared" si="52"/>
        <v>73313049.390272826</v>
      </c>
      <c r="S88" s="108">
        <f t="shared" si="52"/>
        <v>73313049.390272826</v>
      </c>
      <c r="T88" s="107">
        <v>75033954.390272826</v>
      </c>
      <c r="U88" s="108">
        <f>$S88</f>
        <v>73313049.390272826</v>
      </c>
      <c r="V88" s="108">
        <f>$T88</f>
        <v>75033954.390272826</v>
      </c>
      <c r="W88" s="108">
        <f t="shared" ref="W88:BK90" si="53">$T88</f>
        <v>75033954.390272826</v>
      </c>
      <c r="X88" s="108">
        <f t="shared" si="53"/>
        <v>75033954.390272826</v>
      </c>
      <c r="Y88" s="108">
        <f t="shared" si="53"/>
        <v>75033954.390272826</v>
      </c>
      <c r="Z88" s="108">
        <f t="shared" si="53"/>
        <v>75033954.390272826</v>
      </c>
      <c r="AA88" s="108">
        <f t="shared" si="53"/>
        <v>75033954.390272826</v>
      </c>
      <c r="AB88" s="108">
        <f t="shared" si="53"/>
        <v>75033954.390272826</v>
      </c>
      <c r="AC88" s="108">
        <f t="shared" si="53"/>
        <v>75033954.390272826</v>
      </c>
      <c r="AD88" s="109">
        <f t="shared" si="53"/>
        <v>75033954.390272826</v>
      </c>
      <c r="AE88" s="108">
        <f t="shared" si="53"/>
        <v>75033954.390272826</v>
      </c>
      <c r="AF88" s="108">
        <f t="shared" si="53"/>
        <v>75033954.390272826</v>
      </c>
      <c r="AG88" s="108">
        <f t="shared" si="53"/>
        <v>75033954.390272826</v>
      </c>
      <c r="AH88" s="108">
        <f t="shared" si="53"/>
        <v>75033954.390272826</v>
      </c>
      <c r="AI88" s="108">
        <f t="shared" si="53"/>
        <v>75033954.390272826</v>
      </c>
      <c r="AJ88" s="108">
        <f t="shared" si="53"/>
        <v>75033954.390272826</v>
      </c>
      <c r="AK88" s="108">
        <f t="shared" si="53"/>
        <v>75033954.390272826</v>
      </c>
      <c r="AL88" s="108">
        <f t="shared" si="53"/>
        <v>75033954.390272826</v>
      </c>
      <c r="AM88" s="108">
        <f t="shared" si="53"/>
        <v>75033954.390272826</v>
      </c>
      <c r="AN88" s="108">
        <f t="shared" si="53"/>
        <v>75033954.390272826</v>
      </c>
      <c r="AO88" s="108">
        <f t="shared" si="53"/>
        <v>75033954.390272826</v>
      </c>
      <c r="AP88" s="109">
        <f t="shared" si="53"/>
        <v>75033954.390272826</v>
      </c>
      <c r="AQ88" s="108">
        <f t="shared" si="53"/>
        <v>75033954.390272826</v>
      </c>
      <c r="AR88" s="108">
        <f t="shared" si="53"/>
        <v>75033954.390272826</v>
      </c>
      <c r="AS88" s="108">
        <f t="shared" si="53"/>
        <v>75033954.390272826</v>
      </c>
      <c r="AT88" s="108">
        <f t="shared" si="53"/>
        <v>75033954.390272826</v>
      </c>
      <c r="AU88" s="108">
        <f t="shared" si="53"/>
        <v>75033954.390272826</v>
      </c>
      <c r="AV88" s="108">
        <f t="shared" si="53"/>
        <v>75033954.390272826</v>
      </c>
      <c r="AW88" s="108">
        <f t="shared" si="53"/>
        <v>75033954.390272826</v>
      </c>
      <c r="AX88" s="108">
        <f t="shared" si="53"/>
        <v>75033954.390272826</v>
      </c>
      <c r="AY88" s="108">
        <f t="shared" si="53"/>
        <v>75033954.390272826</v>
      </c>
      <c r="AZ88" s="108">
        <f t="shared" si="53"/>
        <v>75033954.390272826</v>
      </c>
      <c r="BA88" s="108">
        <f t="shared" si="53"/>
        <v>75033954.390272826</v>
      </c>
      <c r="BB88" s="109">
        <f t="shared" si="53"/>
        <v>75033954.390272826</v>
      </c>
      <c r="BC88" s="108">
        <f t="shared" si="53"/>
        <v>75033954.390272826</v>
      </c>
      <c r="BD88" s="108">
        <f t="shared" si="53"/>
        <v>75033954.390272826</v>
      </c>
      <c r="BE88" s="108">
        <f t="shared" si="53"/>
        <v>75033954.390272826</v>
      </c>
      <c r="BF88" s="108">
        <f t="shared" si="53"/>
        <v>75033954.390272826</v>
      </c>
      <c r="BG88" s="108">
        <f t="shared" si="53"/>
        <v>75033954.390272826</v>
      </c>
      <c r="BH88" s="108">
        <f t="shared" si="53"/>
        <v>75033954.390272826</v>
      </c>
      <c r="BI88" s="108">
        <f t="shared" si="53"/>
        <v>75033954.390272826</v>
      </c>
      <c r="BJ88" s="107">
        <v>76324918.432145074</v>
      </c>
      <c r="BK88" s="110">
        <f t="shared" si="53"/>
        <v>75033954.390272826</v>
      </c>
      <c r="BL88" s="111">
        <f>$BJ88</f>
        <v>76324918.432145074</v>
      </c>
      <c r="BM88" s="111">
        <f t="shared" ref="BM88:BM90" si="54">$BJ88</f>
        <v>76324918.432145074</v>
      </c>
    </row>
    <row r="89" spans="1:65" ht="15.75" customHeight="1">
      <c r="A89" s="105" t="s">
        <v>49</v>
      </c>
      <c r="B89" s="105" t="s">
        <v>67</v>
      </c>
      <c r="C89" s="105" t="s">
        <v>68</v>
      </c>
      <c r="D89" s="105" t="s">
        <v>69</v>
      </c>
      <c r="E89" s="105" t="s">
        <v>72</v>
      </c>
      <c r="F89" s="106" t="s">
        <v>71</v>
      </c>
      <c r="G89" s="107">
        <v>1743314</v>
      </c>
      <c r="H89" s="108">
        <f t="shared" si="52"/>
        <v>1743314</v>
      </c>
      <c r="I89" s="108">
        <f t="shared" si="52"/>
        <v>1743314</v>
      </c>
      <c r="J89" s="108">
        <f t="shared" si="52"/>
        <v>1743314</v>
      </c>
      <c r="K89" s="108">
        <f t="shared" si="52"/>
        <v>1743314</v>
      </c>
      <c r="L89" s="108">
        <f t="shared" si="52"/>
        <v>1743314</v>
      </c>
      <c r="M89" s="108">
        <f t="shared" si="52"/>
        <v>1743314</v>
      </c>
      <c r="N89" s="108">
        <f t="shared" si="52"/>
        <v>1743314</v>
      </c>
      <c r="O89" s="108">
        <f t="shared" si="52"/>
        <v>1743314</v>
      </c>
      <c r="P89" s="109">
        <f t="shared" si="52"/>
        <v>1743314</v>
      </c>
      <c r="Q89" s="108">
        <f t="shared" si="52"/>
        <v>1743314</v>
      </c>
      <c r="R89" s="108">
        <f t="shared" si="52"/>
        <v>1743314</v>
      </c>
      <c r="S89" s="108">
        <f t="shared" si="52"/>
        <v>1743314</v>
      </c>
      <c r="T89" s="107">
        <v>1782362</v>
      </c>
      <c r="U89" s="108">
        <f>$S89</f>
        <v>1743314</v>
      </c>
      <c r="V89" s="108">
        <f>$T89</f>
        <v>1782362</v>
      </c>
      <c r="W89" s="108">
        <f t="shared" si="53"/>
        <v>1782362</v>
      </c>
      <c r="X89" s="108">
        <f t="shared" si="53"/>
        <v>1782362</v>
      </c>
      <c r="Y89" s="108">
        <f t="shared" si="53"/>
        <v>1782362</v>
      </c>
      <c r="Z89" s="108">
        <f t="shared" si="53"/>
        <v>1782362</v>
      </c>
      <c r="AA89" s="108">
        <f t="shared" si="53"/>
        <v>1782362</v>
      </c>
      <c r="AB89" s="108">
        <f t="shared" si="53"/>
        <v>1782362</v>
      </c>
      <c r="AC89" s="108">
        <f t="shared" si="53"/>
        <v>1782362</v>
      </c>
      <c r="AD89" s="109">
        <f t="shared" si="53"/>
        <v>1782362</v>
      </c>
      <c r="AE89" s="108">
        <f t="shared" si="53"/>
        <v>1782362</v>
      </c>
      <c r="AF89" s="108">
        <f t="shared" si="53"/>
        <v>1782362</v>
      </c>
      <c r="AG89" s="108">
        <f t="shared" si="53"/>
        <v>1782362</v>
      </c>
      <c r="AH89" s="108">
        <f t="shared" si="53"/>
        <v>1782362</v>
      </c>
      <c r="AI89" s="108">
        <f t="shared" si="53"/>
        <v>1782362</v>
      </c>
      <c r="AJ89" s="108">
        <f t="shared" si="53"/>
        <v>1782362</v>
      </c>
      <c r="AK89" s="108">
        <f t="shared" si="53"/>
        <v>1782362</v>
      </c>
      <c r="AL89" s="108">
        <f t="shared" si="53"/>
        <v>1782362</v>
      </c>
      <c r="AM89" s="108">
        <f t="shared" si="53"/>
        <v>1782362</v>
      </c>
      <c r="AN89" s="108">
        <f t="shared" si="53"/>
        <v>1782362</v>
      </c>
      <c r="AO89" s="108">
        <f t="shared" si="53"/>
        <v>1782362</v>
      </c>
      <c r="AP89" s="109">
        <f t="shared" si="53"/>
        <v>1782362</v>
      </c>
      <c r="AQ89" s="108">
        <f t="shared" si="53"/>
        <v>1782362</v>
      </c>
      <c r="AR89" s="108">
        <f t="shared" si="53"/>
        <v>1782362</v>
      </c>
      <c r="AS89" s="108">
        <f t="shared" si="53"/>
        <v>1782362</v>
      </c>
      <c r="AT89" s="108">
        <f t="shared" si="53"/>
        <v>1782362</v>
      </c>
      <c r="AU89" s="108">
        <f t="shared" si="53"/>
        <v>1782362</v>
      </c>
      <c r="AV89" s="108">
        <f t="shared" si="53"/>
        <v>1782362</v>
      </c>
      <c r="AW89" s="108">
        <f t="shared" si="53"/>
        <v>1782362</v>
      </c>
      <c r="AX89" s="108">
        <f t="shared" si="53"/>
        <v>1782362</v>
      </c>
      <c r="AY89" s="108">
        <f t="shared" si="53"/>
        <v>1782362</v>
      </c>
      <c r="AZ89" s="108">
        <f t="shared" si="53"/>
        <v>1782362</v>
      </c>
      <c r="BA89" s="108">
        <f t="shared" si="53"/>
        <v>1782362</v>
      </c>
      <c r="BB89" s="109">
        <f t="shared" si="53"/>
        <v>1782362</v>
      </c>
      <c r="BC89" s="108">
        <f t="shared" si="53"/>
        <v>1782362</v>
      </c>
      <c r="BD89" s="108">
        <f t="shared" si="53"/>
        <v>1782362</v>
      </c>
      <c r="BE89" s="108">
        <f t="shared" si="53"/>
        <v>1782362</v>
      </c>
      <c r="BF89" s="108">
        <f t="shared" si="53"/>
        <v>1782362</v>
      </c>
      <c r="BG89" s="108">
        <f t="shared" si="53"/>
        <v>1782362</v>
      </c>
      <c r="BH89" s="108">
        <f t="shared" si="53"/>
        <v>1782362</v>
      </c>
      <c r="BI89" s="108">
        <f t="shared" si="53"/>
        <v>1782362</v>
      </c>
      <c r="BJ89" s="107">
        <v>1621861</v>
      </c>
      <c r="BK89" s="110">
        <f t="shared" si="53"/>
        <v>1782362</v>
      </c>
      <c r="BL89" s="111">
        <f t="shared" ref="BL89:BL90" si="55">$BJ89</f>
        <v>1621861</v>
      </c>
      <c r="BM89" s="111">
        <f t="shared" si="54"/>
        <v>1621861</v>
      </c>
    </row>
    <row r="90" spans="1:65" ht="15.75" customHeight="1">
      <c r="A90" s="105" t="s">
        <v>49</v>
      </c>
      <c r="B90" s="105" t="s">
        <v>67</v>
      </c>
      <c r="C90" s="105" t="s">
        <v>68</v>
      </c>
      <c r="D90" s="105" t="s">
        <v>69</v>
      </c>
      <c r="E90" s="105" t="s">
        <v>73</v>
      </c>
      <c r="F90" s="106" t="s">
        <v>71</v>
      </c>
      <c r="G90" s="107">
        <v>27808883.347344801</v>
      </c>
      <c r="H90" s="108">
        <f t="shared" si="52"/>
        <v>27808883.347344801</v>
      </c>
      <c r="I90" s="108">
        <f t="shared" si="52"/>
        <v>27808883.347344801</v>
      </c>
      <c r="J90" s="108">
        <f t="shared" si="52"/>
        <v>27808883.347344801</v>
      </c>
      <c r="K90" s="108">
        <f t="shared" si="52"/>
        <v>27808883.347344801</v>
      </c>
      <c r="L90" s="108">
        <f t="shared" si="52"/>
        <v>27808883.347344801</v>
      </c>
      <c r="M90" s="108">
        <f t="shared" si="52"/>
        <v>27808883.347344801</v>
      </c>
      <c r="N90" s="108">
        <f t="shared" si="52"/>
        <v>27808883.347344801</v>
      </c>
      <c r="O90" s="108">
        <f t="shared" si="52"/>
        <v>27808883.347344801</v>
      </c>
      <c r="P90" s="109">
        <f t="shared" si="52"/>
        <v>27808883.347344801</v>
      </c>
      <c r="Q90" s="108">
        <f t="shared" si="52"/>
        <v>27808883.347344801</v>
      </c>
      <c r="R90" s="108">
        <f t="shared" si="52"/>
        <v>27808883.347344801</v>
      </c>
      <c r="S90" s="108">
        <f t="shared" si="52"/>
        <v>27808883.347344801</v>
      </c>
      <c r="T90" s="107">
        <v>27808883.347344801</v>
      </c>
      <c r="U90" s="108">
        <f>$S90</f>
        <v>27808883.347344801</v>
      </c>
      <c r="V90" s="108">
        <f>$T90</f>
        <v>27808883.347344801</v>
      </c>
      <c r="W90" s="108">
        <f t="shared" si="53"/>
        <v>27808883.347344801</v>
      </c>
      <c r="X90" s="108">
        <f t="shared" si="53"/>
        <v>27808883.347344801</v>
      </c>
      <c r="Y90" s="108">
        <f t="shared" si="53"/>
        <v>27808883.347344801</v>
      </c>
      <c r="Z90" s="108">
        <f t="shared" si="53"/>
        <v>27808883.347344801</v>
      </c>
      <c r="AA90" s="108">
        <f t="shared" si="53"/>
        <v>27808883.347344801</v>
      </c>
      <c r="AB90" s="108">
        <f t="shared" si="53"/>
        <v>27808883.347344801</v>
      </c>
      <c r="AC90" s="108">
        <f t="shared" si="53"/>
        <v>27808883.347344801</v>
      </c>
      <c r="AD90" s="109">
        <f t="shared" si="53"/>
        <v>27808883.347344801</v>
      </c>
      <c r="AE90" s="108">
        <f t="shared" si="53"/>
        <v>27808883.347344801</v>
      </c>
      <c r="AF90" s="108">
        <f t="shared" si="53"/>
        <v>27808883.347344801</v>
      </c>
      <c r="AG90" s="108">
        <f t="shared" si="53"/>
        <v>27808883.347344801</v>
      </c>
      <c r="AH90" s="108">
        <f t="shared" si="53"/>
        <v>27808883.347344801</v>
      </c>
      <c r="AI90" s="108">
        <f t="shared" si="53"/>
        <v>27808883.347344801</v>
      </c>
      <c r="AJ90" s="108">
        <f t="shared" si="53"/>
        <v>27808883.347344801</v>
      </c>
      <c r="AK90" s="108">
        <f t="shared" si="53"/>
        <v>27808883.347344801</v>
      </c>
      <c r="AL90" s="108">
        <f t="shared" si="53"/>
        <v>27808883.347344801</v>
      </c>
      <c r="AM90" s="108">
        <f t="shared" si="53"/>
        <v>27808883.347344801</v>
      </c>
      <c r="AN90" s="108">
        <f t="shared" si="53"/>
        <v>27808883.347344801</v>
      </c>
      <c r="AO90" s="108">
        <f t="shared" si="53"/>
        <v>27808883.347344801</v>
      </c>
      <c r="AP90" s="109">
        <f t="shared" si="53"/>
        <v>27808883.347344801</v>
      </c>
      <c r="AQ90" s="108">
        <f t="shared" si="53"/>
        <v>27808883.347344801</v>
      </c>
      <c r="AR90" s="108">
        <f t="shared" si="53"/>
        <v>27808883.347344801</v>
      </c>
      <c r="AS90" s="108">
        <f t="shared" si="53"/>
        <v>27808883.347344801</v>
      </c>
      <c r="AT90" s="108">
        <f t="shared" si="53"/>
        <v>27808883.347344801</v>
      </c>
      <c r="AU90" s="108">
        <f t="shared" si="53"/>
        <v>27808883.347344801</v>
      </c>
      <c r="AV90" s="108">
        <f t="shared" si="53"/>
        <v>27808883.347344801</v>
      </c>
      <c r="AW90" s="108">
        <f t="shared" si="53"/>
        <v>27808883.347344801</v>
      </c>
      <c r="AX90" s="108">
        <f t="shared" si="53"/>
        <v>27808883.347344801</v>
      </c>
      <c r="AY90" s="108">
        <f t="shared" si="53"/>
        <v>27808883.347344801</v>
      </c>
      <c r="AZ90" s="108">
        <f t="shared" si="53"/>
        <v>27808883.347344801</v>
      </c>
      <c r="BA90" s="108">
        <f t="shared" si="53"/>
        <v>27808883.347344801</v>
      </c>
      <c r="BB90" s="109">
        <f t="shared" si="53"/>
        <v>27808883.347344801</v>
      </c>
      <c r="BC90" s="108">
        <f t="shared" si="53"/>
        <v>27808883.347344801</v>
      </c>
      <c r="BD90" s="108">
        <f t="shared" si="53"/>
        <v>27808883.347344801</v>
      </c>
      <c r="BE90" s="108">
        <f t="shared" si="53"/>
        <v>27808883.347344801</v>
      </c>
      <c r="BF90" s="108">
        <f t="shared" si="53"/>
        <v>27808883.347344801</v>
      </c>
      <c r="BG90" s="108">
        <f t="shared" si="53"/>
        <v>27808883.347344801</v>
      </c>
      <c r="BH90" s="108">
        <f t="shared" si="53"/>
        <v>27808883.347344801</v>
      </c>
      <c r="BI90" s="108">
        <f t="shared" si="53"/>
        <v>27808883.347344801</v>
      </c>
      <c r="BJ90" s="107">
        <v>23161494.362706929</v>
      </c>
      <c r="BK90" s="110">
        <f t="shared" si="53"/>
        <v>27808883.347344801</v>
      </c>
      <c r="BL90" s="111">
        <f t="shared" si="55"/>
        <v>23161494.362706929</v>
      </c>
      <c r="BM90" s="111">
        <f t="shared" si="54"/>
        <v>23161494.362706929</v>
      </c>
    </row>
    <row r="91" spans="1:65" ht="15.75" customHeight="1">
      <c r="A91" s="105" t="s">
        <v>49</v>
      </c>
      <c r="B91" s="105" t="s">
        <v>67</v>
      </c>
      <c r="C91" s="105" t="s">
        <v>68</v>
      </c>
      <c r="D91" s="105" t="s">
        <v>69</v>
      </c>
      <c r="E91" s="105" t="s">
        <v>74</v>
      </c>
      <c r="F91" s="106" t="s">
        <v>71</v>
      </c>
      <c r="G91" s="108">
        <f t="shared" ref="G91:BK91" si="56">G88-G89-G90</f>
        <v>43760852.042928025</v>
      </c>
      <c r="H91" s="108">
        <f t="shared" si="56"/>
        <v>43760852.042928025</v>
      </c>
      <c r="I91" s="108">
        <f t="shared" si="56"/>
        <v>43760852.042928025</v>
      </c>
      <c r="J91" s="108">
        <f t="shared" si="56"/>
        <v>43760852.042928025</v>
      </c>
      <c r="K91" s="108">
        <f t="shared" si="56"/>
        <v>43760852.042928025</v>
      </c>
      <c r="L91" s="108">
        <f t="shared" si="56"/>
        <v>43760852.042928025</v>
      </c>
      <c r="M91" s="108">
        <f t="shared" si="56"/>
        <v>43760852.042928025</v>
      </c>
      <c r="N91" s="108">
        <f t="shared" si="56"/>
        <v>43760852.042928025</v>
      </c>
      <c r="O91" s="108">
        <f t="shared" si="56"/>
        <v>43760852.042928025</v>
      </c>
      <c r="P91" s="109">
        <f t="shared" si="56"/>
        <v>43760852.042928025</v>
      </c>
      <c r="Q91" s="108">
        <f t="shared" si="56"/>
        <v>43760852.042928025</v>
      </c>
      <c r="R91" s="108">
        <f t="shared" si="56"/>
        <v>43760852.042928025</v>
      </c>
      <c r="S91" s="108">
        <f t="shared" si="56"/>
        <v>43760852.042928025</v>
      </c>
      <c r="T91" s="108">
        <f t="shared" si="56"/>
        <v>45442709.042928025</v>
      </c>
      <c r="U91" s="108">
        <f t="shared" si="56"/>
        <v>43760852.042928025</v>
      </c>
      <c r="V91" s="108">
        <f t="shared" si="56"/>
        <v>45442709.042928025</v>
      </c>
      <c r="W91" s="108">
        <f t="shared" si="56"/>
        <v>45442709.042928025</v>
      </c>
      <c r="X91" s="108">
        <f t="shared" si="56"/>
        <v>45442709.042928025</v>
      </c>
      <c r="Y91" s="108">
        <f t="shared" si="56"/>
        <v>45442709.042928025</v>
      </c>
      <c r="Z91" s="108">
        <f t="shared" si="56"/>
        <v>45442709.042928025</v>
      </c>
      <c r="AA91" s="108">
        <f t="shared" si="56"/>
        <v>45442709.042928025</v>
      </c>
      <c r="AB91" s="108">
        <f t="shared" si="56"/>
        <v>45442709.042928025</v>
      </c>
      <c r="AC91" s="108">
        <f t="shared" si="56"/>
        <v>45442709.042928025</v>
      </c>
      <c r="AD91" s="109">
        <f t="shared" si="56"/>
        <v>45442709.042928025</v>
      </c>
      <c r="AE91" s="108">
        <f t="shared" si="56"/>
        <v>45442709.042928025</v>
      </c>
      <c r="AF91" s="108">
        <f t="shared" si="56"/>
        <v>45442709.042928025</v>
      </c>
      <c r="AG91" s="108">
        <f t="shared" si="56"/>
        <v>45442709.042928025</v>
      </c>
      <c r="AH91" s="108">
        <f t="shared" si="56"/>
        <v>45442709.042928025</v>
      </c>
      <c r="AI91" s="108">
        <f t="shared" si="56"/>
        <v>45442709.042928025</v>
      </c>
      <c r="AJ91" s="108">
        <f t="shared" si="56"/>
        <v>45442709.042928025</v>
      </c>
      <c r="AK91" s="108">
        <f t="shared" si="56"/>
        <v>45442709.042928025</v>
      </c>
      <c r="AL91" s="108">
        <f t="shared" si="56"/>
        <v>45442709.042928025</v>
      </c>
      <c r="AM91" s="108">
        <f t="shared" si="56"/>
        <v>45442709.042928025</v>
      </c>
      <c r="AN91" s="108">
        <f t="shared" si="56"/>
        <v>45442709.042928025</v>
      </c>
      <c r="AO91" s="108">
        <f t="shared" si="56"/>
        <v>45442709.042928025</v>
      </c>
      <c r="AP91" s="109">
        <f t="shared" si="56"/>
        <v>45442709.042928025</v>
      </c>
      <c r="AQ91" s="108">
        <f t="shared" si="56"/>
        <v>45442709.042928025</v>
      </c>
      <c r="AR91" s="108">
        <f t="shared" si="56"/>
        <v>45442709.042928025</v>
      </c>
      <c r="AS91" s="108">
        <f t="shared" si="56"/>
        <v>45442709.042928025</v>
      </c>
      <c r="AT91" s="108">
        <f t="shared" si="56"/>
        <v>45442709.042928025</v>
      </c>
      <c r="AU91" s="108">
        <f t="shared" si="56"/>
        <v>45442709.042928025</v>
      </c>
      <c r="AV91" s="108">
        <f t="shared" si="56"/>
        <v>45442709.042928025</v>
      </c>
      <c r="AW91" s="108">
        <f t="shared" si="56"/>
        <v>45442709.042928025</v>
      </c>
      <c r="AX91" s="108">
        <f t="shared" si="56"/>
        <v>45442709.042928025</v>
      </c>
      <c r="AY91" s="108">
        <f t="shared" si="56"/>
        <v>45442709.042928025</v>
      </c>
      <c r="AZ91" s="108">
        <f t="shared" si="56"/>
        <v>45442709.042928025</v>
      </c>
      <c r="BA91" s="108">
        <f t="shared" si="56"/>
        <v>45442709.042928025</v>
      </c>
      <c r="BB91" s="109">
        <f t="shared" si="56"/>
        <v>45442709.042928025</v>
      </c>
      <c r="BC91" s="108">
        <f t="shared" si="56"/>
        <v>45442709.042928025</v>
      </c>
      <c r="BD91" s="108">
        <f t="shared" si="56"/>
        <v>45442709.042928025</v>
      </c>
      <c r="BE91" s="108">
        <f t="shared" si="56"/>
        <v>45442709.042928025</v>
      </c>
      <c r="BF91" s="108">
        <f t="shared" si="56"/>
        <v>45442709.042928025</v>
      </c>
      <c r="BG91" s="108">
        <f t="shared" si="56"/>
        <v>45442709.042928025</v>
      </c>
      <c r="BH91" s="108">
        <f t="shared" si="56"/>
        <v>45442709.042928025</v>
      </c>
      <c r="BI91" s="108">
        <f t="shared" si="56"/>
        <v>45442709.042928025</v>
      </c>
      <c r="BJ91" s="108">
        <f t="shared" si="56"/>
        <v>51541563.069438145</v>
      </c>
      <c r="BK91" s="110">
        <f t="shared" si="56"/>
        <v>45442709.042928025</v>
      </c>
      <c r="BL91" s="111">
        <f>BL88-BL89-BL90</f>
        <v>51541563.069438145</v>
      </c>
      <c r="BM91" s="111">
        <f t="shared" ref="BM91" si="57">BM88-BM89-BM90</f>
        <v>51541563.069438145</v>
      </c>
    </row>
    <row r="92" spans="1:65" ht="15.75" customHeight="1">
      <c r="A92" s="105" t="s">
        <v>49</v>
      </c>
      <c r="B92" s="105" t="s">
        <v>67</v>
      </c>
      <c r="C92" s="105" t="s">
        <v>68</v>
      </c>
      <c r="D92" s="105" t="s">
        <v>69</v>
      </c>
      <c r="E92" s="105" t="s">
        <v>75</v>
      </c>
      <c r="F92" s="106" t="s">
        <v>76</v>
      </c>
      <c r="G92" s="112">
        <v>1085.852777777774</v>
      </c>
      <c r="H92" s="113">
        <f>$G92</f>
        <v>1085.852777777774</v>
      </c>
      <c r="I92" s="113">
        <f t="shared" ref="I92:BI92" si="58">$G92</f>
        <v>1085.852777777774</v>
      </c>
      <c r="J92" s="113">
        <f t="shared" si="58"/>
        <v>1085.852777777774</v>
      </c>
      <c r="K92" s="113">
        <f t="shared" si="58"/>
        <v>1085.852777777774</v>
      </c>
      <c r="L92" s="113">
        <f t="shared" si="58"/>
        <v>1085.852777777774</v>
      </c>
      <c r="M92" s="113">
        <f t="shared" si="58"/>
        <v>1085.852777777774</v>
      </c>
      <c r="N92" s="113">
        <f t="shared" si="58"/>
        <v>1085.852777777774</v>
      </c>
      <c r="O92" s="113">
        <f t="shared" si="58"/>
        <v>1085.852777777774</v>
      </c>
      <c r="P92" s="114">
        <f t="shared" si="58"/>
        <v>1085.852777777774</v>
      </c>
      <c r="Q92" s="113">
        <f t="shared" si="58"/>
        <v>1085.852777777774</v>
      </c>
      <c r="R92" s="113">
        <f t="shared" si="58"/>
        <v>1085.852777777774</v>
      </c>
      <c r="S92" s="113">
        <f t="shared" si="58"/>
        <v>1085.852777777774</v>
      </c>
      <c r="T92" s="113">
        <f t="shared" si="58"/>
        <v>1085.852777777774</v>
      </c>
      <c r="U92" s="113">
        <f t="shared" si="58"/>
        <v>1085.852777777774</v>
      </c>
      <c r="V92" s="113">
        <f t="shared" si="58"/>
        <v>1085.852777777774</v>
      </c>
      <c r="W92" s="113">
        <f t="shared" si="58"/>
        <v>1085.852777777774</v>
      </c>
      <c r="X92" s="113">
        <f t="shared" si="58"/>
        <v>1085.852777777774</v>
      </c>
      <c r="Y92" s="113">
        <f t="shared" si="58"/>
        <v>1085.852777777774</v>
      </c>
      <c r="Z92" s="113">
        <f t="shared" si="58"/>
        <v>1085.852777777774</v>
      </c>
      <c r="AA92" s="113">
        <f t="shared" si="58"/>
        <v>1085.852777777774</v>
      </c>
      <c r="AB92" s="113">
        <f t="shared" si="58"/>
        <v>1085.852777777774</v>
      </c>
      <c r="AC92" s="113">
        <f t="shared" si="58"/>
        <v>1085.852777777774</v>
      </c>
      <c r="AD92" s="114">
        <f t="shared" si="58"/>
        <v>1085.852777777774</v>
      </c>
      <c r="AE92" s="113">
        <f t="shared" si="58"/>
        <v>1085.852777777774</v>
      </c>
      <c r="AF92" s="113">
        <f t="shared" si="58"/>
        <v>1085.852777777774</v>
      </c>
      <c r="AG92" s="113">
        <f t="shared" si="58"/>
        <v>1085.852777777774</v>
      </c>
      <c r="AH92" s="113">
        <f t="shared" si="58"/>
        <v>1085.852777777774</v>
      </c>
      <c r="AI92" s="113">
        <f t="shared" si="58"/>
        <v>1085.852777777774</v>
      </c>
      <c r="AJ92" s="113">
        <f t="shared" si="58"/>
        <v>1085.852777777774</v>
      </c>
      <c r="AK92" s="113">
        <f t="shared" si="58"/>
        <v>1085.852777777774</v>
      </c>
      <c r="AL92" s="113">
        <f t="shared" si="58"/>
        <v>1085.852777777774</v>
      </c>
      <c r="AM92" s="113">
        <f t="shared" si="58"/>
        <v>1085.852777777774</v>
      </c>
      <c r="AN92" s="113">
        <f t="shared" si="58"/>
        <v>1085.852777777774</v>
      </c>
      <c r="AO92" s="113">
        <f t="shared" si="58"/>
        <v>1085.852777777774</v>
      </c>
      <c r="AP92" s="114">
        <f t="shared" si="58"/>
        <v>1085.852777777774</v>
      </c>
      <c r="AQ92" s="113">
        <f t="shared" si="58"/>
        <v>1085.852777777774</v>
      </c>
      <c r="AR92" s="113">
        <f t="shared" si="58"/>
        <v>1085.852777777774</v>
      </c>
      <c r="AS92" s="113">
        <f t="shared" si="58"/>
        <v>1085.852777777774</v>
      </c>
      <c r="AT92" s="113">
        <f t="shared" si="58"/>
        <v>1085.852777777774</v>
      </c>
      <c r="AU92" s="113">
        <f t="shared" si="58"/>
        <v>1085.852777777774</v>
      </c>
      <c r="AV92" s="113">
        <f t="shared" si="58"/>
        <v>1085.852777777774</v>
      </c>
      <c r="AW92" s="113">
        <f t="shared" si="58"/>
        <v>1085.852777777774</v>
      </c>
      <c r="AX92" s="113">
        <f t="shared" si="58"/>
        <v>1085.852777777774</v>
      </c>
      <c r="AY92" s="113">
        <f t="shared" si="58"/>
        <v>1085.852777777774</v>
      </c>
      <c r="AZ92" s="113">
        <f t="shared" si="58"/>
        <v>1085.852777777774</v>
      </c>
      <c r="BA92" s="113">
        <f t="shared" si="58"/>
        <v>1085.852777777774</v>
      </c>
      <c r="BB92" s="114">
        <f t="shared" si="58"/>
        <v>1085.852777777774</v>
      </c>
      <c r="BC92" s="113">
        <f t="shared" si="58"/>
        <v>1085.852777777774</v>
      </c>
      <c r="BD92" s="113">
        <f t="shared" si="58"/>
        <v>1085.852777777774</v>
      </c>
      <c r="BE92" s="113">
        <f t="shared" si="58"/>
        <v>1085.852777777774</v>
      </c>
      <c r="BF92" s="113">
        <f t="shared" si="58"/>
        <v>1085.852777777774</v>
      </c>
      <c r="BG92" s="113">
        <f t="shared" si="58"/>
        <v>1085.852777777774</v>
      </c>
      <c r="BH92" s="113">
        <f t="shared" si="58"/>
        <v>1085.852777777774</v>
      </c>
      <c r="BI92" s="113">
        <f t="shared" si="58"/>
        <v>1085.852777777774</v>
      </c>
      <c r="BJ92" s="115">
        <v>1076.1138888888891</v>
      </c>
      <c r="BK92" s="113">
        <f>$G92</f>
        <v>1085.852777777774</v>
      </c>
      <c r="BL92" s="111">
        <f>$BJ92</f>
        <v>1076.1138888888891</v>
      </c>
      <c r="BM92" s="111">
        <f t="shared" ref="BM92" si="59">$BJ92</f>
        <v>1076.1138888888891</v>
      </c>
    </row>
    <row r="93" spans="1:65" ht="15.75" customHeight="1">
      <c r="A93" s="105" t="s">
        <v>49</v>
      </c>
      <c r="B93" s="105" t="s">
        <v>67</v>
      </c>
      <c r="C93" s="105" t="s">
        <v>68</v>
      </c>
      <c r="D93" s="105" t="s">
        <v>77</v>
      </c>
      <c r="E93" s="105" t="s">
        <v>78</v>
      </c>
      <c r="F93" s="106" t="s">
        <v>79</v>
      </c>
      <c r="G93" s="113">
        <v>84536244.190032259</v>
      </c>
      <c r="H93" s="113">
        <v>90662249.099754497</v>
      </c>
      <c r="I93" s="113">
        <v>86359900.114844874</v>
      </c>
      <c r="J93" s="113">
        <v>89430805.498214662</v>
      </c>
      <c r="K93" s="113">
        <v>81428358.446692079</v>
      </c>
      <c r="L93" s="113">
        <v>74983729.792934299</v>
      </c>
      <c r="M93" s="113">
        <v>70797860.261470228</v>
      </c>
      <c r="N93" s="113">
        <v>68943636.130099028</v>
      </c>
      <c r="O93" s="113">
        <v>66349374.125616051</v>
      </c>
      <c r="P93" s="114">
        <v>70510364.289194018</v>
      </c>
      <c r="Q93" s="113">
        <v>69012588.204883158</v>
      </c>
      <c r="R93" s="113">
        <v>75598967.752092659</v>
      </c>
      <c r="S93" s="113">
        <v>84536244.190032259</v>
      </c>
      <c r="T93" s="113">
        <v>84536244.190032259</v>
      </c>
      <c r="U93" s="113">
        <v>90662249.099754497</v>
      </c>
      <c r="V93" s="113">
        <v>90662249.099754497</v>
      </c>
      <c r="W93" s="113">
        <v>86359900.114844874</v>
      </c>
      <c r="X93" s="113">
        <v>89430805.498214662</v>
      </c>
      <c r="Y93" s="113">
        <v>81428358.446692079</v>
      </c>
      <c r="Z93" s="113">
        <v>74983729.792934299</v>
      </c>
      <c r="AA93" s="113">
        <v>70797860.261470228</v>
      </c>
      <c r="AB93" s="113">
        <v>68943636.130099028</v>
      </c>
      <c r="AC93" s="113">
        <v>66349374.125616051</v>
      </c>
      <c r="AD93" s="114">
        <v>70510364.289194018</v>
      </c>
      <c r="AE93" s="113">
        <v>69012588.204883158</v>
      </c>
      <c r="AF93" s="113">
        <v>75598967.752092659</v>
      </c>
      <c r="AG93" s="113">
        <v>84536244.190032259</v>
      </c>
      <c r="AH93" s="113">
        <v>90662249.099754497</v>
      </c>
      <c r="AI93" s="113">
        <v>86359900.114844874</v>
      </c>
      <c r="AJ93" s="113">
        <v>89430805.498214662</v>
      </c>
      <c r="AK93" s="113">
        <v>81428358.446692079</v>
      </c>
      <c r="AL93" s="113">
        <v>74983729.792934299</v>
      </c>
      <c r="AM93" s="113">
        <v>70797860.261470228</v>
      </c>
      <c r="AN93" s="113">
        <v>68943636.130099028</v>
      </c>
      <c r="AO93" s="113">
        <v>66349374.125616051</v>
      </c>
      <c r="AP93" s="114">
        <v>70510364.289194018</v>
      </c>
      <c r="AQ93" s="113">
        <v>69012588.204883158</v>
      </c>
      <c r="AR93" s="113">
        <v>75598967.752092659</v>
      </c>
      <c r="AS93" s="113">
        <v>84536244.190032259</v>
      </c>
      <c r="AT93" s="113">
        <v>90662249.099754497</v>
      </c>
      <c r="AU93" s="113">
        <v>86359900.114844874</v>
      </c>
      <c r="AV93" s="113">
        <v>89430805.498214662</v>
      </c>
      <c r="AW93" s="113">
        <v>81428358.446692079</v>
      </c>
      <c r="AX93" s="113">
        <v>74983729.792934299</v>
      </c>
      <c r="AY93" s="113">
        <v>70797860.261470228</v>
      </c>
      <c r="AZ93" s="113">
        <v>68943636.130099028</v>
      </c>
      <c r="BA93" s="113">
        <v>66349374.125616051</v>
      </c>
      <c r="BB93" s="114">
        <v>70510364.289194018</v>
      </c>
      <c r="BC93" s="113">
        <v>69012588.204883158</v>
      </c>
      <c r="BD93" s="113">
        <v>75598967.752092659</v>
      </c>
      <c r="BE93" s="113">
        <v>84536244.190032259</v>
      </c>
      <c r="BF93" s="113">
        <v>90662249.099754497</v>
      </c>
      <c r="BG93" s="113">
        <v>86359900.114844874</v>
      </c>
      <c r="BH93" s="113">
        <v>89430805.498214662</v>
      </c>
      <c r="BI93" s="113">
        <v>81428358.446692079</v>
      </c>
      <c r="BJ93" s="113">
        <v>81294883.539401546</v>
      </c>
      <c r="BK93" s="113">
        <v>74983729.792934299</v>
      </c>
      <c r="BL93" s="111">
        <v>71316394.470496133</v>
      </c>
      <c r="BM93" s="111">
        <v>72300731.956882954</v>
      </c>
    </row>
    <row r="94" spans="1:65" ht="15.75" customHeight="1">
      <c r="A94" s="105" t="s">
        <v>49</v>
      </c>
      <c r="B94" s="105" t="s">
        <v>67</v>
      </c>
      <c r="C94" s="105" t="s">
        <v>68</v>
      </c>
      <c r="D94" s="105" t="s">
        <v>69</v>
      </c>
      <c r="E94" s="105" t="s">
        <v>78</v>
      </c>
      <c r="F94" s="106" t="s">
        <v>79</v>
      </c>
      <c r="G94" s="113">
        <v>928614077.90582776</v>
      </c>
      <c r="H94" s="113">
        <v>928614077.90582776</v>
      </c>
      <c r="I94" s="113">
        <v>928614077.90582776</v>
      </c>
      <c r="J94" s="113">
        <v>928614077.90582776</v>
      </c>
      <c r="K94" s="113">
        <v>928614077.90582776</v>
      </c>
      <c r="L94" s="113">
        <v>928614077.90582776</v>
      </c>
      <c r="M94" s="113">
        <v>928614077.90582776</v>
      </c>
      <c r="N94" s="113">
        <v>928614077.90582776</v>
      </c>
      <c r="O94" s="113">
        <v>928614077.90582776</v>
      </c>
      <c r="P94" s="114">
        <v>928614077.90582776</v>
      </c>
      <c r="Q94" s="113">
        <v>928614077.90582776</v>
      </c>
      <c r="R94" s="113">
        <v>928614077.90582776</v>
      </c>
      <c r="S94" s="113">
        <v>928614077.90582776</v>
      </c>
      <c r="T94" s="113">
        <v>928614077.90582776</v>
      </c>
      <c r="U94" s="113">
        <v>928614077.90582776</v>
      </c>
      <c r="V94" s="113">
        <v>928614077.90582776</v>
      </c>
      <c r="W94" s="113">
        <v>928614077.90582776</v>
      </c>
      <c r="X94" s="113">
        <v>928614077.90582776</v>
      </c>
      <c r="Y94" s="113">
        <v>928614077.90582776</v>
      </c>
      <c r="Z94" s="113">
        <v>928614077.90582776</v>
      </c>
      <c r="AA94" s="113">
        <v>928614077.90582776</v>
      </c>
      <c r="AB94" s="113">
        <v>928614077.90582776</v>
      </c>
      <c r="AC94" s="113">
        <v>928614077.90582776</v>
      </c>
      <c r="AD94" s="114">
        <v>928614077.90582776</v>
      </c>
      <c r="AE94" s="113">
        <v>928614077.90582776</v>
      </c>
      <c r="AF94" s="113">
        <v>928614077.90582776</v>
      </c>
      <c r="AG94" s="113">
        <v>928614077.90582776</v>
      </c>
      <c r="AH94" s="113">
        <v>928614077.90582776</v>
      </c>
      <c r="AI94" s="113">
        <v>928614077.90582776</v>
      </c>
      <c r="AJ94" s="113">
        <v>928614077.90582776</v>
      </c>
      <c r="AK94" s="113">
        <v>928614077.90582776</v>
      </c>
      <c r="AL94" s="113">
        <v>928614077.90582776</v>
      </c>
      <c r="AM94" s="113">
        <v>928614077.90582776</v>
      </c>
      <c r="AN94" s="113">
        <v>928614077.90582776</v>
      </c>
      <c r="AO94" s="113">
        <v>928614077.90582776</v>
      </c>
      <c r="AP94" s="114">
        <v>928614077.90582776</v>
      </c>
      <c r="AQ94" s="113">
        <v>928614077.90582776</v>
      </c>
      <c r="AR94" s="113">
        <v>928614077.90582776</v>
      </c>
      <c r="AS94" s="113">
        <v>928614077.90582776</v>
      </c>
      <c r="AT94" s="113">
        <v>928614077.90582776</v>
      </c>
      <c r="AU94" s="113">
        <v>928614077.90582776</v>
      </c>
      <c r="AV94" s="113">
        <v>928614077.90582776</v>
      </c>
      <c r="AW94" s="113">
        <v>928614077.90582776</v>
      </c>
      <c r="AX94" s="113">
        <v>928614077.90582776</v>
      </c>
      <c r="AY94" s="113">
        <v>928614077.90582776</v>
      </c>
      <c r="AZ94" s="113">
        <v>928614077.90582776</v>
      </c>
      <c r="BA94" s="113">
        <v>928614077.90582776</v>
      </c>
      <c r="BB94" s="114">
        <v>928614077.90582776</v>
      </c>
      <c r="BC94" s="113">
        <v>928614077.90582776</v>
      </c>
      <c r="BD94" s="113">
        <v>928614077.90582776</v>
      </c>
      <c r="BE94" s="113">
        <v>928614077.90582776</v>
      </c>
      <c r="BF94" s="113">
        <v>928614077.90582776</v>
      </c>
      <c r="BG94" s="113">
        <v>928614077.90582776</v>
      </c>
      <c r="BH94" s="113">
        <v>928614077.90582776</v>
      </c>
      <c r="BI94" s="113">
        <v>928614077.90582776</v>
      </c>
      <c r="BJ94" s="113">
        <v>950741261.18410254</v>
      </c>
      <c r="BK94" s="113">
        <v>928614077.90582776</v>
      </c>
      <c r="BL94" s="111">
        <v>950741261.18410254</v>
      </c>
      <c r="BM94" s="111">
        <v>950741261.18410254</v>
      </c>
    </row>
    <row r="95" spans="1:65" ht="15.75" customHeight="1">
      <c r="A95" s="105" t="s">
        <v>49</v>
      </c>
      <c r="B95" s="105" t="s">
        <v>67</v>
      </c>
      <c r="C95" s="105" t="s">
        <v>80</v>
      </c>
      <c r="D95" s="105" t="s">
        <v>77</v>
      </c>
      <c r="E95" s="116" t="s">
        <v>81</v>
      </c>
      <c r="F95" s="106" t="s">
        <v>82</v>
      </c>
      <c r="G95" s="113"/>
      <c r="H95" s="113"/>
      <c r="I95" s="113"/>
      <c r="J95" s="113"/>
      <c r="K95" s="113"/>
      <c r="L95" s="113"/>
      <c r="M95" s="113"/>
      <c r="N95" s="113"/>
      <c r="O95" s="113"/>
      <c r="P95" s="114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4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4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4"/>
      <c r="BC95" s="113"/>
      <c r="BD95" s="113"/>
      <c r="BE95" s="113"/>
      <c r="BF95" s="113"/>
      <c r="BG95" s="113"/>
      <c r="BH95" s="113"/>
      <c r="BI95" s="113"/>
      <c r="BJ95" s="120">
        <f>ROUND(-4508953.16352458/928614077.905828,5)</f>
        <v>-4.8599999999999997E-3</v>
      </c>
      <c r="BK95" s="113"/>
      <c r="BL95" s="120">
        <v>-2.63E-3</v>
      </c>
      <c r="BM95" s="120">
        <v>-6.0000000000000002E-5</v>
      </c>
    </row>
    <row r="96" spans="1:65" ht="15.75" customHeight="1">
      <c r="A96" s="105" t="s">
        <v>49</v>
      </c>
      <c r="B96" s="105" t="s">
        <v>67</v>
      </c>
      <c r="C96" s="105" t="s">
        <v>80</v>
      </c>
      <c r="D96" s="105" t="s">
        <v>77</v>
      </c>
      <c r="E96" s="116" t="s">
        <v>83</v>
      </c>
      <c r="F96" s="106" t="s">
        <v>82</v>
      </c>
      <c r="G96" s="113"/>
      <c r="H96" s="113"/>
      <c r="I96" s="113"/>
      <c r="J96" s="113"/>
      <c r="K96" s="113"/>
      <c r="L96" s="113"/>
      <c r="M96" s="113"/>
      <c r="N96" s="113"/>
      <c r="O96" s="113"/>
      <c r="P96" s="114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4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4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4"/>
      <c r="BC96" s="113"/>
      <c r="BD96" s="113"/>
      <c r="BE96" s="113"/>
      <c r="BF96" s="113"/>
      <c r="BG96" s="113"/>
      <c r="BH96" s="113"/>
      <c r="BI96" s="113"/>
      <c r="BJ96" s="120">
        <f>ROUND(2262298.89164023/922757205.142166,5)</f>
        <v>2.4499999999999999E-3</v>
      </c>
      <c r="BK96" s="113"/>
      <c r="BL96" s="121">
        <f t="shared" ref="BL96:BM97" si="60">$BJ96</f>
        <v>2.4499999999999999E-3</v>
      </c>
      <c r="BM96" s="121">
        <f t="shared" si="60"/>
        <v>2.4499999999999999E-3</v>
      </c>
    </row>
    <row r="97" spans="1:65" ht="15.75" customHeight="1">
      <c r="A97" s="105" t="s">
        <v>49</v>
      </c>
      <c r="B97" s="105" t="s">
        <v>67</v>
      </c>
      <c r="C97" s="105" t="s">
        <v>80</v>
      </c>
      <c r="D97" s="105" t="s">
        <v>77</v>
      </c>
      <c r="E97" s="116" t="s">
        <v>84</v>
      </c>
      <c r="F97" s="106" t="s">
        <v>82</v>
      </c>
      <c r="G97" s="113"/>
      <c r="H97" s="113"/>
      <c r="I97" s="113"/>
      <c r="J97" s="113"/>
      <c r="K97" s="113"/>
      <c r="L97" s="113"/>
      <c r="M97" s="113"/>
      <c r="N97" s="113"/>
      <c r="O97" s="113"/>
      <c r="P97" s="114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4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4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4"/>
      <c r="BC97" s="113"/>
      <c r="BD97" s="113"/>
      <c r="BE97" s="113"/>
      <c r="BF97" s="113"/>
      <c r="BG97" s="113"/>
      <c r="BH97" s="113"/>
      <c r="BI97" s="113"/>
      <c r="BJ97" s="120">
        <f>ROUND(-2422436.66859628/950741261.184102,5)</f>
        <v>-2.5500000000000002E-3</v>
      </c>
      <c r="BK97" s="113"/>
      <c r="BL97" s="121">
        <f t="shared" si="60"/>
        <v>-2.5500000000000002E-3</v>
      </c>
      <c r="BM97" s="121">
        <f t="shared" si="60"/>
        <v>-2.5500000000000002E-3</v>
      </c>
    </row>
    <row r="98" spans="1:65" ht="15.75" customHeight="1">
      <c r="A98" s="105"/>
      <c r="B98" s="105"/>
      <c r="C98" s="60"/>
      <c r="D98" s="60"/>
      <c r="E98" s="60"/>
      <c r="F98" s="106"/>
      <c r="G98" s="113"/>
      <c r="H98" s="113"/>
      <c r="I98" s="113"/>
      <c r="J98" s="113"/>
      <c r="K98" s="113"/>
      <c r="L98" s="113"/>
      <c r="M98" s="113"/>
      <c r="N98" s="113"/>
      <c r="O98" s="113"/>
      <c r="P98" s="114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4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4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4"/>
      <c r="BC98" s="113"/>
      <c r="BD98" s="113"/>
      <c r="BE98" s="113"/>
      <c r="BF98" s="113"/>
      <c r="BG98" s="113"/>
      <c r="BH98" s="113"/>
      <c r="BI98" s="113"/>
      <c r="BJ98" s="118"/>
      <c r="BK98" s="113"/>
      <c r="BL98" s="118"/>
      <c r="BM98" s="113"/>
    </row>
    <row r="99" spans="1:65" ht="15.75" customHeight="1">
      <c r="A99" s="105" t="s">
        <v>49</v>
      </c>
      <c r="B99" s="105" t="s">
        <v>28</v>
      </c>
      <c r="C99" s="105" t="s">
        <v>80</v>
      </c>
      <c r="D99" s="105" t="s">
        <v>77</v>
      </c>
      <c r="E99" s="105" t="s">
        <v>70</v>
      </c>
      <c r="F99" s="106" t="s">
        <v>76</v>
      </c>
      <c r="G99" s="124">
        <f>158.753116994977*I99/SUM(I99,I111,I123)</f>
        <v>0</v>
      </c>
      <c r="H99" s="124">
        <f>952.017886904762*I99/SUM(I99,I111,I123)</f>
        <v>0</v>
      </c>
      <c r="I99" s="5">
        <v>0</v>
      </c>
      <c r="J99" s="5">
        <v>0</v>
      </c>
      <c r="K99" s="5">
        <v>0</v>
      </c>
      <c r="L99" s="5">
        <v>2</v>
      </c>
      <c r="M99" s="5">
        <v>2</v>
      </c>
      <c r="N99" s="5">
        <v>2</v>
      </c>
      <c r="O99" s="5">
        <v>2</v>
      </c>
      <c r="P99" s="48">
        <v>2</v>
      </c>
      <c r="Q99" s="5">
        <v>2</v>
      </c>
      <c r="R99" s="5">
        <v>2</v>
      </c>
      <c r="S99" s="124">
        <f>836.66301369863*R99/SUM(R99,R111)</f>
        <v>1.6868205921343347</v>
      </c>
      <c r="T99" s="124">
        <f>153.33698630137*R99/SUM(R99,R111)</f>
        <v>0.30914714980114916</v>
      </c>
      <c r="U99" s="124">
        <f>116.915145985401*SUM(S99:T99)/SUM(S99:T99,S111:T111)</f>
        <v>0.2357160201318568</v>
      </c>
      <c r="V99" s="124">
        <f>870.375*SUM(S99:T99)/SUM(S99:T99,S111:T111)</f>
        <v>1.7547883064516125</v>
      </c>
      <c r="W99" s="5">
        <v>2</v>
      </c>
      <c r="X99" s="5">
        <v>2</v>
      </c>
      <c r="Y99" s="5">
        <v>2</v>
      </c>
      <c r="Z99" s="5">
        <v>2</v>
      </c>
      <c r="AA99" s="5">
        <v>2</v>
      </c>
      <c r="AB99" s="5">
        <v>2</v>
      </c>
      <c r="AC99" s="5">
        <v>2</v>
      </c>
      <c r="AD99" s="48">
        <v>2</v>
      </c>
      <c r="AE99" s="5">
        <v>2</v>
      </c>
      <c r="AF99" s="5">
        <v>2</v>
      </c>
      <c r="AG99" s="5">
        <v>2</v>
      </c>
      <c r="AH99" s="5">
        <v>2</v>
      </c>
      <c r="AI99" s="5">
        <v>2</v>
      </c>
      <c r="AJ99" s="5">
        <v>2</v>
      </c>
      <c r="AK99" s="5">
        <v>2</v>
      </c>
      <c r="AL99" s="5">
        <v>2</v>
      </c>
      <c r="AM99" s="5">
        <v>2</v>
      </c>
      <c r="AN99" s="5">
        <v>2</v>
      </c>
      <c r="AO99" s="5">
        <v>2</v>
      </c>
      <c r="AP99" s="48">
        <v>2</v>
      </c>
      <c r="AQ99" s="5">
        <v>2</v>
      </c>
      <c r="AR99" s="5">
        <v>2</v>
      </c>
      <c r="AS99" s="5">
        <v>2</v>
      </c>
      <c r="AT99" s="5">
        <v>2</v>
      </c>
      <c r="AU99" s="5">
        <v>2</v>
      </c>
      <c r="AV99" s="5">
        <v>2</v>
      </c>
      <c r="AW99" s="5">
        <v>2</v>
      </c>
      <c r="AX99" s="5">
        <v>2</v>
      </c>
      <c r="AY99" s="5">
        <v>2</v>
      </c>
      <c r="AZ99" s="5">
        <v>2</v>
      </c>
      <c r="BA99" s="5">
        <v>2</v>
      </c>
      <c r="BB99" s="48">
        <v>2</v>
      </c>
      <c r="BC99" s="5">
        <v>2</v>
      </c>
      <c r="BD99" s="5">
        <v>2</v>
      </c>
      <c r="BE99" s="5">
        <v>2</v>
      </c>
      <c r="BF99" s="5">
        <v>2</v>
      </c>
      <c r="BG99" s="5">
        <v>2</v>
      </c>
      <c r="BH99" s="5">
        <v>2</v>
      </c>
      <c r="BI99" s="5">
        <v>0.85210155749946659</v>
      </c>
      <c r="BJ99" s="58">
        <v>1.1478984425005334</v>
      </c>
      <c r="BK99" s="58">
        <v>0</v>
      </c>
      <c r="BL99" s="58">
        <v>2</v>
      </c>
      <c r="BM99" s="5">
        <v>2</v>
      </c>
    </row>
    <row r="100" spans="1:65" ht="15.75" customHeight="1">
      <c r="A100" s="105" t="s">
        <v>49</v>
      </c>
      <c r="B100" s="105" t="s">
        <v>28</v>
      </c>
      <c r="C100" s="105" t="s">
        <v>80</v>
      </c>
      <c r="D100" s="105" t="s">
        <v>77</v>
      </c>
      <c r="E100" s="105" t="s">
        <v>74</v>
      </c>
      <c r="F100" s="106" t="s">
        <v>71</v>
      </c>
      <c r="G100" s="5">
        <f>G$91/G$92*G$93/G$94*G99</f>
        <v>0</v>
      </c>
      <c r="H100" s="5">
        <f t="shared" ref="H100:BD100" si="61">H$91/H$92*H$93/H$94*H99</f>
        <v>0</v>
      </c>
      <c r="I100" s="5">
        <f t="shared" si="61"/>
        <v>0</v>
      </c>
      <c r="J100" s="5">
        <f t="shared" si="61"/>
        <v>0</v>
      </c>
      <c r="K100" s="5">
        <f t="shared" si="61"/>
        <v>0</v>
      </c>
      <c r="L100" s="5">
        <f t="shared" si="61"/>
        <v>6508.4353310618299</v>
      </c>
      <c r="M100" s="5">
        <f t="shared" si="61"/>
        <v>6145.1103640986221</v>
      </c>
      <c r="N100" s="5">
        <f t="shared" si="61"/>
        <v>5984.1674784666384</v>
      </c>
      <c r="O100" s="5">
        <f t="shared" si="61"/>
        <v>5758.9908096794943</v>
      </c>
      <c r="P100" s="48">
        <f t="shared" si="61"/>
        <v>6120.1562980809986</v>
      </c>
      <c r="Q100" s="5">
        <f t="shared" si="61"/>
        <v>5990.1523784031224</v>
      </c>
      <c r="R100" s="5">
        <f t="shared" si="61"/>
        <v>6561.8367353591921</v>
      </c>
      <c r="S100" s="5">
        <f t="shared" si="61"/>
        <v>6188.5855979917542</v>
      </c>
      <c r="T100" s="5">
        <f t="shared" si="61"/>
        <v>1177.7854895458638</v>
      </c>
      <c r="U100" s="5">
        <f t="shared" si="61"/>
        <v>927.45991345847676</v>
      </c>
      <c r="V100" s="5">
        <f t="shared" si="61"/>
        <v>7169.8360343924942</v>
      </c>
      <c r="W100" s="5">
        <f t="shared" si="61"/>
        <v>7783.9516689734937</v>
      </c>
      <c r="X100" s="5">
        <f t="shared" si="61"/>
        <v>8060.7442434479044</v>
      </c>
      <c r="Y100" s="5">
        <f t="shared" si="61"/>
        <v>7339.4527528401741</v>
      </c>
      <c r="Z100" s="5">
        <f t="shared" si="61"/>
        <v>6758.5734570255499</v>
      </c>
      <c r="AA100" s="5">
        <f t="shared" si="61"/>
        <v>6381.2848533771521</v>
      </c>
      <c r="AB100" s="5">
        <f t="shared" si="61"/>
        <v>6214.1564638949503</v>
      </c>
      <c r="AC100" s="5">
        <f t="shared" si="61"/>
        <v>5980.3255998863597</v>
      </c>
      <c r="AD100" s="48">
        <f t="shared" si="61"/>
        <v>6355.3717299223235</v>
      </c>
      <c r="AE100" s="5">
        <f t="shared" si="61"/>
        <v>6220.3713809673573</v>
      </c>
      <c r="AF100" s="5">
        <f t="shared" si="61"/>
        <v>6814.027232824712</v>
      </c>
      <c r="AG100" s="5">
        <f t="shared" si="61"/>
        <v>7619.5785101266083</v>
      </c>
      <c r="AH100" s="5">
        <f t="shared" si="61"/>
        <v>8171.7390160762379</v>
      </c>
      <c r="AI100" s="5">
        <f t="shared" si="61"/>
        <v>7783.9516689734937</v>
      </c>
      <c r="AJ100" s="5">
        <f t="shared" si="61"/>
        <v>8060.7442434479044</v>
      </c>
      <c r="AK100" s="5">
        <f t="shared" si="61"/>
        <v>7339.4527528401741</v>
      </c>
      <c r="AL100" s="5">
        <f t="shared" si="61"/>
        <v>6758.5734570255499</v>
      </c>
      <c r="AM100" s="5">
        <f t="shared" si="61"/>
        <v>6381.2848533771521</v>
      </c>
      <c r="AN100" s="5">
        <f t="shared" si="61"/>
        <v>6214.1564638949503</v>
      </c>
      <c r="AO100" s="5">
        <f t="shared" si="61"/>
        <v>5980.3255998863597</v>
      </c>
      <c r="AP100" s="48">
        <f t="shared" si="61"/>
        <v>6355.3717299223235</v>
      </c>
      <c r="AQ100" s="5">
        <f t="shared" si="61"/>
        <v>6220.3713809673573</v>
      </c>
      <c r="AR100" s="5">
        <f t="shared" si="61"/>
        <v>6814.027232824712</v>
      </c>
      <c r="AS100" s="5">
        <f t="shared" si="61"/>
        <v>7619.5785101266083</v>
      </c>
      <c r="AT100" s="5">
        <f t="shared" si="61"/>
        <v>8171.7390160762379</v>
      </c>
      <c r="AU100" s="5">
        <f t="shared" si="61"/>
        <v>7783.9516689734937</v>
      </c>
      <c r="AV100" s="5">
        <f t="shared" si="61"/>
        <v>8060.7442434479044</v>
      </c>
      <c r="AW100" s="5">
        <f t="shared" si="61"/>
        <v>7339.4527528401741</v>
      </c>
      <c r="AX100" s="5">
        <f t="shared" si="61"/>
        <v>6758.5734570255499</v>
      </c>
      <c r="AY100" s="5">
        <f t="shared" si="61"/>
        <v>6381.2848533771521</v>
      </c>
      <c r="AZ100" s="5">
        <f t="shared" si="61"/>
        <v>6214.1564638949503</v>
      </c>
      <c r="BA100" s="5">
        <f t="shared" si="61"/>
        <v>5980.3255998863597</v>
      </c>
      <c r="BB100" s="48">
        <f t="shared" si="61"/>
        <v>6355.3717299223235</v>
      </c>
      <c r="BC100" s="5">
        <f t="shared" si="61"/>
        <v>6220.3713809673573</v>
      </c>
      <c r="BD100" s="5">
        <f t="shared" si="61"/>
        <v>6814.027232824712</v>
      </c>
      <c r="BE100" s="5">
        <f>BE$91/BE$92*BE$93/BE$94*BE99</f>
        <v>7619.5785101266083</v>
      </c>
      <c r="BF100" s="5">
        <f t="shared" ref="BF100:BM100" si="62">BF$91/BF$92*BF$93/BF$94*BF99</f>
        <v>8171.7390160762379</v>
      </c>
      <c r="BG100" s="5">
        <f t="shared" si="62"/>
        <v>7783.9516689734937</v>
      </c>
      <c r="BH100" s="5">
        <f t="shared" si="62"/>
        <v>8060.7442434479044</v>
      </c>
      <c r="BI100" s="5">
        <f t="shared" si="62"/>
        <v>3126.97956094443</v>
      </c>
      <c r="BJ100" s="58">
        <f t="shared" si="62"/>
        <v>4701.1454261442559</v>
      </c>
      <c r="BK100" s="58">
        <f t="shared" si="62"/>
        <v>0</v>
      </c>
      <c r="BL100" s="58">
        <f t="shared" si="62"/>
        <v>7185.489850212638</v>
      </c>
      <c r="BM100" s="5">
        <f t="shared" si="62"/>
        <v>7284.6668637188723</v>
      </c>
    </row>
    <row r="101" spans="1:65" ht="15.75" customHeight="1">
      <c r="A101" s="105" t="s">
        <v>49</v>
      </c>
      <c r="B101" s="105" t="s">
        <v>28</v>
      </c>
      <c r="C101" s="105" t="s">
        <v>80</v>
      </c>
      <c r="D101" s="105" t="s">
        <v>77</v>
      </c>
      <c r="E101" s="105" t="s">
        <v>70</v>
      </c>
      <c r="F101" s="106" t="s">
        <v>79</v>
      </c>
      <c r="G101" s="124">
        <f>13597004.6*I101/SUM(I101,I113,I125)</f>
        <v>0</v>
      </c>
      <c r="H101" s="124">
        <f>77026972.7666667*I101/SUM(I101,I113,I125)</f>
        <v>0</v>
      </c>
      <c r="I101" s="5">
        <v>0</v>
      </c>
      <c r="J101" s="5">
        <v>0</v>
      </c>
      <c r="K101" s="5">
        <v>0</v>
      </c>
      <c r="L101" s="5">
        <v>44400</v>
      </c>
      <c r="M101" s="5">
        <v>158080</v>
      </c>
      <c r="N101" s="5">
        <v>137980</v>
      </c>
      <c r="O101" s="5">
        <v>119700</v>
      </c>
      <c r="P101" s="48">
        <v>105800</v>
      </c>
      <c r="Q101" s="5">
        <v>107460</v>
      </c>
      <c r="R101" s="5">
        <v>117560</v>
      </c>
      <c r="S101" s="124">
        <f>62513067.7723458*R101/SUM(R101,R113)</f>
        <v>98065.217722751026</v>
      </c>
      <c r="T101" s="124">
        <f>13527170.4844238*R101/SUM(R101,R113)</f>
        <v>21220.281870643073</v>
      </c>
      <c r="U101" s="124">
        <f>8411377.7544142*SUM(S101:T101)/SUM(S101:T101,S113:T113)</f>
        <v>13195.058573014583</v>
      </c>
      <c r="V101" s="124">
        <f>66013390.6688278*SUM(S101:T101)/SUM(S101:T101,S113:T113)</f>
        <v>103556.22846939185</v>
      </c>
      <c r="W101" s="5">
        <v>160480</v>
      </c>
      <c r="X101" s="5">
        <v>183120</v>
      </c>
      <c r="Y101" s="5">
        <v>193360</v>
      </c>
      <c r="Z101" s="5">
        <v>131980</v>
      </c>
      <c r="AA101" s="5">
        <v>135260</v>
      </c>
      <c r="AB101" s="5">
        <v>108800</v>
      </c>
      <c r="AC101" s="5">
        <v>88280</v>
      </c>
      <c r="AD101" s="48">
        <v>95680</v>
      </c>
      <c r="AE101" s="5">
        <v>107180</v>
      </c>
      <c r="AF101" s="5">
        <v>113380</v>
      </c>
      <c r="AG101" s="5">
        <v>88620</v>
      </c>
      <c r="AH101" s="5">
        <v>95940</v>
      </c>
      <c r="AI101" s="5">
        <v>117080</v>
      </c>
      <c r="AJ101" s="5">
        <v>172280</v>
      </c>
      <c r="AK101" s="5">
        <v>187040</v>
      </c>
      <c r="AL101" s="5">
        <v>185920</v>
      </c>
      <c r="AM101" s="5">
        <v>197780</v>
      </c>
      <c r="AN101" s="5">
        <v>116820</v>
      </c>
      <c r="AO101" s="5">
        <v>94800</v>
      </c>
      <c r="AP101" s="48">
        <v>104640</v>
      </c>
      <c r="AQ101" s="5">
        <v>117540</v>
      </c>
      <c r="AR101" s="5">
        <v>127200</v>
      </c>
      <c r="AS101" s="5">
        <v>121780</v>
      </c>
      <c r="AT101" s="5">
        <v>122660</v>
      </c>
      <c r="AU101" s="5">
        <v>154320</v>
      </c>
      <c r="AV101" s="5">
        <v>197100</v>
      </c>
      <c r="AW101" s="5">
        <v>191340</v>
      </c>
      <c r="AX101" s="5">
        <v>144640</v>
      </c>
      <c r="AY101" s="5">
        <v>144180</v>
      </c>
      <c r="AZ101" s="5">
        <v>120860</v>
      </c>
      <c r="BA101" s="5">
        <v>87300</v>
      </c>
      <c r="BB101" s="48">
        <v>97580</v>
      </c>
      <c r="BC101" s="5">
        <v>98580</v>
      </c>
      <c r="BD101" s="5">
        <v>102780</v>
      </c>
      <c r="BE101" s="5">
        <v>101680</v>
      </c>
      <c r="BF101" s="5">
        <v>94520</v>
      </c>
      <c r="BG101" s="5">
        <v>137760</v>
      </c>
      <c r="BH101" s="5">
        <v>193420</v>
      </c>
      <c r="BI101" s="5">
        <v>79876</v>
      </c>
      <c r="BJ101" s="58">
        <v>107604</v>
      </c>
      <c r="BK101" s="58">
        <v>0</v>
      </c>
      <c r="BL101" s="58">
        <v>179579</v>
      </c>
      <c r="BM101" s="5">
        <v>151680</v>
      </c>
    </row>
    <row r="102" spans="1:65" ht="15.75" customHeight="1">
      <c r="A102" s="105" t="s">
        <v>49</v>
      </c>
      <c r="B102" s="105" t="s">
        <v>28</v>
      </c>
      <c r="C102" s="105" t="s">
        <v>80</v>
      </c>
      <c r="D102" s="105" t="s">
        <v>77</v>
      </c>
      <c r="E102" s="105" t="s">
        <v>70</v>
      </c>
      <c r="F102" s="106" t="s">
        <v>71</v>
      </c>
      <c r="G102" s="5"/>
      <c r="H102" s="5"/>
      <c r="I102" s="5"/>
      <c r="J102" s="5"/>
      <c r="K102" s="5"/>
      <c r="L102" s="5"/>
      <c r="M102" s="5"/>
      <c r="N102" s="5"/>
      <c r="O102" s="5"/>
      <c r="P102" s="48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48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48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48"/>
      <c r="BC102" s="5"/>
      <c r="BD102" s="5"/>
      <c r="BE102" s="5"/>
      <c r="BF102" s="5"/>
      <c r="BG102" s="5"/>
      <c r="BH102" s="5"/>
      <c r="BI102" s="58"/>
      <c r="BJ102" s="58">
        <v>7260.3945144015361</v>
      </c>
      <c r="BK102" s="58"/>
      <c r="BL102" s="58">
        <v>13067.279999999999</v>
      </c>
      <c r="BM102" s="58">
        <v>11539.55</v>
      </c>
    </row>
    <row r="103" spans="1:65" ht="15.75" customHeight="1">
      <c r="A103" s="105" t="s">
        <v>49</v>
      </c>
      <c r="B103" s="105" t="s">
        <v>28</v>
      </c>
      <c r="C103" s="105" t="s">
        <v>80</v>
      </c>
      <c r="D103" s="105" t="s">
        <v>77</v>
      </c>
      <c r="E103" s="116" t="s">
        <v>81</v>
      </c>
      <c r="F103" s="106" t="s">
        <v>71</v>
      </c>
      <c r="G103" s="5"/>
      <c r="H103" s="5"/>
      <c r="I103" s="5"/>
      <c r="J103" s="5"/>
      <c r="K103" s="5"/>
      <c r="L103" s="5"/>
      <c r="M103" s="5"/>
      <c r="N103" s="5"/>
      <c r="O103" s="5"/>
      <c r="P103" s="48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48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48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48"/>
      <c r="BC103" s="5"/>
      <c r="BD103" s="5"/>
      <c r="BE103" s="5"/>
      <c r="BF103" s="5"/>
      <c r="BG103" s="5"/>
      <c r="BH103" s="5"/>
      <c r="BI103" s="5"/>
      <c r="BJ103" s="122">
        <f>BJ101*BJ95</f>
        <v>-522.95543999999995</v>
      </c>
      <c r="BK103" s="111"/>
      <c r="BL103" s="122">
        <f t="shared" ref="BL103:BM103" si="63">BL101*BL95</f>
        <v>-472.29277000000002</v>
      </c>
      <c r="BM103" s="111">
        <f t="shared" si="63"/>
        <v>-9.1007999999999996</v>
      </c>
    </row>
    <row r="104" spans="1:65" ht="15.75" customHeight="1">
      <c r="A104" s="105" t="s">
        <v>49</v>
      </c>
      <c r="B104" s="105" t="s">
        <v>28</v>
      </c>
      <c r="C104" s="105" t="s">
        <v>80</v>
      </c>
      <c r="D104" s="105" t="s">
        <v>77</v>
      </c>
      <c r="E104" s="116" t="s">
        <v>83</v>
      </c>
      <c r="F104" s="106" t="s">
        <v>71</v>
      </c>
      <c r="G104" s="5"/>
      <c r="H104" s="5"/>
      <c r="I104" s="5"/>
      <c r="J104" s="5"/>
      <c r="K104" s="5"/>
      <c r="L104" s="5"/>
      <c r="M104" s="5"/>
      <c r="N104" s="5"/>
      <c r="O104" s="5"/>
      <c r="P104" s="48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48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48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48"/>
      <c r="BC104" s="5"/>
      <c r="BD104" s="5"/>
      <c r="BE104" s="5"/>
      <c r="BF104" s="5"/>
      <c r="BG104" s="5"/>
      <c r="BH104" s="5"/>
      <c r="BI104" s="5"/>
      <c r="BJ104" s="122">
        <f>BJ101*BJ96</f>
        <v>263.62979999999999</v>
      </c>
      <c r="BK104" s="111"/>
      <c r="BL104" s="122">
        <f t="shared" ref="BL104:BM104" si="64">BL101*BL96</f>
        <v>439.96854999999999</v>
      </c>
      <c r="BM104" s="111">
        <f t="shared" si="64"/>
        <v>371.61599999999999</v>
      </c>
    </row>
    <row r="105" spans="1:65" ht="15.75" customHeight="1">
      <c r="A105" s="105" t="s">
        <v>49</v>
      </c>
      <c r="B105" s="105" t="s">
        <v>28</v>
      </c>
      <c r="C105" s="105" t="s">
        <v>80</v>
      </c>
      <c r="D105" s="105" t="s">
        <v>77</v>
      </c>
      <c r="E105" s="116" t="s">
        <v>84</v>
      </c>
      <c r="F105" s="106" t="s">
        <v>71</v>
      </c>
      <c r="G105" s="5"/>
      <c r="H105" s="5"/>
      <c r="I105" s="5"/>
      <c r="J105" s="5"/>
      <c r="K105" s="5"/>
      <c r="L105" s="5"/>
      <c r="M105" s="5"/>
      <c r="N105" s="5"/>
      <c r="O105" s="5"/>
      <c r="P105" s="48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48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48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48"/>
      <c r="BC105" s="5"/>
      <c r="BD105" s="5"/>
      <c r="BE105" s="5"/>
      <c r="BF105" s="5"/>
      <c r="BG105" s="5"/>
      <c r="BH105" s="5"/>
      <c r="BI105" s="5"/>
      <c r="BJ105" s="122">
        <f>BJ101*BJ97</f>
        <v>-274.39019999999999</v>
      </c>
      <c r="BK105" s="111"/>
      <c r="BL105" s="122">
        <f t="shared" ref="BL105:BM105" si="65">BL101*BL97</f>
        <v>-457.92645000000005</v>
      </c>
      <c r="BM105" s="111">
        <f t="shared" si="65"/>
        <v>-386.78400000000005</v>
      </c>
    </row>
    <row r="106" spans="1:65" ht="15.75" customHeight="1">
      <c r="A106" s="105" t="s">
        <v>49</v>
      </c>
      <c r="B106" s="105" t="s">
        <v>28</v>
      </c>
      <c r="C106" s="105" t="s">
        <v>80</v>
      </c>
      <c r="D106" s="105" t="s">
        <v>77</v>
      </c>
      <c r="E106" s="105" t="s">
        <v>72</v>
      </c>
      <c r="F106" s="106" t="s">
        <v>71</v>
      </c>
      <c r="G106" s="5"/>
      <c r="H106" s="5"/>
      <c r="I106" s="5"/>
      <c r="J106" s="5"/>
      <c r="K106" s="5"/>
      <c r="L106" s="5"/>
      <c r="M106" s="5"/>
      <c r="N106" s="5"/>
      <c r="O106" s="5"/>
      <c r="P106" s="48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48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48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48"/>
      <c r="BC106" s="5"/>
      <c r="BD106" s="5"/>
      <c r="BE106" s="5"/>
      <c r="BF106" s="5"/>
      <c r="BG106" s="5"/>
      <c r="BH106" s="5"/>
      <c r="BI106" s="5"/>
      <c r="BJ106" s="58">
        <f>BJ$89/BJ$92/12*BJ99</f>
        <v>144.17090166409153</v>
      </c>
      <c r="BK106" s="58"/>
      <c r="BL106" s="58">
        <f>BL$89/BL$92/12*BL99</f>
        <v>251.19103977532322</v>
      </c>
      <c r="BM106" s="58">
        <f>BM$89/BM$92/12*BM99</f>
        <v>251.19103977532322</v>
      </c>
    </row>
    <row r="107" spans="1:65" ht="15.75" customHeight="1">
      <c r="A107" s="105" t="s">
        <v>49</v>
      </c>
      <c r="B107" s="105" t="s">
        <v>28</v>
      </c>
      <c r="C107" s="105" t="s">
        <v>80</v>
      </c>
      <c r="D107" s="105" t="s">
        <v>77</v>
      </c>
      <c r="E107" s="105" t="s">
        <v>73</v>
      </c>
      <c r="F107" s="106" t="s">
        <v>71</v>
      </c>
      <c r="G107" s="5"/>
      <c r="H107" s="5"/>
      <c r="I107" s="5"/>
      <c r="J107" s="5"/>
      <c r="K107" s="5"/>
      <c r="L107" s="5"/>
      <c r="M107" s="5"/>
      <c r="N107" s="5"/>
      <c r="O107" s="5"/>
      <c r="P107" s="48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48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48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48"/>
      <c r="BC107" s="5"/>
      <c r="BD107" s="5"/>
      <c r="BE107" s="5"/>
      <c r="BF107" s="5"/>
      <c r="BG107" s="5"/>
      <c r="BH107" s="5"/>
      <c r="BI107" s="125"/>
      <c r="BJ107" s="58">
        <f>BJ$90/BJ$94*BJ101</f>
        <v>2621.3961054984766</v>
      </c>
      <c r="BK107" s="58"/>
      <c r="BL107" s="58">
        <f>BL$90/BL$94*BL101</f>
        <v>4374.8159104616088</v>
      </c>
      <c r="BM107" s="58">
        <f>BM$90/BM$94*BM101</f>
        <v>3695.1540954054581</v>
      </c>
    </row>
    <row r="108" spans="1:65" ht="15.75" customHeight="1">
      <c r="A108" s="105" t="s">
        <v>49</v>
      </c>
      <c r="B108" s="105" t="s">
        <v>28</v>
      </c>
      <c r="C108" s="105" t="s">
        <v>80</v>
      </c>
      <c r="D108" s="105" t="s">
        <v>77</v>
      </c>
      <c r="E108" s="105" t="s">
        <v>88</v>
      </c>
      <c r="F108" s="106" t="s">
        <v>71</v>
      </c>
      <c r="G108" s="122">
        <f>G$91/G$94*G101</f>
        <v>0</v>
      </c>
      <c r="H108" s="122">
        <f t="shared" ref="H108:BF108" si="66">H$91/H$94*H101</f>
        <v>0</v>
      </c>
      <c r="I108" s="122">
        <f t="shared" si="66"/>
        <v>0</v>
      </c>
      <c r="J108" s="122">
        <f t="shared" si="66"/>
        <v>0</v>
      </c>
      <c r="K108" s="122">
        <f t="shared" si="66"/>
        <v>0</v>
      </c>
      <c r="L108" s="122">
        <f t="shared" si="66"/>
        <v>2092.345869974034</v>
      </c>
      <c r="M108" s="122">
        <f t="shared" si="66"/>
        <v>7449.5052956192631</v>
      </c>
      <c r="N108" s="122">
        <f t="shared" si="66"/>
        <v>6502.2946652931796</v>
      </c>
      <c r="O108" s="122">
        <f t="shared" si="66"/>
        <v>5640.8513656732403</v>
      </c>
      <c r="P108" s="126">
        <f t="shared" si="66"/>
        <v>4985.815158631819</v>
      </c>
      <c r="Q108" s="122">
        <f t="shared" si="66"/>
        <v>5064.042504220939</v>
      </c>
      <c r="R108" s="122">
        <f t="shared" si="66"/>
        <v>5540.0040647330497</v>
      </c>
      <c r="S108" s="122">
        <f t="shared" si="66"/>
        <v>4621.3142632951021</v>
      </c>
      <c r="T108" s="122">
        <f t="shared" si="66"/>
        <v>1038.4368682318702</v>
      </c>
      <c r="U108" s="122">
        <f t="shared" si="66"/>
        <v>621.81590786739935</v>
      </c>
      <c r="V108" s="122">
        <f t="shared" si="66"/>
        <v>5067.6332309435265</v>
      </c>
      <c r="W108" s="122">
        <f t="shared" si="66"/>
        <v>7853.2580118267915</v>
      </c>
      <c r="X108" s="122">
        <f t="shared" si="66"/>
        <v>8961.1702836847089</v>
      </c>
      <c r="Y108" s="122">
        <f t="shared" si="66"/>
        <v>9462.2754808501268</v>
      </c>
      <c r="Z108" s="122">
        <f t="shared" si="66"/>
        <v>6458.5804611222575</v>
      </c>
      <c r="AA108" s="122">
        <f t="shared" si="66"/>
        <v>6619.090719589306</v>
      </c>
      <c r="AB108" s="122">
        <f t="shared" si="66"/>
        <v>5324.2427198825699</v>
      </c>
      <c r="AC108" s="122">
        <f t="shared" si="66"/>
        <v>4320.0748833753059</v>
      </c>
      <c r="AD108" s="126">
        <f t="shared" si="66"/>
        <v>4682.2016860143776</v>
      </c>
      <c r="AE108" s="122">
        <f t="shared" si="66"/>
        <v>5244.9663117372602</v>
      </c>
      <c r="AF108" s="122">
        <f t="shared" si="66"/>
        <v>5548.3698490835095</v>
      </c>
      <c r="AG108" s="122">
        <f t="shared" si="66"/>
        <v>4336.7131418749395</v>
      </c>
      <c r="AH108" s="122">
        <f t="shared" si="66"/>
        <v>4694.9250601611566</v>
      </c>
      <c r="AI108" s="122">
        <f t="shared" si="66"/>
        <v>5729.4332504030453</v>
      </c>
      <c r="AJ108" s="122">
        <f t="shared" si="66"/>
        <v>8430.7034538728785</v>
      </c>
      <c r="AK108" s="122">
        <f t="shared" si="66"/>
        <v>9152.9996169745955</v>
      </c>
      <c r="AL108" s="122">
        <f t="shared" si="66"/>
        <v>9098.1912360346269</v>
      </c>
      <c r="AM108" s="122">
        <f t="shared" si="66"/>
        <v>9678.5728413453562</v>
      </c>
      <c r="AN108" s="122">
        <f t="shared" si="66"/>
        <v>5716.7098762562673</v>
      </c>
      <c r="AO108" s="122">
        <f t="shared" si="66"/>
        <v>4639.1379581329747</v>
      </c>
      <c r="AP108" s="126">
        <f t="shared" si="66"/>
        <v>5120.6687335341194</v>
      </c>
      <c r="AQ108" s="122">
        <f t="shared" si="66"/>
        <v>5751.9438354319609</v>
      </c>
      <c r="AR108" s="122">
        <f t="shared" si="66"/>
        <v>6224.6661210391812</v>
      </c>
      <c r="AS108" s="122">
        <f t="shared" si="66"/>
        <v>5959.4327061332669</v>
      </c>
      <c r="AT108" s="122">
        <f t="shared" si="66"/>
        <v>6002.4964340146698</v>
      </c>
      <c r="AU108" s="122">
        <f t="shared" si="66"/>
        <v>7551.8119166569695</v>
      </c>
      <c r="AV108" s="122">
        <f t="shared" si="66"/>
        <v>9645.2963243460908</v>
      </c>
      <c r="AW108" s="122">
        <f t="shared" si="66"/>
        <v>9363.4246509405421</v>
      </c>
      <c r="AX108" s="122">
        <f t="shared" si="66"/>
        <v>7078.1109099615342</v>
      </c>
      <c r="AY108" s="122">
        <f t="shared" si="66"/>
        <v>7055.6003249326195</v>
      </c>
      <c r="AZ108" s="122">
        <f t="shared" si="66"/>
        <v>5914.4115360754358</v>
      </c>
      <c r="BA108" s="122">
        <f t="shared" si="66"/>
        <v>4272.1175500528343</v>
      </c>
      <c r="BB108" s="126">
        <f t="shared" si="66"/>
        <v>4775.1801893946804</v>
      </c>
      <c r="BC108" s="122">
        <f t="shared" si="66"/>
        <v>4824.1162438053652</v>
      </c>
      <c r="BD108" s="122">
        <f t="shared" si="66"/>
        <v>5029.6476723302439</v>
      </c>
      <c r="BE108" s="122">
        <f t="shared" si="66"/>
        <v>4975.8180124784903</v>
      </c>
      <c r="BF108" s="122">
        <f t="shared" si="66"/>
        <v>4625.4358628979826</v>
      </c>
      <c r="BG108" s="122">
        <f>BG$91/BG$94*BG101</f>
        <v>6741.4308556160195</v>
      </c>
      <c r="BH108" s="122">
        <f>BH$91/BH$94*BH101</f>
        <v>9465.2116441147682</v>
      </c>
      <c r="BI108" s="122">
        <f>BI$91/BI$94*BI101</f>
        <v>3908.8162821079059</v>
      </c>
      <c r="BJ108" s="122">
        <f>BJ102-BJ103-BJ104-BJ105-BJ106-BJ107</f>
        <v>5028.5433472389677</v>
      </c>
      <c r="BK108" s="122">
        <f>BK$91/BK$94*BK101</f>
        <v>0</v>
      </c>
      <c r="BL108" s="122">
        <f>BL102-BL103-BL104-BL105-BL106-BL107</f>
        <v>8931.5237197630668</v>
      </c>
      <c r="BM108" s="122">
        <f t="shared" ref="BM108" si="67">BM102-BM103-BM104-BM105-BM106-BM107</f>
        <v>7617.4736648192174</v>
      </c>
    </row>
    <row r="109" spans="1:65" ht="15.75" customHeight="1" thickBot="1">
      <c r="A109" s="127" t="s">
        <v>49</v>
      </c>
      <c r="B109" s="127" t="s">
        <v>28</v>
      </c>
      <c r="C109" s="127" t="s">
        <v>80</v>
      </c>
      <c r="D109" s="127" t="s">
        <v>77</v>
      </c>
      <c r="E109" s="127" t="s">
        <v>10</v>
      </c>
      <c r="F109" s="128" t="s">
        <v>71</v>
      </c>
      <c r="G109" s="129">
        <f>G108-G100</f>
        <v>0</v>
      </c>
      <c r="H109" s="129">
        <f t="shared" ref="H109:BM109" si="68">H108-H100</f>
        <v>0</v>
      </c>
      <c r="I109" s="129">
        <f t="shared" si="68"/>
        <v>0</v>
      </c>
      <c r="J109" s="129">
        <f t="shared" si="68"/>
        <v>0</v>
      </c>
      <c r="K109" s="129">
        <f t="shared" si="68"/>
        <v>0</v>
      </c>
      <c r="L109" s="129">
        <f t="shared" si="68"/>
        <v>-4416.0894610877958</v>
      </c>
      <c r="M109" s="129">
        <f t="shared" si="68"/>
        <v>1304.394931520641</v>
      </c>
      <c r="N109" s="129">
        <f t="shared" si="68"/>
        <v>518.12718682654122</v>
      </c>
      <c r="O109" s="129">
        <f t="shared" si="68"/>
        <v>-118.13944400625405</v>
      </c>
      <c r="P109" s="130">
        <f t="shared" si="68"/>
        <v>-1134.3411394491795</v>
      </c>
      <c r="Q109" s="129">
        <f t="shared" si="68"/>
        <v>-926.10987418218338</v>
      </c>
      <c r="R109" s="129">
        <f t="shared" si="68"/>
        <v>-1021.8326706261423</v>
      </c>
      <c r="S109" s="129">
        <f t="shared" si="68"/>
        <v>-1567.271334696652</v>
      </c>
      <c r="T109" s="129">
        <f t="shared" si="68"/>
        <v>-139.34862131399359</v>
      </c>
      <c r="U109" s="129">
        <f t="shared" si="68"/>
        <v>-305.64400559107742</v>
      </c>
      <c r="V109" s="129">
        <f t="shared" si="68"/>
        <v>-2102.2028034489676</v>
      </c>
      <c r="W109" s="129">
        <f t="shared" si="68"/>
        <v>69.306342853297792</v>
      </c>
      <c r="X109" s="129">
        <f t="shared" si="68"/>
        <v>900.42604023680451</v>
      </c>
      <c r="Y109" s="129">
        <f t="shared" si="68"/>
        <v>2122.8227280099527</v>
      </c>
      <c r="Z109" s="129">
        <f t="shared" si="68"/>
        <v>-299.99299590329247</v>
      </c>
      <c r="AA109" s="129">
        <f t="shared" si="68"/>
        <v>237.80586621215389</v>
      </c>
      <c r="AB109" s="129">
        <f t="shared" si="68"/>
        <v>-889.91374401238045</v>
      </c>
      <c r="AC109" s="129">
        <f t="shared" si="68"/>
        <v>-1660.2507165110537</v>
      </c>
      <c r="AD109" s="130">
        <f t="shared" si="68"/>
        <v>-1673.1700439079459</v>
      </c>
      <c r="AE109" s="129">
        <f t="shared" si="68"/>
        <v>-975.40506923009707</v>
      </c>
      <c r="AF109" s="129">
        <f t="shared" si="68"/>
        <v>-1265.6573837412025</v>
      </c>
      <c r="AG109" s="129">
        <f t="shared" si="68"/>
        <v>-3282.8653682516688</v>
      </c>
      <c r="AH109" s="129">
        <f t="shared" si="68"/>
        <v>-3476.8139559150814</v>
      </c>
      <c r="AI109" s="129">
        <f t="shared" si="68"/>
        <v>-2054.5184185704484</v>
      </c>
      <c r="AJ109" s="129">
        <f t="shared" si="68"/>
        <v>369.95921042497412</v>
      </c>
      <c r="AK109" s="129">
        <f t="shared" si="68"/>
        <v>1813.5468641344214</v>
      </c>
      <c r="AL109" s="129">
        <f t="shared" si="68"/>
        <v>2339.6177790090769</v>
      </c>
      <c r="AM109" s="129">
        <f t="shared" si="68"/>
        <v>3297.2879879682041</v>
      </c>
      <c r="AN109" s="129">
        <f t="shared" si="68"/>
        <v>-497.44658763868301</v>
      </c>
      <c r="AO109" s="129">
        <f t="shared" si="68"/>
        <v>-1341.1876417533849</v>
      </c>
      <c r="AP109" s="130">
        <f t="shared" si="68"/>
        <v>-1234.7029963882042</v>
      </c>
      <c r="AQ109" s="129">
        <f t="shared" si="68"/>
        <v>-468.42754553539635</v>
      </c>
      <c r="AR109" s="129">
        <f t="shared" si="68"/>
        <v>-589.36111178553074</v>
      </c>
      <c r="AS109" s="129">
        <f t="shared" si="68"/>
        <v>-1660.1458039933414</v>
      </c>
      <c r="AT109" s="129">
        <f t="shared" si="68"/>
        <v>-2169.2425820615681</v>
      </c>
      <c r="AU109" s="129">
        <f t="shared" si="68"/>
        <v>-232.13975231652421</v>
      </c>
      <c r="AV109" s="129">
        <f t="shared" si="68"/>
        <v>1584.5520808981864</v>
      </c>
      <c r="AW109" s="129">
        <f t="shared" si="68"/>
        <v>2023.971898100368</v>
      </c>
      <c r="AX109" s="129">
        <f t="shared" si="68"/>
        <v>319.53745293598422</v>
      </c>
      <c r="AY109" s="129">
        <f t="shared" si="68"/>
        <v>674.31547155546741</v>
      </c>
      <c r="AZ109" s="129">
        <f t="shared" si="68"/>
        <v>-299.74492781951449</v>
      </c>
      <c r="BA109" s="129">
        <f t="shared" si="68"/>
        <v>-1708.2080498335254</v>
      </c>
      <c r="BB109" s="130">
        <f t="shared" si="68"/>
        <v>-1580.1915405276432</v>
      </c>
      <c r="BC109" s="129">
        <f t="shared" si="68"/>
        <v>-1396.255137161992</v>
      </c>
      <c r="BD109" s="129">
        <f t="shared" si="68"/>
        <v>-1784.379560494468</v>
      </c>
      <c r="BE109" s="129">
        <f t="shared" si="68"/>
        <v>-2643.760497648118</v>
      </c>
      <c r="BF109" s="129">
        <f t="shared" si="68"/>
        <v>-3546.3031531782553</v>
      </c>
      <c r="BG109" s="129">
        <f t="shared" si="68"/>
        <v>-1042.5208133574743</v>
      </c>
      <c r="BH109" s="129">
        <f t="shared" si="68"/>
        <v>1404.4674006668638</v>
      </c>
      <c r="BI109" s="129">
        <f t="shared" si="68"/>
        <v>781.83672116347589</v>
      </c>
      <c r="BJ109" s="129">
        <f t="shared" si="68"/>
        <v>327.39792109471182</v>
      </c>
      <c r="BK109" s="129">
        <f t="shared" si="68"/>
        <v>0</v>
      </c>
      <c r="BL109" s="129">
        <f t="shared" si="68"/>
        <v>1746.0338695504288</v>
      </c>
      <c r="BM109" s="129">
        <f t="shared" si="68"/>
        <v>332.80680110034518</v>
      </c>
    </row>
    <row r="110" spans="1:65" ht="15.75" customHeight="1" thickTop="1">
      <c r="A110" s="105"/>
      <c r="B110" s="105"/>
      <c r="C110" s="60"/>
      <c r="D110" s="60"/>
      <c r="E110" s="60"/>
      <c r="F110" s="106"/>
      <c r="G110" s="4"/>
      <c r="H110" s="4"/>
      <c r="I110" s="4"/>
      <c r="J110" s="4"/>
      <c r="K110" s="4"/>
      <c r="L110" s="4"/>
      <c r="M110" s="4"/>
      <c r="N110" s="4"/>
      <c r="O110" s="4"/>
      <c r="P110" s="131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131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131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131"/>
      <c r="BC110" s="4"/>
      <c r="BD110" s="4"/>
      <c r="BE110" s="4"/>
      <c r="BF110" s="4"/>
      <c r="BG110" s="4"/>
      <c r="BH110" s="4"/>
      <c r="BI110" s="4"/>
      <c r="BJ110" s="4"/>
      <c r="BK110" s="122"/>
      <c r="BL110" s="122"/>
      <c r="BM110" s="4"/>
    </row>
    <row r="111" spans="1:65" ht="15.75" customHeight="1">
      <c r="A111" s="105" t="s">
        <v>49</v>
      </c>
      <c r="B111" s="105" t="s">
        <v>89</v>
      </c>
      <c r="C111" s="105" t="s">
        <v>80</v>
      </c>
      <c r="D111" s="105" t="s">
        <v>77</v>
      </c>
      <c r="E111" s="105" t="s">
        <v>70</v>
      </c>
      <c r="F111" s="106" t="s">
        <v>76</v>
      </c>
      <c r="G111" s="124">
        <f>158.753116994977*I111/SUM(I99,I111,I123)</f>
        <v>142.87780529547931</v>
      </c>
      <c r="H111" s="124">
        <f>952.017886904762*I111/SUM(I99,I111,I123)</f>
        <v>856.81609821428583</v>
      </c>
      <c r="I111" s="5">
        <v>981</v>
      </c>
      <c r="J111" s="5">
        <v>984</v>
      </c>
      <c r="K111" s="5">
        <v>986</v>
      </c>
      <c r="L111" s="5">
        <v>1000</v>
      </c>
      <c r="M111" s="5">
        <v>999</v>
      </c>
      <c r="N111" s="5">
        <v>995</v>
      </c>
      <c r="O111" s="5">
        <v>1003</v>
      </c>
      <c r="P111" s="48">
        <v>996</v>
      </c>
      <c r="Q111" s="5">
        <v>995</v>
      </c>
      <c r="R111" s="5">
        <v>990</v>
      </c>
      <c r="S111" s="124">
        <f>836.66301369863*R111/SUM(R99,R111)</f>
        <v>834.97619310649577</v>
      </c>
      <c r="T111" s="124">
        <f>153.33698630137*R111/SUM(R99,R111)</f>
        <v>153.02783915156883</v>
      </c>
      <c r="U111" s="124">
        <f>116.915145985401*SUM(S111:T111)/SUM(S99:T99,S111:T111)</f>
        <v>116.67942996526914</v>
      </c>
      <c r="V111" s="124">
        <f>870.375*SUM(S111:T111)/SUM(S99:T99,S111:T111)</f>
        <v>868.6202116935483</v>
      </c>
      <c r="W111" s="5">
        <v>988</v>
      </c>
      <c r="X111" s="5">
        <v>987</v>
      </c>
      <c r="Y111" s="5">
        <v>985</v>
      </c>
      <c r="Z111" s="5">
        <v>970</v>
      </c>
      <c r="AA111" s="5">
        <v>968</v>
      </c>
      <c r="AB111" s="5">
        <v>961</v>
      </c>
      <c r="AC111" s="5">
        <v>961</v>
      </c>
      <c r="AD111" s="48">
        <v>961</v>
      </c>
      <c r="AE111" s="5">
        <v>965</v>
      </c>
      <c r="AF111" s="5">
        <v>966</v>
      </c>
      <c r="AG111" s="5">
        <v>967</v>
      </c>
      <c r="AH111" s="5">
        <v>974</v>
      </c>
      <c r="AI111" s="5">
        <v>973</v>
      </c>
      <c r="AJ111" s="5">
        <v>975</v>
      </c>
      <c r="AK111" s="5">
        <v>974</v>
      </c>
      <c r="AL111" s="5">
        <v>979</v>
      </c>
      <c r="AM111" s="5">
        <v>983</v>
      </c>
      <c r="AN111" s="5">
        <v>976</v>
      </c>
      <c r="AO111" s="5">
        <v>977</v>
      </c>
      <c r="AP111" s="48">
        <v>982</v>
      </c>
      <c r="AQ111" s="5">
        <v>978</v>
      </c>
      <c r="AR111" s="5">
        <v>973</v>
      </c>
      <c r="AS111" s="5">
        <v>973</v>
      </c>
      <c r="AT111" s="5">
        <v>980</v>
      </c>
      <c r="AU111" s="5">
        <v>976</v>
      </c>
      <c r="AV111" s="5">
        <v>979</v>
      </c>
      <c r="AW111" s="5">
        <v>976</v>
      </c>
      <c r="AX111" s="5">
        <v>967</v>
      </c>
      <c r="AY111" s="5">
        <v>965</v>
      </c>
      <c r="AZ111" s="5">
        <v>954</v>
      </c>
      <c r="BA111" s="5">
        <v>956</v>
      </c>
      <c r="BB111" s="48">
        <v>959</v>
      </c>
      <c r="BC111" s="5">
        <v>959</v>
      </c>
      <c r="BD111" s="5">
        <v>952</v>
      </c>
      <c r="BE111" s="5">
        <v>945</v>
      </c>
      <c r="BF111" s="5">
        <v>938</v>
      </c>
      <c r="BG111" s="5">
        <v>938</v>
      </c>
      <c r="BH111" s="5">
        <v>939</v>
      </c>
      <c r="BI111" s="5">
        <v>528.04309731555372</v>
      </c>
      <c r="BJ111" s="58">
        <v>406.95690268444622</v>
      </c>
      <c r="BK111" s="58">
        <v>7.6802782451624765</v>
      </c>
      <c r="BL111" s="58">
        <v>924.31972175483747</v>
      </c>
      <c r="BM111" s="5">
        <v>924</v>
      </c>
    </row>
    <row r="112" spans="1:65" ht="15.75" customHeight="1">
      <c r="A112" s="105" t="s">
        <v>49</v>
      </c>
      <c r="B112" s="105" t="s">
        <v>89</v>
      </c>
      <c r="C112" s="105" t="s">
        <v>80</v>
      </c>
      <c r="D112" s="105" t="s">
        <v>77</v>
      </c>
      <c r="E112" s="105" t="s">
        <v>74</v>
      </c>
      <c r="F112" s="106" t="s">
        <v>71</v>
      </c>
      <c r="G112" s="5">
        <f>G$91/G$92*G$93/G$94*G111</f>
        <v>524188.24636559602</v>
      </c>
      <c r="H112" s="5">
        <f t="shared" ref="H112:BD112" si="69">H$91/H$92*H$93/H$94*H111</f>
        <v>3371271.0059126499</v>
      </c>
      <c r="I112" s="5">
        <f t="shared" si="69"/>
        <v>3676721.1896519321</v>
      </c>
      <c r="J112" s="5">
        <f t="shared" si="69"/>
        <v>3819106.7711920473</v>
      </c>
      <c r="K112" s="5">
        <f t="shared" si="69"/>
        <v>3484433.2873072834</v>
      </c>
      <c r="L112" s="5">
        <f t="shared" si="69"/>
        <v>3254217.6655309149</v>
      </c>
      <c r="M112" s="5">
        <f t="shared" si="69"/>
        <v>3069482.6268672617</v>
      </c>
      <c r="N112" s="5">
        <f t="shared" si="69"/>
        <v>2977123.3205371527</v>
      </c>
      <c r="O112" s="5">
        <f t="shared" si="69"/>
        <v>2888133.8910542666</v>
      </c>
      <c r="P112" s="48">
        <f t="shared" si="69"/>
        <v>3047837.8364443374</v>
      </c>
      <c r="Q112" s="5">
        <f t="shared" si="69"/>
        <v>2980100.8082555532</v>
      </c>
      <c r="R112" s="5">
        <f t="shared" si="69"/>
        <v>3248109.1840027999</v>
      </c>
      <c r="S112" s="5">
        <f t="shared" si="69"/>
        <v>3063349.8710059188</v>
      </c>
      <c r="T112" s="5">
        <f t="shared" si="69"/>
        <v>583003.81732520252</v>
      </c>
      <c r="U112" s="5">
        <f t="shared" si="69"/>
        <v>459092.65716194612</v>
      </c>
      <c r="V112" s="5">
        <f t="shared" si="69"/>
        <v>3549068.837024285</v>
      </c>
      <c r="W112" s="5">
        <f t="shared" si="69"/>
        <v>3845272.1244729059</v>
      </c>
      <c r="X112" s="5">
        <f t="shared" si="69"/>
        <v>3977977.284141541</v>
      </c>
      <c r="Y112" s="5">
        <f t="shared" si="69"/>
        <v>3614680.4807737856</v>
      </c>
      <c r="Z112" s="5">
        <f t="shared" si="69"/>
        <v>3277908.1266573919</v>
      </c>
      <c r="AA112" s="5">
        <f t="shared" si="69"/>
        <v>3088541.8690345418</v>
      </c>
      <c r="AB112" s="5">
        <f t="shared" si="69"/>
        <v>2985902.1809015237</v>
      </c>
      <c r="AC112" s="5">
        <f t="shared" si="69"/>
        <v>2873546.4507453959</v>
      </c>
      <c r="AD112" s="48">
        <f t="shared" si="69"/>
        <v>3053756.1162276766</v>
      </c>
      <c r="AE112" s="5">
        <f t="shared" si="69"/>
        <v>3001329.1913167499</v>
      </c>
      <c r="AF112" s="5">
        <f t="shared" si="69"/>
        <v>3291175.1534543359</v>
      </c>
      <c r="AG112" s="5">
        <f t="shared" si="69"/>
        <v>3684066.2096462152</v>
      </c>
      <c r="AH112" s="5">
        <f t="shared" si="69"/>
        <v>3979636.900829128</v>
      </c>
      <c r="AI112" s="5">
        <f t="shared" si="69"/>
        <v>3786892.4869556045</v>
      </c>
      <c r="AJ112" s="5">
        <f t="shared" si="69"/>
        <v>3929612.8186808536</v>
      </c>
      <c r="AK112" s="5">
        <f t="shared" si="69"/>
        <v>3574313.490633165</v>
      </c>
      <c r="AL112" s="5">
        <f t="shared" si="69"/>
        <v>3308321.7072140067</v>
      </c>
      <c r="AM112" s="5">
        <f t="shared" si="69"/>
        <v>3136401.5054348703</v>
      </c>
      <c r="AN112" s="5">
        <f t="shared" si="69"/>
        <v>3032508.3543807357</v>
      </c>
      <c r="AO112" s="5">
        <f t="shared" si="69"/>
        <v>2921389.0555444867</v>
      </c>
      <c r="AP112" s="48">
        <f t="shared" si="69"/>
        <v>3120487.5193918608</v>
      </c>
      <c r="AQ112" s="5">
        <f t="shared" si="69"/>
        <v>3041761.6052930378</v>
      </c>
      <c r="AR112" s="5">
        <f t="shared" si="69"/>
        <v>3315024.2487692223</v>
      </c>
      <c r="AS112" s="5">
        <f t="shared" si="69"/>
        <v>3706924.9451765949</v>
      </c>
      <c r="AT112" s="5">
        <f t="shared" si="69"/>
        <v>4004152.1178773567</v>
      </c>
      <c r="AU112" s="5">
        <f t="shared" si="69"/>
        <v>3798568.4144590651</v>
      </c>
      <c r="AV112" s="5">
        <f t="shared" si="69"/>
        <v>3945734.3071677494</v>
      </c>
      <c r="AW112" s="5">
        <f t="shared" si="69"/>
        <v>3581652.9433860048</v>
      </c>
      <c r="AX112" s="5">
        <f t="shared" si="69"/>
        <v>3267770.2664718535</v>
      </c>
      <c r="AY112" s="5">
        <f t="shared" si="69"/>
        <v>3078969.9417544757</v>
      </c>
      <c r="AZ112" s="5">
        <f t="shared" si="69"/>
        <v>2964152.6332778912</v>
      </c>
      <c r="BA112" s="5">
        <f t="shared" si="69"/>
        <v>2858595.6367456801</v>
      </c>
      <c r="BB112" s="48">
        <f t="shared" si="69"/>
        <v>3047400.7444977541</v>
      </c>
      <c r="BC112" s="5">
        <f t="shared" si="69"/>
        <v>2982668.0771738477</v>
      </c>
      <c r="BD112" s="5">
        <f t="shared" si="69"/>
        <v>3243476.962824563</v>
      </c>
      <c r="BE112" s="5">
        <f>BE$91/BE$92*BE$93/BE$94*BE111</f>
        <v>3600250.8460348225</v>
      </c>
      <c r="BF112" s="5">
        <f t="shared" ref="BF112:BM112" si="70">BF$91/BF$92*BF$93/BF$94*BF111</f>
        <v>3832545.5985397557</v>
      </c>
      <c r="BG112" s="5">
        <f t="shared" si="70"/>
        <v>3650673.3327485686</v>
      </c>
      <c r="BH112" s="5">
        <f t="shared" si="70"/>
        <v>3784519.4222987914</v>
      </c>
      <c r="BI112" s="5">
        <f t="shared" si="70"/>
        <v>1937773.6821054465</v>
      </c>
      <c r="BJ112" s="58">
        <f t="shared" si="70"/>
        <v>1666666.2405476067</v>
      </c>
      <c r="BK112" s="58">
        <f t="shared" si="70"/>
        <v>25953.862345162943</v>
      </c>
      <c r="BL112" s="58">
        <f t="shared" si="70"/>
        <v>3320844.9895103769</v>
      </c>
      <c r="BM112" s="5">
        <f t="shared" si="70"/>
        <v>3365516.091038119</v>
      </c>
    </row>
    <row r="113" spans="1:65" ht="15.75" customHeight="1">
      <c r="A113" s="105" t="s">
        <v>49</v>
      </c>
      <c r="B113" s="105" t="s">
        <v>89</v>
      </c>
      <c r="C113" s="105" t="s">
        <v>80</v>
      </c>
      <c r="D113" s="105" t="s">
        <v>77</v>
      </c>
      <c r="E113" s="105" t="s">
        <v>70</v>
      </c>
      <c r="F113" s="106" t="s">
        <v>79</v>
      </c>
      <c r="G113" s="124">
        <f>13597004.6*I113/SUM(I101,I113,I125)</f>
        <v>11995600.95545633</v>
      </c>
      <c r="H113" s="124">
        <f>77026972.7666667*I113/SUM(I101,I113,I125)</f>
        <v>67955027.985776782</v>
      </c>
      <c r="I113" s="5">
        <v>72181533</v>
      </c>
      <c r="J113" s="5">
        <v>75803482</v>
      </c>
      <c r="K113" s="5">
        <v>75500504</v>
      </c>
      <c r="L113" s="5">
        <v>72854785</v>
      </c>
      <c r="M113" s="5">
        <v>66002966</v>
      </c>
      <c r="N113" s="5">
        <v>54551651</v>
      </c>
      <c r="O113" s="5">
        <v>64353477</v>
      </c>
      <c r="P113" s="48">
        <v>63832963</v>
      </c>
      <c r="Q113" s="5">
        <v>68433618</v>
      </c>
      <c r="R113" s="5">
        <v>74822734</v>
      </c>
      <c r="S113" s="124">
        <f>62513067.7723458*R113/SUM(R101,R113)</f>
        <v>62415002.55462306</v>
      </c>
      <c r="T113" s="124">
        <f>13527170.4844238*R113/SUM(R101,R113)</f>
        <v>13505950.202553157</v>
      </c>
      <c r="U113" s="124">
        <f>8411377.7544142*SUM(S113:T113)/SUM(S101:T101,S113:T113)</f>
        <v>8398182.6958411857</v>
      </c>
      <c r="V113" s="124">
        <f>66013390.6688278*SUM(S113:T113)/SUM(S101:T101,S113:T113)</f>
        <v>65909834.440358408</v>
      </c>
      <c r="W113" s="5">
        <v>76671748</v>
      </c>
      <c r="X113" s="5">
        <v>78489522</v>
      </c>
      <c r="Y113" s="5">
        <v>74932586</v>
      </c>
      <c r="Z113" s="5">
        <v>65608429</v>
      </c>
      <c r="AA113" s="5">
        <v>61103657</v>
      </c>
      <c r="AB113" s="5">
        <v>57478246</v>
      </c>
      <c r="AC113" s="5">
        <v>65162301</v>
      </c>
      <c r="AD113" s="48">
        <v>66313358</v>
      </c>
      <c r="AE113" s="5">
        <v>69413039</v>
      </c>
      <c r="AF113" s="5">
        <v>74118569</v>
      </c>
      <c r="AG113" s="5">
        <v>78510671</v>
      </c>
      <c r="AH113" s="5">
        <v>77844757</v>
      </c>
      <c r="AI113" s="5">
        <v>74964899</v>
      </c>
      <c r="AJ113" s="5">
        <v>80167167</v>
      </c>
      <c r="AK113" s="5">
        <v>70312121</v>
      </c>
      <c r="AL113" s="5">
        <v>68721114</v>
      </c>
      <c r="AM113" s="5">
        <v>64387056</v>
      </c>
      <c r="AN113" s="5">
        <v>62750678</v>
      </c>
      <c r="AO113" s="5">
        <v>60542857</v>
      </c>
      <c r="AP113" s="48">
        <v>63359203</v>
      </c>
      <c r="AQ113" s="5">
        <v>70917133</v>
      </c>
      <c r="AR113" s="5">
        <v>68614697</v>
      </c>
      <c r="AS113" s="5">
        <v>80485582</v>
      </c>
      <c r="AT113" s="5">
        <v>75067600</v>
      </c>
      <c r="AU113" s="5">
        <v>75489588</v>
      </c>
      <c r="AV113" s="5">
        <v>78363157</v>
      </c>
      <c r="AW113" s="5">
        <v>74250218</v>
      </c>
      <c r="AX113" s="5">
        <v>72152422</v>
      </c>
      <c r="AY113" s="5">
        <v>61977408</v>
      </c>
      <c r="AZ113" s="5">
        <v>58190707</v>
      </c>
      <c r="BA113" s="5">
        <v>54095924</v>
      </c>
      <c r="BB113" s="48">
        <v>59903558</v>
      </c>
      <c r="BC113" s="5">
        <v>65564952</v>
      </c>
      <c r="BD113" s="5">
        <v>68079506</v>
      </c>
      <c r="BE113" s="5">
        <v>74632681</v>
      </c>
      <c r="BF113" s="5">
        <v>77698627</v>
      </c>
      <c r="BG113" s="5">
        <v>76578733</v>
      </c>
      <c r="BH113" s="5">
        <v>71082652</v>
      </c>
      <c r="BI113" s="5">
        <v>41220630</v>
      </c>
      <c r="BJ113" s="58">
        <v>31768278</v>
      </c>
      <c r="BK113" s="58">
        <v>515630</v>
      </c>
      <c r="BL113" s="58">
        <v>62055952</v>
      </c>
      <c r="BM113" s="5">
        <v>60469716</v>
      </c>
    </row>
    <row r="114" spans="1:65" ht="15.75" customHeight="1">
      <c r="A114" s="105" t="s">
        <v>49</v>
      </c>
      <c r="B114" s="105" t="s">
        <v>89</v>
      </c>
      <c r="C114" s="105" t="s">
        <v>80</v>
      </c>
      <c r="D114" s="105" t="s">
        <v>77</v>
      </c>
      <c r="E114" s="105" t="s">
        <v>70</v>
      </c>
      <c r="F114" s="106" t="s">
        <v>71</v>
      </c>
      <c r="G114" s="5"/>
      <c r="H114" s="5"/>
      <c r="I114" s="5"/>
      <c r="J114" s="5"/>
      <c r="K114" s="5"/>
      <c r="L114" s="5"/>
      <c r="M114" s="5"/>
      <c r="N114" s="5"/>
      <c r="O114" s="5"/>
      <c r="P114" s="48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48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48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48"/>
      <c r="BC114" s="5"/>
      <c r="BD114" s="5"/>
      <c r="BE114" s="5"/>
      <c r="BF114" s="5"/>
      <c r="BG114" s="5"/>
      <c r="BH114" s="5"/>
      <c r="BI114" s="58"/>
      <c r="BJ114" s="58">
        <v>2318676.7347140503</v>
      </c>
      <c r="BK114" s="58"/>
      <c r="BL114" s="58">
        <v>4773097.9236460607</v>
      </c>
      <c r="BM114" s="58">
        <v>4860132.41</v>
      </c>
    </row>
    <row r="115" spans="1:65" ht="15.75" customHeight="1">
      <c r="A115" s="105" t="s">
        <v>49</v>
      </c>
      <c r="B115" s="105" t="s">
        <v>89</v>
      </c>
      <c r="C115" s="105" t="s">
        <v>80</v>
      </c>
      <c r="D115" s="105" t="s">
        <v>77</v>
      </c>
      <c r="E115" s="116" t="s">
        <v>81</v>
      </c>
      <c r="F115" s="106" t="s">
        <v>71</v>
      </c>
      <c r="G115" s="5"/>
      <c r="H115" s="5"/>
      <c r="I115" s="5"/>
      <c r="J115" s="5"/>
      <c r="K115" s="5"/>
      <c r="L115" s="5"/>
      <c r="M115" s="5"/>
      <c r="N115" s="5"/>
      <c r="O115" s="5"/>
      <c r="P115" s="48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48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48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48"/>
      <c r="BC115" s="5"/>
      <c r="BD115" s="5"/>
      <c r="BE115" s="5"/>
      <c r="BF115" s="5"/>
      <c r="BG115" s="5"/>
      <c r="BH115" s="5"/>
      <c r="BI115" s="5"/>
      <c r="BJ115" s="122">
        <f>BJ113*BJ95</f>
        <v>-154393.83108</v>
      </c>
      <c r="BK115" s="111"/>
      <c r="BL115" s="122">
        <f t="shared" ref="BL115:BM115" si="71">BL113*BL95</f>
        <v>-163207.15375999999</v>
      </c>
      <c r="BM115" s="111">
        <f t="shared" si="71"/>
        <v>-3628.1829600000001</v>
      </c>
    </row>
    <row r="116" spans="1:65" ht="15.75" customHeight="1">
      <c r="A116" s="105" t="s">
        <v>49</v>
      </c>
      <c r="B116" s="105" t="s">
        <v>89</v>
      </c>
      <c r="C116" s="105" t="s">
        <v>80</v>
      </c>
      <c r="D116" s="105" t="s">
        <v>77</v>
      </c>
      <c r="E116" s="116" t="s">
        <v>83</v>
      </c>
      <c r="F116" s="106" t="s">
        <v>71</v>
      </c>
      <c r="G116" s="5"/>
      <c r="H116" s="5"/>
      <c r="I116" s="5"/>
      <c r="J116" s="5"/>
      <c r="K116" s="5"/>
      <c r="L116" s="5"/>
      <c r="M116" s="5"/>
      <c r="N116" s="5"/>
      <c r="O116" s="5"/>
      <c r="P116" s="48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48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48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48"/>
      <c r="BC116" s="5"/>
      <c r="BD116" s="5"/>
      <c r="BE116" s="5"/>
      <c r="BF116" s="5"/>
      <c r="BG116" s="5"/>
      <c r="BH116" s="5"/>
      <c r="BI116" s="5"/>
      <c r="BJ116" s="122">
        <f>BJ113*BJ96</f>
        <v>77832.281099999993</v>
      </c>
      <c r="BK116" s="111"/>
      <c r="BL116" s="122">
        <f t="shared" ref="BL116:BM116" si="72">BL113*BL96</f>
        <v>152037.08239999998</v>
      </c>
      <c r="BM116" s="111">
        <f t="shared" si="72"/>
        <v>148150.80419999998</v>
      </c>
    </row>
    <row r="117" spans="1:65" ht="15.75" customHeight="1">
      <c r="A117" s="105" t="s">
        <v>49</v>
      </c>
      <c r="B117" s="105" t="s">
        <v>89</v>
      </c>
      <c r="C117" s="105" t="s">
        <v>80</v>
      </c>
      <c r="D117" s="105" t="s">
        <v>77</v>
      </c>
      <c r="E117" s="116" t="s">
        <v>84</v>
      </c>
      <c r="F117" s="106" t="s">
        <v>71</v>
      </c>
      <c r="G117" s="5"/>
      <c r="H117" s="5"/>
      <c r="I117" s="5"/>
      <c r="J117" s="5"/>
      <c r="K117" s="5"/>
      <c r="L117" s="5"/>
      <c r="M117" s="5"/>
      <c r="N117" s="5"/>
      <c r="O117" s="5"/>
      <c r="P117" s="48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48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48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48"/>
      <c r="BC117" s="5"/>
      <c r="BD117" s="5"/>
      <c r="BE117" s="5"/>
      <c r="BF117" s="5"/>
      <c r="BG117" s="5"/>
      <c r="BH117" s="5"/>
      <c r="BI117" s="5"/>
      <c r="BJ117" s="122">
        <f>BJ113*BJ97</f>
        <v>-81009.108900000007</v>
      </c>
      <c r="BK117" s="111"/>
      <c r="BL117" s="122">
        <f t="shared" ref="BL117:BM117" si="73">BL113*BL97</f>
        <v>-158242.67760000002</v>
      </c>
      <c r="BM117" s="111">
        <f t="shared" si="73"/>
        <v>-154197.7758</v>
      </c>
    </row>
    <row r="118" spans="1:65" ht="15.75" customHeight="1">
      <c r="A118" s="105" t="s">
        <v>49</v>
      </c>
      <c r="B118" s="105" t="s">
        <v>89</v>
      </c>
      <c r="C118" s="105" t="s">
        <v>80</v>
      </c>
      <c r="D118" s="105" t="s">
        <v>77</v>
      </c>
      <c r="E118" s="105" t="s">
        <v>72</v>
      </c>
      <c r="F118" s="106" t="s">
        <v>71</v>
      </c>
      <c r="G118" s="5"/>
      <c r="H118" s="5"/>
      <c r="I118" s="5"/>
      <c r="J118" s="5"/>
      <c r="K118" s="5"/>
      <c r="L118" s="5"/>
      <c r="M118" s="5"/>
      <c r="N118" s="5"/>
      <c r="O118" s="5"/>
      <c r="P118" s="48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48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48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48"/>
      <c r="BC118" s="5"/>
      <c r="BD118" s="5"/>
      <c r="BE118" s="5"/>
      <c r="BF118" s="5"/>
      <c r="BG118" s="5"/>
      <c r="BH118" s="5"/>
      <c r="BI118" s="5"/>
      <c r="BJ118" s="58">
        <f>BJ$89/BJ$92/12*BJ111</f>
        <v>51111.963764525535</v>
      </c>
      <c r="BK118" s="58"/>
      <c r="BL118" s="58">
        <f>BL$89/BL$92/12*BL111</f>
        <v>116090.41599621753</v>
      </c>
      <c r="BM118" s="58">
        <f>BM$89/BM$92/12*BM111</f>
        <v>116050.26037619932</v>
      </c>
    </row>
    <row r="119" spans="1:65" ht="15.75" customHeight="1">
      <c r="A119" s="105" t="s">
        <v>49</v>
      </c>
      <c r="B119" s="105" t="s">
        <v>89</v>
      </c>
      <c r="C119" s="105" t="s">
        <v>80</v>
      </c>
      <c r="D119" s="105" t="s">
        <v>77</v>
      </c>
      <c r="E119" s="105" t="s">
        <v>73</v>
      </c>
      <c r="F119" s="106" t="s">
        <v>71</v>
      </c>
      <c r="G119" s="5"/>
      <c r="H119" s="5"/>
      <c r="I119" s="5"/>
      <c r="J119" s="5"/>
      <c r="K119" s="5"/>
      <c r="L119" s="5"/>
      <c r="M119" s="5"/>
      <c r="N119" s="5"/>
      <c r="O119" s="5"/>
      <c r="P119" s="48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48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48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48"/>
      <c r="BC119" s="5"/>
      <c r="BD119" s="5"/>
      <c r="BE119" s="5"/>
      <c r="BF119" s="5"/>
      <c r="BG119" s="5"/>
      <c r="BH119" s="5"/>
      <c r="BI119" s="125"/>
      <c r="BJ119" s="58">
        <f>BJ$90/BJ$94*BJ113</f>
        <v>773923.27634282119</v>
      </c>
      <c r="BK119" s="58"/>
      <c r="BL119" s="58">
        <f>BL$90/BL$94*BL113</f>
        <v>1511776.8010092599</v>
      </c>
      <c r="BM119" s="58">
        <f>BM$90/BM$94*BM113</f>
        <v>1473133.6941284609</v>
      </c>
    </row>
    <row r="120" spans="1:65" ht="15.75" customHeight="1">
      <c r="A120" s="105" t="s">
        <v>49</v>
      </c>
      <c r="B120" s="105" t="s">
        <v>89</v>
      </c>
      <c r="C120" s="105" t="s">
        <v>80</v>
      </c>
      <c r="D120" s="105" t="s">
        <v>77</v>
      </c>
      <c r="E120" s="105" t="s">
        <v>88</v>
      </c>
      <c r="F120" s="106" t="s">
        <v>71</v>
      </c>
      <c r="G120" s="122">
        <f>G$91/G$94*G113</f>
        <v>565291.57921183843</v>
      </c>
      <c r="H120" s="122">
        <f t="shared" ref="H120:BF120" si="74">H$91/H$94*H113</f>
        <v>3202374.3727479717</v>
      </c>
      <c r="I120" s="122">
        <f t="shared" si="74"/>
        <v>3401548.0283996495</v>
      </c>
      <c r="J120" s="122">
        <f t="shared" si="74"/>
        <v>3572232.0381160141</v>
      </c>
      <c r="K120" s="122">
        <f t="shared" si="74"/>
        <v>3557954.228048604</v>
      </c>
      <c r="L120" s="122">
        <f t="shared" si="74"/>
        <v>3433274.966274689</v>
      </c>
      <c r="M120" s="122">
        <f t="shared" si="74"/>
        <v>3110383.6332463194</v>
      </c>
      <c r="N120" s="122">
        <f t="shared" si="74"/>
        <v>2570741.4790566415</v>
      </c>
      <c r="O120" s="122">
        <f t="shared" si="74"/>
        <v>3032651.6175544816</v>
      </c>
      <c r="P120" s="126">
        <f t="shared" si="74"/>
        <v>3008122.4437219664</v>
      </c>
      <c r="Q120" s="122">
        <f t="shared" si="74"/>
        <v>3224927.8826504662</v>
      </c>
      <c r="R120" s="122">
        <f t="shared" si="74"/>
        <v>3526014.3798438227</v>
      </c>
      <c r="S120" s="122">
        <f t="shared" si="74"/>
        <v>2941301.1896302779</v>
      </c>
      <c r="T120" s="122">
        <f t="shared" si="74"/>
        <v>660927.91398014862</v>
      </c>
      <c r="U120" s="122">
        <f t="shared" si="74"/>
        <v>395763.57835429511</v>
      </c>
      <c r="V120" s="122">
        <f t="shared" si="74"/>
        <v>3225367.2443726449</v>
      </c>
      <c r="W120" s="122">
        <f t="shared" si="74"/>
        <v>3752012.8318903586</v>
      </c>
      <c r="X120" s="122">
        <f t="shared" si="74"/>
        <v>3840967.5192606878</v>
      </c>
      <c r="Y120" s="122">
        <f t="shared" si="74"/>
        <v>3666905.1056293622</v>
      </c>
      <c r="Z120" s="122">
        <f t="shared" si="74"/>
        <v>3210617.6513435892</v>
      </c>
      <c r="AA120" s="122">
        <f t="shared" si="74"/>
        <v>2990171.8836438572</v>
      </c>
      <c r="AB120" s="122">
        <f t="shared" si="74"/>
        <v>2812758.5736867599</v>
      </c>
      <c r="AC120" s="122">
        <f t="shared" si="74"/>
        <v>3188785.9072614587</v>
      </c>
      <c r="AD120" s="126">
        <f t="shared" si="74"/>
        <v>3245114.0952432593</v>
      </c>
      <c r="AE120" s="122">
        <f t="shared" si="74"/>
        <v>3396800.2533150269</v>
      </c>
      <c r="AF120" s="122">
        <f t="shared" si="74"/>
        <v>3627070.3254261394</v>
      </c>
      <c r="AG120" s="122">
        <f t="shared" si="74"/>
        <v>3842002.4678754192</v>
      </c>
      <c r="AH120" s="122">
        <f t="shared" si="74"/>
        <v>3809415.2641385822</v>
      </c>
      <c r="AI120" s="122">
        <f t="shared" si="74"/>
        <v>3668486.3763555344</v>
      </c>
      <c r="AJ120" s="122">
        <f t="shared" si="74"/>
        <v>3923064.846262502</v>
      </c>
      <c r="AK120" s="122">
        <f t="shared" si="74"/>
        <v>3440797.7789866948</v>
      </c>
      <c r="AL120" s="122">
        <f t="shared" si="74"/>
        <v>3362940.1738669132</v>
      </c>
      <c r="AM120" s="122">
        <f t="shared" si="74"/>
        <v>3150848.4757598471</v>
      </c>
      <c r="AN120" s="122">
        <f t="shared" si="74"/>
        <v>3070770.5929153985</v>
      </c>
      <c r="AO120" s="122">
        <f t="shared" si="74"/>
        <v>2962728.5443303445</v>
      </c>
      <c r="AP120" s="126">
        <f t="shared" si="74"/>
        <v>3100549.4054256608</v>
      </c>
      <c r="AQ120" s="122">
        <f t="shared" si="74"/>
        <v>3470404.6791378125</v>
      </c>
      <c r="AR120" s="122">
        <f t="shared" si="74"/>
        <v>3357732.5457646917</v>
      </c>
      <c r="AS120" s="122">
        <f t="shared" si="74"/>
        <v>3938646.8200276806</v>
      </c>
      <c r="AT120" s="122">
        <f t="shared" si="74"/>
        <v>3673512.1580795664</v>
      </c>
      <c r="AU120" s="122">
        <f t="shared" si="74"/>
        <v>3694162.5858082226</v>
      </c>
      <c r="AV120" s="122">
        <f t="shared" si="74"/>
        <v>3834783.7147450815</v>
      </c>
      <c r="AW120" s="122">
        <f t="shared" si="74"/>
        <v>3633512.7080532517</v>
      </c>
      <c r="AX120" s="122">
        <f t="shared" si="74"/>
        <v>3530854.8488547336</v>
      </c>
      <c r="AY120" s="122">
        <f t="shared" si="74"/>
        <v>3032929.810121248</v>
      </c>
      <c r="AZ120" s="122">
        <f t="shared" si="74"/>
        <v>2847623.6039482509</v>
      </c>
      <c r="BA120" s="122">
        <f t="shared" si="74"/>
        <v>2647241.0802603015</v>
      </c>
      <c r="BB120" s="126">
        <f t="shared" si="74"/>
        <v>2931443.7736816481</v>
      </c>
      <c r="BC120" s="122">
        <f t="shared" si="74"/>
        <v>3208490.0585059756</v>
      </c>
      <c r="BD120" s="122">
        <f t="shared" si="74"/>
        <v>3331542.4098685822</v>
      </c>
      <c r="BE120" s="122">
        <f t="shared" si="74"/>
        <v>3652228.9382313257</v>
      </c>
      <c r="BF120" s="122">
        <f t="shared" si="74"/>
        <v>3802264.2385075488</v>
      </c>
      <c r="BG120" s="122">
        <f>BG$91/BG$94*BG113</f>
        <v>3747461.0447893487</v>
      </c>
      <c r="BH120" s="122">
        <f>BH$91/BH$94*BH113</f>
        <v>3478504.5259278147</v>
      </c>
      <c r="BI120" s="122">
        <f>BI$91/BI$94*BI113</f>
        <v>2017174.9925227305</v>
      </c>
      <c r="BJ120" s="122">
        <f>BJ114-BJ115-BJ116-BJ117-BJ118-BJ119</f>
        <v>1651212.1534867035</v>
      </c>
      <c r="BK120" s="122">
        <f>BK$91/BK$94*BK113</f>
        <v>25232.897735781706</v>
      </c>
      <c r="BL120" s="122">
        <f>BL114-BL115-BL116-BL117-BL118-BL119</f>
        <v>3314643.4556005839</v>
      </c>
      <c r="BM120" s="122">
        <f t="shared" ref="BM120" si="75">BM114-BM115-BM116-BM117-BM118-BM119</f>
        <v>3280623.6100553395</v>
      </c>
    </row>
    <row r="121" spans="1:65" ht="15.75" customHeight="1" thickBot="1">
      <c r="A121" s="127" t="s">
        <v>49</v>
      </c>
      <c r="B121" s="127" t="s">
        <v>89</v>
      </c>
      <c r="C121" s="127" t="s">
        <v>80</v>
      </c>
      <c r="D121" s="127" t="s">
        <v>77</v>
      </c>
      <c r="E121" s="127" t="s">
        <v>10</v>
      </c>
      <c r="F121" s="128" t="s">
        <v>71</v>
      </c>
      <c r="G121" s="129">
        <f>G120-G112</f>
        <v>41103.332846242411</v>
      </c>
      <c r="H121" s="129">
        <f t="shared" ref="H121:BM121" si="76">H120-H112</f>
        <v>-168896.63316467823</v>
      </c>
      <c r="I121" s="129">
        <f t="shared" si="76"/>
        <v>-275173.16125228256</v>
      </c>
      <c r="J121" s="129">
        <f t="shared" si="76"/>
        <v>-246874.73307603318</v>
      </c>
      <c r="K121" s="129">
        <f t="shared" si="76"/>
        <v>73520.940741320606</v>
      </c>
      <c r="L121" s="129">
        <f t="shared" si="76"/>
        <v>179057.30074377405</v>
      </c>
      <c r="M121" s="129">
        <f t="shared" si="76"/>
        <v>40901.006379057653</v>
      </c>
      <c r="N121" s="129">
        <f t="shared" si="76"/>
        <v>-406381.84148051124</v>
      </c>
      <c r="O121" s="129">
        <f t="shared" si="76"/>
        <v>144517.72650021501</v>
      </c>
      <c r="P121" s="130">
        <f t="shared" si="76"/>
        <v>-39715.392722371034</v>
      </c>
      <c r="Q121" s="129">
        <f t="shared" si="76"/>
        <v>244827.07439491292</v>
      </c>
      <c r="R121" s="129">
        <f t="shared" si="76"/>
        <v>277905.19584102277</v>
      </c>
      <c r="S121" s="129">
        <f t="shared" si="76"/>
        <v>-122048.68137564091</v>
      </c>
      <c r="T121" s="129">
        <f t="shared" si="76"/>
        <v>77924.096654946101</v>
      </c>
      <c r="U121" s="129">
        <f t="shared" si="76"/>
        <v>-63329.078807651007</v>
      </c>
      <c r="V121" s="129">
        <f t="shared" si="76"/>
        <v>-323701.59265164007</v>
      </c>
      <c r="W121" s="129">
        <f t="shared" si="76"/>
        <v>-93259.292582547292</v>
      </c>
      <c r="X121" s="129">
        <f t="shared" si="76"/>
        <v>-137009.76488085324</v>
      </c>
      <c r="Y121" s="129">
        <f t="shared" si="76"/>
        <v>52224.624855576549</v>
      </c>
      <c r="Z121" s="129">
        <f t="shared" si="76"/>
        <v>-67290.475313802715</v>
      </c>
      <c r="AA121" s="129">
        <f t="shared" si="76"/>
        <v>-98369.985390684567</v>
      </c>
      <c r="AB121" s="129">
        <f t="shared" si="76"/>
        <v>-173143.60721476376</v>
      </c>
      <c r="AC121" s="129">
        <f t="shared" si="76"/>
        <v>315239.45651606284</v>
      </c>
      <c r="AD121" s="130">
        <f t="shared" si="76"/>
        <v>191357.97901558271</v>
      </c>
      <c r="AE121" s="129">
        <f t="shared" si="76"/>
        <v>395471.06199827697</v>
      </c>
      <c r="AF121" s="129">
        <f t="shared" si="76"/>
        <v>335895.17197180353</v>
      </c>
      <c r="AG121" s="129">
        <f t="shared" si="76"/>
        <v>157936.25822920399</v>
      </c>
      <c r="AH121" s="129">
        <f t="shared" si="76"/>
        <v>-170221.63669054583</v>
      </c>
      <c r="AI121" s="129">
        <f t="shared" si="76"/>
        <v>-118406.1106000701</v>
      </c>
      <c r="AJ121" s="129">
        <f t="shared" si="76"/>
        <v>-6547.9724183515646</v>
      </c>
      <c r="AK121" s="129">
        <f t="shared" si="76"/>
        <v>-133515.71164647024</v>
      </c>
      <c r="AL121" s="129">
        <f t="shared" si="76"/>
        <v>54618.4666529065</v>
      </c>
      <c r="AM121" s="129">
        <f t="shared" si="76"/>
        <v>14446.970324976835</v>
      </c>
      <c r="AN121" s="129">
        <f t="shared" si="76"/>
        <v>38262.238534662873</v>
      </c>
      <c r="AO121" s="129">
        <f t="shared" si="76"/>
        <v>41339.4887858578</v>
      </c>
      <c r="AP121" s="130">
        <f t="shared" si="76"/>
        <v>-19938.113966200035</v>
      </c>
      <c r="AQ121" s="129">
        <f t="shared" si="76"/>
        <v>428643.07384477463</v>
      </c>
      <c r="AR121" s="129">
        <f t="shared" si="76"/>
        <v>42708.296995469369</v>
      </c>
      <c r="AS121" s="129">
        <f t="shared" si="76"/>
        <v>231721.87485108571</v>
      </c>
      <c r="AT121" s="129">
        <f t="shared" si="76"/>
        <v>-330639.95979779027</v>
      </c>
      <c r="AU121" s="129">
        <f t="shared" si="76"/>
        <v>-104405.82865084242</v>
      </c>
      <c r="AV121" s="129">
        <f t="shared" si="76"/>
        <v>-110950.59242266789</v>
      </c>
      <c r="AW121" s="129">
        <f t="shared" si="76"/>
        <v>51859.764667246956</v>
      </c>
      <c r="AX121" s="129">
        <f t="shared" si="76"/>
        <v>263084.58238288015</v>
      </c>
      <c r="AY121" s="129">
        <f t="shared" si="76"/>
        <v>-46040.131633227691</v>
      </c>
      <c r="AZ121" s="129">
        <f t="shared" si="76"/>
        <v>-116529.02932964033</v>
      </c>
      <c r="BA121" s="129">
        <f t="shared" si="76"/>
        <v>-211354.55648537865</v>
      </c>
      <c r="BB121" s="130">
        <f t="shared" si="76"/>
        <v>-115956.97081610607</v>
      </c>
      <c r="BC121" s="129">
        <f t="shared" si="76"/>
        <v>225821.98133212794</v>
      </c>
      <c r="BD121" s="129">
        <f t="shared" si="76"/>
        <v>88065.447044019122</v>
      </c>
      <c r="BE121" s="129">
        <f t="shared" si="76"/>
        <v>51978.092196503188</v>
      </c>
      <c r="BF121" s="129">
        <f t="shared" si="76"/>
        <v>-30281.360032206867</v>
      </c>
      <c r="BG121" s="129">
        <f t="shared" si="76"/>
        <v>96787.712040780112</v>
      </c>
      <c r="BH121" s="129">
        <f t="shared" si="76"/>
        <v>-306014.8963709767</v>
      </c>
      <c r="BI121" s="129">
        <f t="shared" si="76"/>
        <v>79401.310417284025</v>
      </c>
      <c r="BJ121" s="129">
        <f t="shared" si="76"/>
        <v>-15454.087060903199</v>
      </c>
      <c r="BK121" s="129">
        <f t="shared" si="76"/>
        <v>-720.9646093812371</v>
      </c>
      <c r="BL121" s="129">
        <f t="shared" si="76"/>
        <v>-6201.5339097930118</v>
      </c>
      <c r="BM121" s="129">
        <f t="shared" si="76"/>
        <v>-84892.480982779525</v>
      </c>
    </row>
    <row r="122" spans="1:65" ht="15.75" customHeight="1" thickTop="1">
      <c r="A122" s="60"/>
      <c r="B122" s="105"/>
      <c r="C122" s="60"/>
      <c r="D122" s="60"/>
      <c r="E122" s="60"/>
      <c r="F122" s="106"/>
      <c r="G122" s="4"/>
      <c r="H122" s="4"/>
      <c r="I122" s="4"/>
      <c r="J122" s="4"/>
      <c r="K122" s="4"/>
      <c r="L122" s="4"/>
      <c r="M122" s="4"/>
      <c r="N122" s="4"/>
      <c r="O122" s="4"/>
      <c r="P122" s="131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131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131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131"/>
      <c r="BC122" s="4"/>
      <c r="BD122" s="4"/>
      <c r="BE122" s="4"/>
      <c r="BF122" s="4"/>
      <c r="BG122" s="4"/>
      <c r="BH122" s="4"/>
      <c r="BI122" s="4"/>
      <c r="BJ122" s="4"/>
      <c r="BK122" s="122"/>
      <c r="BL122" s="122"/>
      <c r="BM122" s="4"/>
    </row>
    <row r="123" spans="1:65" ht="15.75" customHeight="1">
      <c r="A123" s="105" t="s">
        <v>49</v>
      </c>
      <c r="B123" s="105" t="s">
        <v>47</v>
      </c>
      <c r="C123" s="105" t="s">
        <v>80</v>
      </c>
      <c r="D123" s="105" t="s">
        <v>77</v>
      </c>
      <c r="E123" s="105" t="s">
        <v>70</v>
      </c>
      <c r="F123" s="106" t="s">
        <v>76</v>
      </c>
      <c r="G123" s="124">
        <f>158.753116994977*I123/SUM(I99,I111,I123)</f>
        <v>15.875311699497702</v>
      </c>
      <c r="H123" s="124">
        <f>952.017886904762*I123/SUM(I99,I111,I123)</f>
        <v>95.201788690476192</v>
      </c>
      <c r="I123" s="5">
        <v>109</v>
      </c>
      <c r="J123" s="5">
        <v>108</v>
      </c>
      <c r="K123" s="5">
        <v>107</v>
      </c>
      <c r="L123" s="5">
        <v>106</v>
      </c>
      <c r="M123" s="5">
        <v>107</v>
      </c>
      <c r="N123" s="5">
        <v>108</v>
      </c>
      <c r="O123" s="5">
        <v>108</v>
      </c>
      <c r="P123" s="48">
        <v>108</v>
      </c>
      <c r="Q123" s="5">
        <v>106</v>
      </c>
      <c r="R123" s="5">
        <v>105</v>
      </c>
      <c r="S123" s="124">
        <v>88.736986301369797</v>
      </c>
      <c r="T123" s="124">
        <v>16.2630136986301</v>
      </c>
      <c r="U123" s="124">
        <v>12.518187347931899</v>
      </c>
      <c r="V123" s="124">
        <v>93.191666666666706</v>
      </c>
      <c r="W123" s="5">
        <v>105</v>
      </c>
      <c r="X123" s="5">
        <v>106</v>
      </c>
      <c r="Y123" s="5">
        <v>107</v>
      </c>
      <c r="Z123" s="5">
        <v>105</v>
      </c>
      <c r="AA123" s="5">
        <v>106</v>
      </c>
      <c r="AB123" s="5">
        <v>105</v>
      </c>
      <c r="AC123" s="5">
        <v>105</v>
      </c>
      <c r="AD123" s="48">
        <v>106</v>
      </c>
      <c r="AE123" s="5">
        <v>105</v>
      </c>
      <c r="AF123" s="5">
        <v>105</v>
      </c>
      <c r="AG123" s="5">
        <v>103</v>
      </c>
      <c r="AH123" s="5">
        <v>103</v>
      </c>
      <c r="AI123" s="5">
        <v>103</v>
      </c>
      <c r="AJ123" s="5">
        <v>102</v>
      </c>
      <c r="AK123" s="5">
        <v>101</v>
      </c>
      <c r="AL123" s="5">
        <v>102</v>
      </c>
      <c r="AM123" s="5">
        <v>103</v>
      </c>
      <c r="AN123" s="5">
        <v>102</v>
      </c>
      <c r="AO123" s="5">
        <v>104</v>
      </c>
      <c r="AP123" s="48">
        <v>103</v>
      </c>
      <c r="AQ123" s="5">
        <v>102</v>
      </c>
      <c r="AR123" s="5">
        <v>102</v>
      </c>
      <c r="AS123" s="5">
        <v>105</v>
      </c>
      <c r="AT123" s="5">
        <v>105</v>
      </c>
      <c r="AU123" s="5">
        <v>107</v>
      </c>
      <c r="AV123" s="5">
        <v>106</v>
      </c>
      <c r="AW123" s="5">
        <v>106</v>
      </c>
      <c r="AX123" s="5">
        <v>105</v>
      </c>
      <c r="AY123" s="5">
        <v>102</v>
      </c>
      <c r="AZ123" s="5">
        <v>102</v>
      </c>
      <c r="BA123" s="5">
        <v>99</v>
      </c>
      <c r="BB123" s="48">
        <v>99</v>
      </c>
      <c r="BC123" s="5">
        <v>98</v>
      </c>
      <c r="BD123" s="5">
        <v>98</v>
      </c>
      <c r="BE123" s="5">
        <v>98</v>
      </c>
      <c r="BF123" s="5">
        <v>99</v>
      </c>
      <c r="BG123" s="5">
        <v>98</v>
      </c>
      <c r="BH123" s="5">
        <v>98</v>
      </c>
      <c r="BI123" s="5">
        <v>45.839240214520444</v>
      </c>
      <c r="BJ123" s="58">
        <v>51.160759785479556</v>
      </c>
      <c r="BK123" s="58">
        <v>0.27401719248338907</v>
      </c>
      <c r="BL123" s="58">
        <v>96.725982807516615</v>
      </c>
      <c r="BM123" s="5">
        <v>99</v>
      </c>
    </row>
    <row r="124" spans="1:65" ht="15.75" customHeight="1">
      <c r="A124" s="105" t="s">
        <v>49</v>
      </c>
      <c r="B124" s="105" t="s">
        <v>47</v>
      </c>
      <c r="C124" s="105" t="s">
        <v>80</v>
      </c>
      <c r="D124" s="105" t="s">
        <v>77</v>
      </c>
      <c r="E124" s="105" t="s">
        <v>74</v>
      </c>
      <c r="F124" s="106" t="s">
        <v>71</v>
      </c>
      <c r="G124" s="5">
        <f>G$91/G$92*G$93/G$94*G123</f>
        <v>58243.138485066229</v>
      </c>
      <c r="H124" s="5">
        <f t="shared" ref="H124:BM124" si="77">H$91/H$92*H$93/H$94*H123</f>
        <v>374585.66732362774</v>
      </c>
      <c r="I124" s="5">
        <f t="shared" si="77"/>
        <v>408524.57662799244</v>
      </c>
      <c r="J124" s="5">
        <f t="shared" si="77"/>
        <v>419170.25537473691</v>
      </c>
      <c r="K124" s="5">
        <f t="shared" si="77"/>
        <v>378128.15592482686</v>
      </c>
      <c r="L124" s="5">
        <f t="shared" si="77"/>
        <v>344947.07254627696</v>
      </c>
      <c r="M124" s="5">
        <f t="shared" si="77"/>
        <v>328763.40447927627</v>
      </c>
      <c r="N124" s="5">
        <f t="shared" si="77"/>
        <v>323145.04383719846</v>
      </c>
      <c r="O124" s="5">
        <f t="shared" si="77"/>
        <v>310985.50372269267</v>
      </c>
      <c r="P124" s="48">
        <f t="shared" si="77"/>
        <v>330488.4400963739</v>
      </c>
      <c r="Q124" s="5">
        <f t="shared" si="77"/>
        <v>317478.0760553655</v>
      </c>
      <c r="R124" s="5">
        <f t="shared" si="77"/>
        <v>344496.4286063576</v>
      </c>
      <c r="S124" s="5">
        <f t="shared" si="77"/>
        <v>325557.10903374781</v>
      </c>
      <c r="T124" s="5">
        <f t="shared" si="77"/>
        <v>61958.654843988283</v>
      </c>
      <c r="U124" s="5">
        <f t="shared" si="77"/>
        <v>49254.679202013314</v>
      </c>
      <c r="V124" s="5">
        <f t="shared" si="77"/>
        <v>380768.98923658585</v>
      </c>
      <c r="W124" s="5">
        <f t="shared" si="77"/>
        <v>408657.4626211084</v>
      </c>
      <c r="X124" s="5">
        <f t="shared" si="77"/>
        <v>427219.44490273891</v>
      </c>
      <c r="Y124" s="5">
        <f t="shared" si="77"/>
        <v>392660.72227694932</v>
      </c>
      <c r="Z124" s="5">
        <f t="shared" si="77"/>
        <v>354825.10649384139</v>
      </c>
      <c r="AA124" s="5">
        <f t="shared" si="77"/>
        <v>338208.09722898906</v>
      </c>
      <c r="AB124" s="5">
        <f t="shared" si="77"/>
        <v>326243.21435448487</v>
      </c>
      <c r="AC124" s="5">
        <f t="shared" si="77"/>
        <v>313967.09399403387</v>
      </c>
      <c r="AD124" s="48">
        <f t="shared" si="77"/>
        <v>336834.70168588316</v>
      </c>
      <c r="AE124" s="5">
        <f t="shared" si="77"/>
        <v>326569.49750078627</v>
      </c>
      <c r="AF124" s="5">
        <f t="shared" si="77"/>
        <v>357736.42972329736</v>
      </c>
      <c r="AG124" s="5">
        <f t="shared" si="77"/>
        <v>392408.29327152035</v>
      </c>
      <c r="AH124" s="5">
        <f t="shared" si="77"/>
        <v>420844.55932792625</v>
      </c>
      <c r="AI124" s="5">
        <f t="shared" si="77"/>
        <v>400873.51095213491</v>
      </c>
      <c r="AJ124" s="5">
        <f t="shared" si="77"/>
        <v>411097.9564158431</v>
      </c>
      <c r="AK124" s="5">
        <f t="shared" si="77"/>
        <v>370642.36401842878</v>
      </c>
      <c r="AL124" s="5">
        <f t="shared" si="77"/>
        <v>344687.24630830303</v>
      </c>
      <c r="AM124" s="5">
        <f t="shared" si="77"/>
        <v>328636.16994892334</v>
      </c>
      <c r="AN124" s="5">
        <f t="shared" si="77"/>
        <v>316921.97965864249</v>
      </c>
      <c r="AO124" s="5">
        <f t="shared" si="77"/>
        <v>310976.93119409069</v>
      </c>
      <c r="AP124" s="48">
        <f t="shared" si="77"/>
        <v>327301.64409099967</v>
      </c>
      <c r="AQ124" s="5">
        <f t="shared" si="77"/>
        <v>317238.94042933523</v>
      </c>
      <c r="AR124" s="5">
        <f t="shared" si="77"/>
        <v>347515.3888740603</v>
      </c>
      <c r="AS124" s="5">
        <f t="shared" si="77"/>
        <v>400027.87178164691</v>
      </c>
      <c r="AT124" s="5">
        <f t="shared" si="77"/>
        <v>429016.29834400251</v>
      </c>
      <c r="AU124" s="5">
        <f t="shared" si="77"/>
        <v>416441.41429008194</v>
      </c>
      <c r="AV124" s="5">
        <f t="shared" si="77"/>
        <v>427219.44490273891</v>
      </c>
      <c r="AW124" s="5">
        <f t="shared" si="77"/>
        <v>388990.9959005292</v>
      </c>
      <c r="AX124" s="5">
        <f t="shared" si="77"/>
        <v>354825.10649384139</v>
      </c>
      <c r="AY124" s="5">
        <f t="shared" si="77"/>
        <v>325445.52752223477</v>
      </c>
      <c r="AZ124" s="5">
        <f t="shared" si="77"/>
        <v>316921.97965864249</v>
      </c>
      <c r="BA124" s="5">
        <f t="shared" si="77"/>
        <v>296026.11719437479</v>
      </c>
      <c r="BB124" s="48">
        <f t="shared" si="77"/>
        <v>314590.900631155</v>
      </c>
      <c r="BC124" s="5">
        <f t="shared" si="77"/>
        <v>304798.19766740053</v>
      </c>
      <c r="BD124" s="5">
        <f t="shared" si="77"/>
        <v>333887.33440841088</v>
      </c>
      <c r="BE124" s="5">
        <f t="shared" si="77"/>
        <v>373359.34699620382</v>
      </c>
      <c r="BF124" s="5">
        <f t="shared" si="77"/>
        <v>404501.08129577379</v>
      </c>
      <c r="BG124" s="5">
        <f t="shared" si="77"/>
        <v>381413.63177970122</v>
      </c>
      <c r="BH124" s="5">
        <f t="shared" si="77"/>
        <v>394976.4679289473</v>
      </c>
      <c r="BI124" s="5">
        <f t="shared" si="77"/>
        <v>168217.46889028203</v>
      </c>
      <c r="BJ124" s="58">
        <f t="shared" si="77"/>
        <v>209525.65397653671</v>
      </c>
      <c r="BK124" s="58">
        <f t="shared" si="77"/>
        <v>925.98266194344717</v>
      </c>
      <c r="BL124" s="58">
        <f t="shared" si="77"/>
        <v>347511.78385762637</v>
      </c>
      <c r="BM124" s="5">
        <f t="shared" si="77"/>
        <v>360591.00975408417</v>
      </c>
    </row>
    <row r="125" spans="1:65" ht="15.75" customHeight="1">
      <c r="A125" s="105" t="s">
        <v>49</v>
      </c>
      <c r="B125" s="105" t="s">
        <v>47</v>
      </c>
      <c r="C125" s="105" t="s">
        <v>80</v>
      </c>
      <c r="D125" s="105" t="s">
        <v>77</v>
      </c>
      <c r="E125" s="105" t="s">
        <v>70</v>
      </c>
      <c r="F125" s="106" t="s">
        <v>79</v>
      </c>
      <c r="G125" s="124">
        <f>13597004.6*I125/SUM(I101,I113,I125)</f>
        <v>1601403.6445436699</v>
      </c>
      <c r="H125" s="124">
        <f>77026972.7666667*I125/SUM(I101,I113,I125)</f>
        <v>9071944.780889906</v>
      </c>
      <c r="I125" s="5">
        <v>9636180</v>
      </c>
      <c r="J125" s="5">
        <v>8593220</v>
      </c>
      <c r="K125" s="5">
        <v>8669260</v>
      </c>
      <c r="L125" s="5">
        <v>8349640</v>
      </c>
      <c r="M125" s="5">
        <v>8220540</v>
      </c>
      <c r="N125" s="5">
        <v>7668540</v>
      </c>
      <c r="O125" s="5">
        <v>8156580</v>
      </c>
      <c r="P125" s="48">
        <v>7815220</v>
      </c>
      <c r="Q125" s="5">
        <v>7500300</v>
      </c>
      <c r="R125" s="5">
        <v>7033267</v>
      </c>
      <c r="S125" s="124">
        <v>7843770.5660702055</v>
      </c>
      <c r="T125" s="124">
        <v>1697309.4661477294</v>
      </c>
      <c r="U125" s="124">
        <v>1050823.3200006175</v>
      </c>
      <c r="V125" s="124">
        <v>8246973.6079456992</v>
      </c>
      <c r="W125" s="5">
        <v>7777740</v>
      </c>
      <c r="X125" s="5">
        <v>8992020</v>
      </c>
      <c r="Y125" s="5">
        <v>6877660</v>
      </c>
      <c r="Z125" s="5">
        <v>8078660</v>
      </c>
      <c r="AA125" s="5">
        <v>7586540</v>
      </c>
      <c r="AB125" s="5">
        <v>6177060</v>
      </c>
      <c r="AC125" s="5">
        <v>8116600</v>
      </c>
      <c r="AD125" s="48">
        <v>7283180</v>
      </c>
      <c r="AE125" s="5">
        <v>7753300</v>
      </c>
      <c r="AF125" s="5">
        <v>7777365</v>
      </c>
      <c r="AG125" s="5">
        <v>10113919</v>
      </c>
      <c r="AH125" s="5">
        <v>10783820</v>
      </c>
      <c r="AI125" s="5">
        <v>9718580</v>
      </c>
      <c r="AJ125" s="5">
        <v>8526180</v>
      </c>
      <c r="AK125" s="5">
        <v>6908100</v>
      </c>
      <c r="AL125" s="5">
        <v>9124995</v>
      </c>
      <c r="AM125" s="5">
        <v>7056000</v>
      </c>
      <c r="AN125" s="5">
        <v>8258411</v>
      </c>
      <c r="AO125" s="5">
        <v>7887540</v>
      </c>
      <c r="AP125" s="48">
        <v>7479100</v>
      </c>
      <c r="AQ125" s="5">
        <v>8708380</v>
      </c>
      <c r="AR125" s="5">
        <v>7967600</v>
      </c>
      <c r="AS125" s="5">
        <v>9541240</v>
      </c>
      <c r="AT125" s="5">
        <v>9902100</v>
      </c>
      <c r="AU125" s="5">
        <v>8783380</v>
      </c>
      <c r="AV125" s="5">
        <v>8629440</v>
      </c>
      <c r="AW125" s="5">
        <v>7655040</v>
      </c>
      <c r="AX125" s="5">
        <v>7557094</v>
      </c>
      <c r="AY125" s="5">
        <v>7587960</v>
      </c>
      <c r="AZ125" s="5">
        <v>7162500</v>
      </c>
      <c r="BA125" s="5">
        <v>6832420</v>
      </c>
      <c r="BB125" s="48">
        <v>6320500</v>
      </c>
      <c r="BC125" s="5">
        <v>7310780</v>
      </c>
      <c r="BD125" s="5">
        <v>7346400</v>
      </c>
      <c r="BE125" s="5">
        <v>7970780</v>
      </c>
      <c r="BF125" s="5">
        <v>8389260</v>
      </c>
      <c r="BG125" s="5">
        <v>8172800</v>
      </c>
      <c r="BH125" s="5">
        <v>7157340</v>
      </c>
      <c r="BI125" s="5">
        <v>3417244</v>
      </c>
      <c r="BJ125" s="58">
        <v>3813955</v>
      </c>
      <c r="BK125" s="58">
        <v>19440</v>
      </c>
      <c r="BL125" s="58">
        <v>6862172</v>
      </c>
      <c r="BM125" s="5">
        <v>6424820</v>
      </c>
    </row>
    <row r="126" spans="1:65" ht="15.75" customHeight="1">
      <c r="A126" s="105" t="s">
        <v>49</v>
      </c>
      <c r="B126" s="105" t="s">
        <v>47</v>
      </c>
      <c r="C126" s="105" t="s">
        <v>80</v>
      </c>
      <c r="D126" s="105" t="s">
        <v>77</v>
      </c>
      <c r="E126" s="105" t="s">
        <v>70</v>
      </c>
      <c r="F126" s="106" t="s">
        <v>71</v>
      </c>
      <c r="G126" s="5"/>
      <c r="H126" s="5"/>
      <c r="I126" s="5"/>
      <c r="J126" s="5"/>
      <c r="K126" s="5"/>
      <c r="L126" s="5"/>
      <c r="M126" s="5"/>
      <c r="N126" s="5"/>
      <c r="O126" s="5"/>
      <c r="P126" s="48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48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48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48"/>
      <c r="BC126" s="5"/>
      <c r="BD126" s="5"/>
      <c r="BE126" s="5"/>
      <c r="BF126" s="5"/>
      <c r="BG126" s="5"/>
      <c r="BH126" s="5"/>
      <c r="BI126" s="58"/>
      <c r="BJ126" s="58">
        <v>306105.15816027875</v>
      </c>
      <c r="BK126" s="58"/>
      <c r="BL126" s="58">
        <v>571350.18931467808</v>
      </c>
      <c r="BM126" s="58">
        <v>553947.5</v>
      </c>
    </row>
    <row r="127" spans="1:65" ht="15.75" customHeight="1">
      <c r="A127" s="105" t="s">
        <v>49</v>
      </c>
      <c r="B127" s="105" t="s">
        <v>47</v>
      </c>
      <c r="C127" s="105" t="s">
        <v>80</v>
      </c>
      <c r="D127" s="105" t="s">
        <v>77</v>
      </c>
      <c r="E127" s="116" t="s">
        <v>81</v>
      </c>
      <c r="F127" s="106" t="s">
        <v>71</v>
      </c>
      <c r="G127" s="5"/>
      <c r="H127" s="5"/>
      <c r="I127" s="5"/>
      <c r="J127" s="5"/>
      <c r="K127" s="5"/>
      <c r="L127" s="5"/>
      <c r="M127" s="5"/>
      <c r="N127" s="5"/>
      <c r="O127" s="5"/>
      <c r="P127" s="48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48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48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48"/>
      <c r="BC127" s="5"/>
      <c r="BD127" s="5"/>
      <c r="BE127" s="5"/>
      <c r="BF127" s="5"/>
      <c r="BG127" s="5"/>
      <c r="BH127" s="5"/>
      <c r="BI127" s="5"/>
      <c r="BJ127" s="122">
        <f>BJ125*BJ95</f>
        <v>-18535.8213</v>
      </c>
      <c r="BK127" s="111"/>
      <c r="BL127" s="122">
        <f t="shared" ref="BL127:BM127" si="78">BL125*BL95</f>
        <v>-18047.512360000001</v>
      </c>
      <c r="BM127" s="111">
        <f t="shared" si="78"/>
        <v>-385.48919999999998</v>
      </c>
    </row>
    <row r="128" spans="1:65" ht="15.75" customHeight="1">
      <c r="A128" s="105" t="s">
        <v>49</v>
      </c>
      <c r="B128" s="105" t="s">
        <v>47</v>
      </c>
      <c r="C128" s="105" t="s">
        <v>80</v>
      </c>
      <c r="D128" s="105" t="s">
        <v>77</v>
      </c>
      <c r="E128" s="116" t="s">
        <v>83</v>
      </c>
      <c r="F128" s="106" t="s">
        <v>71</v>
      </c>
      <c r="G128" s="5"/>
      <c r="H128" s="5"/>
      <c r="I128" s="5"/>
      <c r="J128" s="5"/>
      <c r="K128" s="5"/>
      <c r="L128" s="5"/>
      <c r="M128" s="5"/>
      <c r="N128" s="5"/>
      <c r="O128" s="5"/>
      <c r="P128" s="48"/>
      <c r="Q128" s="5"/>
      <c r="R128" s="5"/>
      <c r="S128" s="5"/>
      <c r="T128" s="134"/>
      <c r="U128" s="5"/>
      <c r="V128" s="5"/>
      <c r="W128" s="5"/>
      <c r="X128" s="5"/>
      <c r="Y128" s="5"/>
      <c r="Z128" s="5"/>
      <c r="AA128" s="5"/>
      <c r="AB128" s="5"/>
      <c r="AC128" s="5"/>
      <c r="AD128" s="48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48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48"/>
      <c r="BC128" s="5"/>
      <c r="BD128" s="5"/>
      <c r="BE128" s="5"/>
      <c r="BF128" s="5"/>
      <c r="BG128" s="5"/>
      <c r="BH128" s="5"/>
      <c r="BI128" s="5"/>
      <c r="BJ128" s="122">
        <f>BJ125*BJ96</f>
        <v>9344.1897499999995</v>
      </c>
      <c r="BK128" s="111"/>
      <c r="BL128" s="122">
        <f t="shared" ref="BL128:BM128" si="79">BL125*BL96</f>
        <v>16812.321400000001</v>
      </c>
      <c r="BM128" s="111">
        <f t="shared" si="79"/>
        <v>15740.808999999999</v>
      </c>
    </row>
    <row r="129" spans="1:65" ht="15.75" customHeight="1">
      <c r="A129" s="105" t="s">
        <v>49</v>
      </c>
      <c r="B129" s="105" t="s">
        <v>47</v>
      </c>
      <c r="C129" s="105" t="s">
        <v>80</v>
      </c>
      <c r="D129" s="105" t="s">
        <v>77</v>
      </c>
      <c r="E129" s="116" t="s">
        <v>84</v>
      </c>
      <c r="F129" s="106" t="s">
        <v>71</v>
      </c>
      <c r="G129" s="5"/>
      <c r="H129" s="5"/>
      <c r="I129" s="5"/>
      <c r="J129" s="5"/>
      <c r="K129" s="5"/>
      <c r="L129" s="5"/>
      <c r="M129" s="5"/>
      <c r="N129" s="5"/>
      <c r="O129" s="5"/>
      <c r="P129" s="48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48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48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48"/>
      <c r="BC129" s="5"/>
      <c r="BD129" s="5"/>
      <c r="BE129" s="5"/>
      <c r="BF129" s="5"/>
      <c r="BG129" s="5"/>
      <c r="BH129" s="5"/>
      <c r="BI129" s="5"/>
      <c r="BJ129" s="122">
        <f>BJ125*BJ97</f>
        <v>-9725.5852500000001</v>
      </c>
      <c r="BK129" s="111"/>
      <c r="BL129" s="122">
        <f t="shared" ref="BL129:BM129" si="80">BL125*BL97</f>
        <v>-17498.5386</v>
      </c>
      <c r="BM129" s="111">
        <f t="shared" si="80"/>
        <v>-16383.291000000001</v>
      </c>
    </row>
    <row r="130" spans="1:65" ht="15.75" customHeight="1">
      <c r="A130" s="105" t="s">
        <v>49</v>
      </c>
      <c r="B130" s="105" t="s">
        <v>47</v>
      </c>
      <c r="C130" s="105" t="s">
        <v>80</v>
      </c>
      <c r="D130" s="105" t="s">
        <v>77</v>
      </c>
      <c r="E130" s="105" t="s">
        <v>72</v>
      </c>
      <c r="F130" s="106" t="s">
        <v>71</v>
      </c>
      <c r="G130" s="5"/>
      <c r="H130" s="5"/>
      <c r="I130" s="5"/>
      <c r="J130" s="5"/>
      <c r="K130" s="5"/>
      <c r="L130" s="5"/>
      <c r="M130" s="5"/>
      <c r="N130" s="5"/>
      <c r="O130" s="5"/>
      <c r="P130" s="48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48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48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48"/>
      <c r="BC130" s="5"/>
      <c r="BD130" s="5"/>
      <c r="BE130" s="5"/>
      <c r="BF130" s="5"/>
      <c r="BG130" s="5"/>
      <c r="BH130" s="5"/>
      <c r="BI130" s="5"/>
      <c r="BJ130" s="58">
        <f>BJ$89/BJ$92/12*BJ123</f>
        <v>6425.5622231050756</v>
      </c>
      <c r="BK130" s="58"/>
      <c r="BL130" s="58">
        <f>BL$89/BL$92/12*BL123</f>
        <v>12148.350097355067</v>
      </c>
      <c r="BM130" s="58">
        <f>BM$89/BM$92/12*BM123</f>
        <v>12433.956468878499</v>
      </c>
    </row>
    <row r="131" spans="1:65" ht="15.75" customHeight="1">
      <c r="A131" s="105" t="s">
        <v>49</v>
      </c>
      <c r="B131" s="105" t="s">
        <v>47</v>
      </c>
      <c r="C131" s="105" t="s">
        <v>80</v>
      </c>
      <c r="D131" s="105" t="s">
        <v>77</v>
      </c>
      <c r="E131" s="105" t="s">
        <v>73</v>
      </c>
      <c r="F131" s="106" t="s">
        <v>71</v>
      </c>
      <c r="G131" s="5"/>
      <c r="H131" s="5"/>
      <c r="I131" s="5"/>
      <c r="J131" s="5"/>
      <c r="K131" s="5"/>
      <c r="L131" s="5"/>
      <c r="M131" s="5"/>
      <c r="N131" s="5"/>
      <c r="O131" s="5"/>
      <c r="P131" s="48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48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48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48"/>
      <c r="BC131" s="5"/>
      <c r="BD131" s="5"/>
      <c r="BE131" s="5"/>
      <c r="BF131" s="5"/>
      <c r="BG131" s="5"/>
      <c r="BH131" s="5"/>
      <c r="BI131" s="125"/>
      <c r="BJ131" s="58">
        <f>BJ$90/BJ$94*BJ125</f>
        <v>92913.70937461844</v>
      </c>
      <c r="BK131" s="58"/>
      <c r="BL131" s="58">
        <f>BL$90/BL$94*BL125</f>
        <v>167172.88349931873</v>
      </c>
      <c r="BM131" s="58">
        <f>BM$90/BM$94*BM125</f>
        <v>156518.32763213935</v>
      </c>
    </row>
    <row r="132" spans="1:65" ht="15.75" customHeight="1">
      <c r="A132" s="105" t="s">
        <v>49</v>
      </c>
      <c r="B132" s="105" t="s">
        <v>47</v>
      </c>
      <c r="C132" s="105" t="s">
        <v>80</v>
      </c>
      <c r="D132" s="105" t="s">
        <v>77</v>
      </c>
      <c r="E132" s="105" t="s">
        <v>88</v>
      </c>
      <c r="F132" s="106" t="s">
        <v>71</v>
      </c>
      <c r="G132" s="122">
        <f>G$91/G$94*G125</f>
        <v>75465.997788790846</v>
      </c>
      <c r="H132" s="122">
        <f t="shared" ref="H132:BF132" si="81">H$91/H$94*H125</f>
        <v>427514.55393980828</v>
      </c>
      <c r="I132" s="122">
        <f t="shared" si="81"/>
        <v>454104.08615599968</v>
      </c>
      <c r="J132" s="122">
        <f t="shared" si="81"/>
        <v>404954.69317068171</v>
      </c>
      <c r="K132" s="122">
        <f t="shared" si="81"/>
        <v>408538.07109754713</v>
      </c>
      <c r="L132" s="122">
        <f t="shared" si="81"/>
        <v>393476.008328153</v>
      </c>
      <c r="M132" s="122">
        <f t="shared" si="81"/>
        <v>387392.1828368546</v>
      </c>
      <c r="N132" s="122">
        <f t="shared" si="81"/>
        <v>361379.23418312339</v>
      </c>
      <c r="O132" s="122">
        <f t="shared" si="81"/>
        <v>384378.07378632441</v>
      </c>
      <c r="P132" s="126">
        <f t="shared" si="81"/>
        <v>368291.5155391547</v>
      </c>
      <c r="Q132" s="122">
        <f t="shared" si="81"/>
        <v>353450.93983257312</v>
      </c>
      <c r="R132" s="122">
        <f t="shared" si="81"/>
        <v>331442.05315033026</v>
      </c>
      <c r="S132" s="122">
        <f t="shared" si="81"/>
        <v>369636.95830947935</v>
      </c>
      <c r="T132" s="122">
        <f t="shared" si="81"/>
        <v>83059.62838717665</v>
      </c>
      <c r="U132" s="122">
        <f t="shared" si="81"/>
        <v>49519.95120891204</v>
      </c>
      <c r="V132" s="122">
        <f t="shared" si="81"/>
        <v>403574.34920191712</v>
      </c>
      <c r="W132" s="122">
        <f t="shared" si="81"/>
        <v>380611.90783216414</v>
      </c>
      <c r="X132" s="122">
        <f t="shared" si="81"/>
        <v>440033.97998197121</v>
      </c>
      <c r="Y132" s="122">
        <f t="shared" si="81"/>
        <v>336565.54397819447</v>
      </c>
      <c r="Z132" s="122">
        <f t="shared" si="81"/>
        <v>395337.74532542762</v>
      </c>
      <c r="AA132" s="122">
        <f t="shared" si="81"/>
        <v>371255.33422884112</v>
      </c>
      <c r="AB132" s="122">
        <f t="shared" si="81"/>
        <v>302280.94425806828</v>
      </c>
      <c r="AC132" s="122">
        <f t="shared" si="81"/>
        <v>397194.37922976899</v>
      </c>
      <c r="AD132" s="126">
        <f t="shared" si="81"/>
        <v>356410.09276281559</v>
      </c>
      <c r="AE132" s="122">
        <f t="shared" si="81"/>
        <v>379415.91066236701</v>
      </c>
      <c r="AF132" s="122">
        <f t="shared" si="81"/>
        <v>380593.55681176018</v>
      </c>
      <c r="AG132" s="122">
        <f t="shared" si="81"/>
        <v>494935.29048926476</v>
      </c>
      <c r="AH132" s="122">
        <f t="shared" si="81"/>
        <v>527717.60227503732</v>
      </c>
      <c r="AI132" s="122">
        <f t="shared" si="81"/>
        <v>475588.95967459882</v>
      </c>
      <c r="AJ132" s="122">
        <f t="shared" si="81"/>
        <v>417237.60839529755</v>
      </c>
      <c r="AK132" s="122">
        <f t="shared" si="81"/>
        <v>338055.15747445571</v>
      </c>
      <c r="AL132" s="122">
        <f t="shared" si="81"/>
        <v>446541.25181723211</v>
      </c>
      <c r="AM132" s="122">
        <f t="shared" si="81"/>
        <v>345292.79992179608</v>
      </c>
      <c r="AN132" s="122">
        <f t="shared" si="81"/>
        <v>404134.05004180275</v>
      </c>
      <c r="AO132" s="122">
        <f t="shared" si="81"/>
        <v>385985.08660645742</v>
      </c>
      <c r="AP132" s="126">
        <f t="shared" si="81"/>
        <v>365997.64454295707</v>
      </c>
      <c r="AQ132" s="122">
        <f t="shared" si="81"/>
        <v>426153.75750892441</v>
      </c>
      <c r="AR132" s="122">
        <f t="shared" si="81"/>
        <v>389902.9071225769</v>
      </c>
      <c r="AS132" s="122">
        <f t="shared" si="81"/>
        <v>466910.63978540787</v>
      </c>
      <c r="AT132" s="122">
        <f t="shared" si="81"/>
        <v>484569.7043800478</v>
      </c>
      <c r="AU132" s="122">
        <f t="shared" si="81"/>
        <v>429823.9615897258</v>
      </c>
      <c r="AV132" s="122">
        <f t="shared" si="81"/>
        <v>422290.74537374493</v>
      </c>
      <c r="AW132" s="122">
        <f t="shared" si="81"/>
        <v>374607.45395597309</v>
      </c>
      <c r="AX132" s="122">
        <f t="shared" si="81"/>
        <v>369814.36317066406</v>
      </c>
      <c r="AY132" s="122">
        <f t="shared" si="81"/>
        <v>371324.82342610433</v>
      </c>
      <c r="AZ132" s="122">
        <f t="shared" si="81"/>
        <v>350504.4897165341</v>
      </c>
      <c r="BA132" s="122">
        <f t="shared" si="81"/>
        <v>334351.67687665508</v>
      </c>
      <c r="BB132" s="126">
        <f t="shared" si="81"/>
        <v>309300.33190273697</v>
      </c>
      <c r="BC132" s="122">
        <f t="shared" si="81"/>
        <v>357760.72786455054</v>
      </c>
      <c r="BD132" s="122">
        <f t="shared" si="81"/>
        <v>359503.83012265916</v>
      </c>
      <c r="BE132" s="122">
        <f t="shared" si="81"/>
        <v>390058.52377560287</v>
      </c>
      <c r="BF132" s="122">
        <f t="shared" si="81"/>
        <v>410537.28382538649</v>
      </c>
      <c r="BG132" s="122">
        <f>BG$91/BG$94*BG125</f>
        <v>399944.58548764954</v>
      </c>
      <c r="BH132" s="122">
        <f>BH$91/BH$94*BH125</f>
        <v>350251.97967577493</v>
      </c>
      <c r="BI132" s="122">
        <f>BI$91/BI$94*BI125</f>
        <v>167226.43831858819</v>
      </c>
      <c r="BJ132" s="122">
        <f>BJ126-BJ127-BJ128-BJ129-BJ130-BJ131</f>
        <v>225683.10336255527</v>
      </c>
      <c r="BK132" s="122">
        <f>BK$91/BK$94*BK125</f>
        <v>951.31689774372398</v>
      </c>
      <c r="BL132" s="122">
        <f>BL126-BL127-BL128-BL129-BL130-BL131</f>
        <v>410762.68527800427</v>
      </c>
      <c r="BM132" s="122">
        <f t="shared" ref="BM132" si="82">BM126-BM127-BM128-BM129-BM130-BM131</f>
        <v>386023.18709898205</v>
      </c>
    </row>
    <row r="133" spans="1:65" ht="15.75" customHeight="1" thickBot="1">
      <c r="A133" s="127" t="s">
        <v>49</v>
      </c>
      <c r="B133" s="127" t="s">
        <v>47</v>
      </c>
      <c r="C133" s="127" t="s">
        <v>80</v>
      </c>
      <c r="D133" s="127" t="s">
        <v>77</v>
      </c>
      <c r="E133" s="127" t="s">
        <v>10</v>
      </c>
      <c r="F133" s="128" t="s">
        <v>71</v>
      </c>
      <c r="G133" s="129">
        <f>G132-G124</f>
        <v>17222.859303724617</v>
      </c>
      <c r="H133" s="129">
        <f t="shared" ref="H133:BG133" si="83">H132-H124</f>
        <v>52928.886616180534</v>
      </c>
      <c r="I133" s="129">
        <f t="shared" si="83"/>
        <v>45579.509528007242</v>
      </c>
      <c r="J133" s="129">
        <f t="shared" si="83"/>
        <v>-14215.562204055197</v>
      </c>
      <c r="K133" s="129">
        <f t="shared" si="83"/>
        <v>30409.91517272027</v>
      </c>
      <c r="L133" s="129">
        <f t="shared" si="83"/>
        <v>48528.935781876033</v>
      </c>
      <c r="M133" s="129">
        <f t="shared" si="83"/>
        <v>58628.778357578325</v>
      </c>
      <c r="N133" s="129">
        <f t="shared" si="83"/>
        <v>38234.19034592493</v>
      </c>
      <c r="O133" s="129">
        <f t="shared" si="83"/>
        <v>73392.570063631749</v>
      </c>
      <c r="P133" s="130">
        <f t="shared" si="83"/>
        <v>37803.075442780799</v>
      </c>
      <c r="Q133" s="129">
        <f t="shared" si="83"/>
        <v>35972.863777207618</v>
      </c>
      <c r="R133" s="129">
        <f t="shared" si="83"/>
        <v>-13054.375456027337</v>
      </c>
      <c r="S133" s="129">
        <f t="shared" si="83"/>
        <v>44079.84927573154</v>
      </c>
      <c r="T133" s="129">
        <f t="shared" si="83"/>
        <v>21100.973543188367</v>
      </c>
      <c r="U133" s="129">
        <f t="shared" si="83"/>
        <v>265.27200689872552</v>
      </c>
      <c r="V133" s="129">
        <f t="shared" si="83"/>
        <v>22805.35996533127</v>
      </c>
      <c r="W133" s="129">
        <f t="shared" si="83"/>
        <v>-28045.554788944253</v>
      </c>
      <c r="X133" s="129">
        <f t="shared" si="83"/>
        <v>12814.535079232301</v>
      </c>
      <c r="Y133" s="129">
        <f t="shared" si="83"/>
        <v>-56095.17829875485</v>
      </c>
      <c r="Z133" s="129">
        <f t="shared" si="83"/>
        <v>40512.638831586228</v>
      </c>
      <c r="AA133" s="129">
        <f t="shared" si="83"/>
        <v>33047.236999852059</v>
      </c>
      <c r="AB133" s="129">
        <f t="shared" si="83"/>
        <v>-23962.270096416585</v>
      </c>
      <c r="AC133" s="129">
        <f t="shared" si="83"/>
        <v>83227.285235735122</v>
      </c>
      <c r="AD133" s="130">
        <f t="shared" si="83"/>
        <v>19575.391076932428</v>
      </c>
      <c r="AE133" s="129">
        <f t="shared" si="83"/>
        <v>52846.413161580742</v>
      </c>
      <c r="AF133" s="129">
        <f t="shared" si="83"/>
        <v>22857.127088462817</v>
      </c>
      <c r="AG133" s="129">
        <f t="shared" si="83"/>
        <v>102526.99721774441</v>
      </c>
      <c r="AH133" s="129">
        <f t="shared" si="83"/>
        <v>106873.04294711107</v>
      </c>
      <c r="AI133" s="129">
        <f t="shared" si="83"/>
        <v>74715.448722463916</v>
      </c>
      <c r="AJ133" s="129">
        <f t="shared" si="83"/>
        <v>6139.6519794544438</v>
      </c>
      <c r="AK133" s="129">
        <f t="shared" si="83"/>
        <v>-32587.206543973065</v>
      </c>
      <c r="AL133" s="129">
        <f t="shared" si="83"/>
        <v>101854.00550892908</v>
      </c>
      <c r="AM133" s="129">
        <f t="shared" si="83"/>
        <v>16656.629972872732</v>
      </c>
      <c r="AN133" s="129">
        <f t="shared" si="83"/>
        <v>87212.070383160259</v>
      </c>
      <c r="AO133" s="129">
        <f t="shared" si="83"/>
        <v>75008.15541236673</v>
      </c>
      <c r="AP133" s="130">
        <f t="shared" si="83"/>
        <v>38696.000451957399</v>
      </c>
      <c r="AQ133" s="129">
        <f t="shared" si="83"/>
        <v>108914.81707958918</v>
      </c>
      <c r="AR133" s="129">
        <f t="shared" si="83"/>
        <v>42387.518248516601</v>
      </c>
      <c r="AS133" s="129">
        <f t="shared" si="83"/>
        <v>66882.768003760953</v>
      </c>
      <c r="AT133" s="129">
        <f t="shared" si="83"/>
        <v>55553.406036045286</v>
      </c>
      <c r="AU133" s="129">
        <f t="shared" si="83"/>
        <v>13382.547299643862</v>
      </c>
      <c r="AV133" s="129">
        <f t="shared" si="83"/>
        <v>-4928.6995289939805</v>
      </c>
      <c r="AW133" s="129">
        <f t="shared" si="83"/>
        <v>-14383.541944556113</v>
      </c>
      <c r="AX133" s="129">
        <f t="shared" si="83"/>
        <v>14989.256676822668</v>
      </c>
      <c r="AY133" s="129">
        <f t="shared" si="83"/>
        <v>45879.295903869555</v>
      </c>
      <c r="AZ133" s="129">
        <f t="shared" si="83"/>
        <v>33582.510057891603</v>
      </c>
      <c r="BA133" s="129">
        <f t="shared" si="83"/>
        <v>38325.559682280291</v>
      </c>
      <c r="BB133" s="130">
        <f t="shared" si="83"/>
        <v>-5290.5687284180312</v>
      </c>
      <c r="BC133" s="129">
        <f t="shared" si="83"/>
        <v>52962.530197150016</v>
      </c>
      <c r="BD133" s="129">
        <f t="shared" si="83"/>
        <v>25616.495714248274</v>
      </c>
      <c r="BE133" s="129">
        <f t="shared" si="83"/>
        <v>16699.176779399044</v>
      </c>
      <c r="BF133" s="129">
        <f t="shared" si="83"/>
        <v>6036.2025296126958</v>
      </c>
      <c r="BG133" s="129">
        <f t="shared" si="83"/>
        <v>18530.953707948327</v>
      </c>
      <c r="BH133" s="129">
        <f>BH132-BH124</f>
        <v>-44724.488253172371</v>
      </c>
      <c r="BI133" s="129">
        <f>BI132-BI124</f>
        <v>-991.03057169384556</v>
      </c>
      <c r="BJ133" s="129">
        <f>BJ132-BJ124</f>
        <v>16157.449386018561</v>
      </c>
      <c r="BK133" s="129">
        <f>BK132-BK124</f>
        <v>25.334235800276815</v>
      </c>
      <c r="BL133" s="129">
        <f>BL132-BL124</f>
        <v>63250.901420377893</v>
      </c>
      <c r="BM133" s="129">
        <f t="shared" ref="BM133" si="84">BM132-BM124</f>
        <v>25432.177344897878</v>
      </c>
    </row>
    <row r="134" spans="1:65" ht="15.75" customHeight="1" thickTop="1">
      <c r="A134" s="105"/>
      <c r="B134" s="105"/>
      <c r="C134" s="60"/>
      <c r="D134" s="60"/>
      <c r="E134" s="60"/>
      <c r="F134" s="106"/>
      <c r="G134" s="4"/>
      <c r="H134" s="4"/>
      <c r="I134" s="4"/>
      <c r="J134" s="4"/>
      <c r="K134" s="4"/>
      <c r="L134" s="4"/>
      <c r="M134" s="4"/>
      <c r="N134" s="4"/>
      <c r="O134" s="4"/>
      <c r="P134" s="131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131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131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131"/>
      <c r="BC134" s="4"/>
      <c r="BD134" s="4"/>
      <c r="BE134" s="4"/>
      <c r="BF134" s="4"/>
      <c r="BG134" s="4"/>
      <c r="BH134" s="4"/>
      <c r="BI134" s="4"/>
      <c r="BJ134" s="4"/>
      <c r="BK134" s="122"/>
      <c r="BL134" s="122"/>
      <c r="BM134" s="4"/>
    </row>
    <row r="135" spans="1:65" ht="15.75" customHeight="1">
      <c r="A135" s="105" t="s">
        <v>49</v>
      </c>
      <c r="B135" s="105" t="s">
        <v>46</v>
      </c>
      <c r="C135" s="105" t="s">
        <v>80</v>
      </c>
      <c r="D135" s="105" t="s">
        <v>77</v>
      </c>
      <c r="E135" s="105" t="s">
        <v>10</v>
      </c>
      <c r="F135" s="106" t="s">
        <v>71</v>
      </c>
      <c r="G135" s="135">
        <f>G109+G121</f>
        <v>41103.332846242411</v>
      </c>
      <c r="H135" s="135">
        <f t="shared" ref="H135:BM135" si="85">H109+H121</f>
        <v>-168896.63316467823</v>
      </c>
      <c r="I135" s="135">
        <f t="shared" si="85"/>
        <v>-275173.16125228256</v>
      </c>
      <c r="J135" s="135">
        <f t="shared" si="85"/>
        <v>-246874.73307603318</v>
      </c>
      <c r="K135" s="135">
        <f t="shared" si="85"/>
        <v>73520.940741320606</v>
      </c>
      <c r="L135" s="135">
        <f t="shared" si="85"/>
        <v>174641.21128268624</v>
      </c>
      <c r="M135" s="135">
        <f t="shared" si="85"/>
        <v>42205.401310578294</v>
      </c>
      <c r="N135" s="135">
        <f t="shared" si="85"/>
        <v>-405863.71429368469</v>
      </c>
      <c r="O135" s="135">
        <f t="shared" si="85"/>
        <v>144399.58705620875</v>
      </c>
      <c r="P135" s="136">
        <f t="shared" si="85"/>
        <v>-40849.733861820212</v>
      </c>
      <c r="Q135" s="135">
        <f t="shared" si="85"/>
        <v>243900.96452073075</v>
      </c>
      <c r="R135" s="135">
        <f t="shared" si="85"/>
        <v>276883.36317039665</v>
      </c>
      <c r="S135" s="135">
        <f t="shared" si="85"/>
        <v>-123615.95271033756</v>
      </c>
      <c r="T135" s="135">
        <f t="shared" si="85"/>
        <v>77784.748033632102</v>
      </c>
      <c r="U135" s="135">
        <f t="shared" si="85"/>
        <v>-63634.722813242086</v>
      </c>
      <c r="V135" s="135">
        <f t="shared" si="85"/>
        <v>-325803.79545508901</v>
      </c>
      <c r="W135" s="135">
        <f t="shared" si="85"/>
        <v>-93189.986239694001</v>
      </c>
      <c r="X135" s="135">
        <f t="shared" si="85"/>
        <v>-136109.33884061643</v>
      </c>
      <c r="Y135" s="135">
        <f t="shared" si="85"/>
        <v>54347.447583586501</v>
      </c>
      <c r="Z135" s="135">
        <f t="shared" si="85"/>
        <v>-67590.468309706004</v>
      </c>
      <c r="AA135" s="135">
        <f t="shared" si="85"/>
        <v>-98132.17952447242</v>
      </c>
      <c r="AB135" s="135">
        <f t="shared" si="85"/>
        <v>-174033.52095877615</v>
      </c>
      <c r="AC135" s="135">
        <f t="shared" si="85"/>
        <v>313579.2057995518</v>
      </c>
      <c r="AD135" s="136">
        <f t="shared" si="85"/>
        <v>189684.80897167476</v>
      </c>
      <c r="AE135" s="135">
        <f t="shared" si="85"/>
        <v>394495.65692904685</v>
      </c>
      <c r="AF135" s="135">
        <f t="shared" si="85"/>
        <v>334629.5145880623</v>
      </c>
      <c r="AG135" s="135">
        <f t="shared" si="85"/>
        <v>154653.39286095233</v>
      </c>
      <c r="AH135" s="135">
        <f t="shared" si="85"/>
        <v>-173698.4506464609</v>
      </c>
      <c r="AI135" s="135">
        <f t="shared" si="85"/>
        <v>-120460.62901864054</v>
      </c>
      <c r="AJ135" s="135">
        <f t="shared" si="85"/>
        <v>-6178.0132079265904</v>
      </c>
      <c r="AK135" s="135">
        <f t="shared" si="85"/>
        <v>-131702.16478233581</v>
      </c>
      <c r="AL135" s="135">
        <f t="shared" si="85"/>
        <v>56958.084431915573</v>
      </c>
      <c r="AM135" s="135">
        <f t="shared" si="85"/>
        <v>17744.25831294504</v>
      </c>
      <c r="AN135" s="135">
        <f t="shared" si="85"/>
        <v>37764.79194702419</v>
      </c>
      <c r="AO135" s="135">
        <f t="shared" si="85"/>
        <v>39998.301144104415</v>
      </c>
      <c r="AP135" s="136">
        <f t="shared" si="85"/>
        <v>-21172.81696258824</v>
      </c>
      <c r="AQ135" s="135">
        <f t="shared" si="85"/>
        <v>428174.64629923925</v>
      </c>
      <c r="AR135" s="135">
        <f t="shared" si="85"/>
        <v>42118.935883683836</v>
      </c>
      <c r="AS135" s="135">
        <f t="shared" si="85"/>
        <v>230061.72904709238</v>
      </c>
      <c r="AT135" s="135">
        <f t="shared" si="85"/>
        <v>-332809.20237985183</v>
      </c>
      <c r="AU135" s="135">
        <f t="shared" si="85"/>
        <v>-104637.96840315894</v>
      </c>
      <c r="AV135" s="135">
        <f t="shared" si="85"/>
        <v>-109366.04034176971</v>
      </c>
      <c r="AW135" s="135">
        <f t="shared" si="85"/>
        <v>53883.736565347324</v>
      </c>
      <c r="AX135" s="135">
        <f t="shared" si="85"/>
        <v>263404.11983581615</v>
      </c>
      <c r="AY135" s="135">
        <f t="shared" si="85"/>
        <v>-45365.816161672221</v>
      </c>
      <c r="AZ135" s="135">
        <f t="shared" si="85"/>
        <v>-116828.77425745984</v>
      </c>
      <c r="BA135" s="135">
        <f t="shared" si="85"/>
        <v>-213062.76453521216</v>
      </c>
      <c r="BB135" s="136">
        <f t="shared" si="85"/>
        <v>-117537.16235663371</v>
      </c>
      <c r="BC135" s="135">
        <f t="shared" si="85"/>
        <v>224425.72619496594</v>
      </c>
      <c r="BD135" s="135">
        <f t="shared" si="85"/>
        <v>86281.067483524646</v>
      </c>
      <c r="BE135" s="135">
        <f t="shared" si="85"/>
        <v>49334.331698855072</v>
      </c>
      <c r="BF135" s="135">
        <f t="shared" si="85"/>
        <v>-33827.663185385121</v>
      </c>
      <c r="BG135" s="135">
        <f t="shared" si="85"/>
        <v>95745.191227422634</v>
      </c>
      <c r="BH135" s="111">
        <f t="shared" si="85"/>
        <v>-304610.42897030985</v>
      </c>
      <c r="BI135" s="111">
        <f t="shared" si="85"/>
        <v>80183.147138447501</v>
      </c>
      <c r="BJ135" s="111">
        <f t="shared" si="85"/>
        <v>-15126.689139808488</v>
      </c>
      <c r="BK135" s="122">
        <f t="shared" si="85"/>
        <v>-720.9646093812371</v>
      </c>
      <c r="BL135" s="122">
        <f t="shared" si="85"/>
        <v>-4455.5000402425831</v>
      </c>
      <c r="BM135" s="135">
        <f t="shared" si="85"/>
        <v>-84559.674181679176</v>
      </c>
    </row>
    <row r="136" spans="1:65" ht="15.75" customHeight="1">
      <c r="A136" s="105" t="s">
        <v>49</v>
      </c>
      <c r="B136" s="105" t="s">
        <v>48</v>
      </c>
      <c r="C136" s="105" t="s">
        <v>80</v>
      </c>
      <c r="D136" s="105" t="s">
        <v>77</v>
      </c>
      <c r="E136" s="105" t="s">
        <v>10</v>
      </c>
      <c r="F136" s="106" t="s">
        <v>71</v>
      </c>
      <c r="G136" s="135">
        <f>G109+G121+G133</f>
        <v>58326.192149967028</v>
      </c>
      <c r="H136" s="135">
        <f t="shared" ref="H136:BM136" si="86">H109+H121+H133</f>
        <v>-115967.7465484977</v>
      </c>
      <c r="I136" s="135">
        <f t="shared" si="86"/>
        <v>-229593.65172427532</v>
      </c>
      <c r="J136" s="135">
        <f t="shared" si="86"/>
        <v>-261090.29528008838</v>
      </c>
      <c r="K136" s="135">
        <f t="shared" si="86"/>
        <v>103930.85591404088</v>
      </c>
      <c r="L136" s="135">
        <f t="shared" si="86"/>
        <v>223170.14706456228</v>
      </c>
      <c r="M136" s="135">
        <f t="shared" si="86"/>
        <v>100834.17966815662</v>
      </c>
      <c r="N136" s="135">
        <f t="shared" si="86"/>
        <v>-367629.52394775976</v>
      </c>
      <c r="O136" s="135">
        <f t="shared" si="86"/>
        <v>217792.1571198405</v>
      </c>
      <c r="P136" s="136">
        <f t="shared" si="86"/>
        <v>-3046.6584190394133</v>
      </c>
      <c r="Q136" s="135">
        <f t="shared" si="86"/>
        <v>279873.82829793834</v>
      </c>
      <c r="R136" s="135">
        <f t="shared" si="86"/>
        <v>263828.98771436932</v>
      </c>
      <c r="S136" s="135">
        <f t="shared" si="86"/>
        <v>-79536.103434606019</v>
      </c>
      <c r="T136" s="135">
        <f t="shared" si="86"/>
        <v>98885.721576820477</v>
      </c>
      <c r="U136" s="135">
        <f t="shared" si="86"/>
        <v>-63369.45080634336</v>
      </c>
      <c r="V136" s="135">
        <f t="shared" si="86"/>
        <v>-302998.43548975774</v>
      </c>
      <c r="W136" s="135">
        <f t="shared" si="86"/>
        <v>-121235.54102863825</v>
      </c>
      <c r="X136" s="135">
        <f t="shared" si="86"/>
        <v>-123294.80376138413</v>
      </c>
      <c r="Y136" s="135">
        <f t="shared" si="86"/>
        <v>-1747.730715168349</v>
      </c>
      <c r="Z136" s="135">
        <f t="shared" si="86"/>
        <v>-27077.829478119776</v>
      </c>
      <c r="AA136" s="135">
        <f t="shared" si="86"/>
        <v>-65084.942524620361</v>
      </c>
      <c r="AB136" s="135">
        <f t="shared" si="86"/>
        <v>-197995.79105519273</v>
      </c>
      <c r="AC136" s="135">
        <f t="shared" si="86"/>
        <v>396806.49103528692</v>
      </c>
      <c r="AD136" s="136">
        <f t="shared" si="86"/>
        <v>209260.20004860719</v>
      </c>
      <c r="AE136" s="135">
        <f t="shared" si="86"/>
        <v>447342.07009062759</v>
      </c>
      <c r="AF136" s="135">
        <f t="shared" si="86"/>
        <v>357486.64167652512</v>
      </c>
      <c r="AG136" s="135">
        <f t="shared" si="86"/>
        <v>257180.39007869674</v>
      </c>
      <c r="AH136" s="135">
        <f t="shared" si="86"/>
        <v>-66825.407699349831</v>
      </c>
      <c r="AI136" s="135">
        <f t="shared" si="86"/>
        <v>-45745.180296176623</v>
      </c>
      <c r="AJ136" s="135">
        <f t="shared" si="86"/>
        <v>-38.361228472146649</v>
      </c>
      <c r="AK136" s="135">
        <f t="shared" si="86"/>
        <v>-164289.37132630887</v>
      </c>
      <c r="AL136" s="135">
        <f t="shared" si="86"/>
        <v>158812.08994084466</v>
      </c>
      <c r="AM136" s="135">
        <f t="shared" si="86"/>
        <v>34400.888285817768</v>
      </c>
      <c r="AN136" s="135">
        <f t="shared" si="86"/>
        <v>124976.86233018445</v>
      </c>
      <c r="AO136" s="135">
        <f t="shared" si="86"/>
        <v>115006.45655647115</v>
      </c>
      <c r="AP136" s="136">
        <f t="shared" si="86"/>
        <v>17523.183489369159</v>
      </c>
      <c r="AQ136" s="135">
        <f t="shared" si="86"/>
        <v>537089.46337882848</v>
      </c>
      <c r="AR136" s="135">
        <f t="shared" si="86"/>
        <v>84506.454132200437</v>
      </c>
      <c r="AS136" s="135">
        <f t="shared" si="86"/>
        <v>296944.49705085333</v>
      </c>
      <c r="AT136" s="135">
        <f t="shared" si="86"/>
        <v>-277255.79634380655</v>
      </c>
      <c r="AU136" s="135">
        <f t="shared" si="86"/>
        <v>-91255.42110351508</v>
      </c>
      <c r="AV136" s="135">
        <f t="shared" si="86"/>
        <v>-114294.73987076369</v>
      </c>
      <c r="AW136" s="135">
        <f t="shared" si="86"/>
        <v>39500.194620791211</v>
      </c>
      <c r="AX136" s="135">
        <f t="shared" si="86"/>
        <v>278393.37651263882</v>
      </c>
      <c r="AY136" s="135">
        <f t="shared" si="86"/>
        <v>513.47974219733442</v>
      </c>
      <c r="AZ136" s="135">
        <f t="shared" si="86"/>
        <v>-83246.264199568235</v>
      </c>
      <c r="BA136" s="135">
        <f t="shared" si="86"/>
        <v>-174737.20485293187</v>
      </c>
      <c r="BB136" s="136">
        <f t="shared" si="86"/>
        <v>-122827.73108505174</v>
      </c>
      <c r="BC136" s="135">
        <f t="shared" si="86"/>
        <v>277388.25639211596</v>
      </c>
      <c r="BD136" s="135">
        <f t="shared" si="86"/>
        <v>111897.56319777292</v>
      </c>
      <c r="BE136" s="135">
        <f t="shared" si="86"/>
        <v>66033.508478254109</v>
      </c>
      <c r="BF136" s="135">
        <f t="shared" si="86"/>
        <v>-27791.460655772426</v>
      </c>
      <c r="BG136" s="135">
        <f t="shared" si="86"/>
        <v>114276.14493537096</v>
      </c>
      <c r="BH136" s="111">
        <f t="shared" si="86"/>
        <v>-349334.91722348222</v>
      </c>
      <c r="BI136" s="111">
        <f t="shared" si="86"/>
        <v>79192.116566753655</v>
      </c>
      <c r="BJ136" s="111">
        <f t="shared" si="86"/>
        <v>1030.7602462100731</v>
      </c>
      <c r="BK136" s="122">
        <f t="shared" si="86"/>
        <v>-695.63037358096028</v>
      </c>
      <c r="BL136" s="122">
        <f t="shared" si="86"/>
        <v>58795.401380135314</v>
      </c>
      <c r="BM136" s="135">
        <f t="shared" si="86"/>
        <v>-59127.496836781298</v>
      </c>
    </row>
    <row r="137" spans="1:65" ht="15.75" customHeight="1">
      <c r="A137" s="105"/>
      <c r="B137" s="105"/>
      <c r="F137" s="106"/>
      <c r="G137" s="137"/>
      <c r="H137" s="137"/>
      <c r="I137" s="137"/>
      <c r="J137" s="46"/>
      <c r="K137" s="46"/>
      <c r="L137" s="46"/>
      <c r="M137" s="46"/>
      <c r="N137" s="46"/>
      <c r="O137" s="46"/>
      <c r="P137" s="47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9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1"/>
      <c r="BB137" s="50"/>
      <c r="BK137" s="122"/>
      <c r="BL137" s="122"/>
    </row>
    <row r="138" spans="1:65" ht="15.75" customHeight="1">
      <c r="A138" s="105"/>
      <c r="B138" s="105"/>
      <c r="F138" s="106"/>
      <c r="G138" s="137"/>
      <c r="H138" s="137"/>
      <c r="I138" s="137"/>
      <c r="J138" s="46"/>
      <c r="K138" s="46"/>
      <c r="L138" s="46"/>
      <c r="M138" s="46"/>
      <c r="N138" s="46"/>
      <c r="O138" s="46"/>
      <c r="P138" s="47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9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1"/>
      <c r="BB138" s="50"/>
      <c r="BK138" s="122"/>
      <c r="BL138" s="122"/>
    </row>
    <row r="139" spans="1:65" ht="15.75" customHeight="1">
      <c r="A139" s="105" t="s">
        <v>50</v>
      </c>
      <c r="B139" s="105" t="s">
        <v>67</v>
      </c>
      <c r="C139" s="105" t="s">
        <v>68</v>
      </c>
      <c r="D139" s="105" t="s">
        <v>69</v>
      </c>
      <c r="E139" s="105" t="s">
        <v>70</v>
      </c>
      <c r="F139" s="106" t="s">
        <v>71</v>
      </c>
      <c r="G139" s="107">
        <v>14013389</v>
      </c>
      <c r="H139" s="108">
        <f t="shared" ref="H139:S141" si="87">$G139</f>
        <v>14013389</v>
      </c>
      <c r="I139" s="108">
        <f t="shared" si="87"/>
        <v>14013389</v>
      </c>
      <c r="J139" s="108">
        <f t="shared" si="87"/>
        <v>14013389</v>
      </c>
      <c r="K139" s="108">
        <f t="shared" si="87"/>
        <v>14013389</v>
      </c>
      <c r="L139" s="108">
        <f t="shared" si="87"/>
        <v>14013389</v>
      </c>
      <c r="M139" s="108">
        <f t="shared" si="87"/>
        <v>14013389</v>
      </c>
      <c r="N139" s="108">
        <f t="shared" si="87"/>
        <v>14013389</v>
      </c>
      <c r="O139" s="108">
        <f t="shared" si="87"/>
        <v>14013389</v>
      </c>
      <c r="P139" s="109">
        <f t="shared" si="87"/>
        <v>14013389</v>
      </c>
      <c r="Q139" s="108">
        <f t="shared" si="87"/>
        <v>14013389</v>
      </c>
      <c r="R139" s="108">
        <f t="shared" si="87"/>
        <v>14013389</v>
      </c>
      <c r="S139" s="108">
        <f t="shared" si="87"/>
        <v>14013389</v>
      </c>
      <c r="T139" s="107">
        <v>14342201</v>
      </c>
      <c r="U139" s="108">
        <f>$S139</f>
        <v>14013389</v>
      </c>
      <c r="V139" s="108">
        <f>$T139</f>
        <v>14342201</v>
      </c>
      <c r="W139" s="108">
        <f t="shared" ref="W139:BK141" si="88">$T139</f>
        <v>14342201</v>
      </c>
      <c r="X139" s="108">
        <f t="shared" si="88"/>
        <v>14342201</v>
      </c>
      <c r="Y139" s="108">
        <f t="shared" si="88"/>
        <v>14342201</v>
      </c>
      <c r="Z139" s="108">
        <f t="shared" si="88"/>
        <v>14342201</v>
      </c>
      <c r="AA139" s="108">
        <f t="shared" si="88"/>
        <v>14342201</v>
      </c>
      <c r="AB139" s="108">
        <f t="shared" si="88"/>
        <v>14342201</v>
      </c>
      <c r="AC139" s="108">
        <f t="shared" si="88"/>
        <v>14342201</v>
      </c>
      <c r="AD139" s="109">
        <f t="shared" si="88"/>
        <v>14342201</v>
      </c>
      <c r="AE139" s="108">
        <f t="shared" si="88"/>
        <v>14342201</v>
      </c>
      <c r="AF139" s="108">
        <f t="shared" si="88"/>
        <v>14342201</v>
      </c>
      <c r="AG139" s="108">
        <f t="shared" si="88"/>
        <v>14342201</v>
      </c>
      <c r="AH139" s="108">
        <f t="shared" si="88"/>
        <v>14342201</v>
      </c>
      <c r="AI139" s="108">
        <f t="shared" si="88"/>
        <v>14342201</v>
      </c>
      <c r="AJ139" s="108">
        <f t="shared" si="88"/>
        <v>14342201</v>
      </c>
      <c r="AK139" s="108">
        <f t="shared" si="88"/>
        <v>14342201</v>
      </c>
      <c r="AL139" s="108">
        <f t="shared" si="88"/>
        <v>14342201</v>
      </c>
      <c r="AM139" s="108">
        <f t="shared" si="88"/>
        <v>14342201</v>
      </c>
      <c r="AN139" s="108">
        <f t="shared" si="88"/>
        <v>14342201</v>
      </c>
      <c r="AO139" s="108">
        <f t="shared" si="88"/>
        <v>14342201</v>
      </c>
      <c r="AP139" s="109">
        <f t="shared" si="88"/>
        <v>14342201</v>
      </c>
      <c r="AQ139" s="108">
        <f t="shared" si="88"/>
        <v>14342201</v>
      </c>
      <c r="AR139" s="108">
        <f t="shared" si="88"/>
        <v>14342201</v>
      </c>
      <c r="AS139" s="108">
        <f t="shared" si="88"/>
        <v>14342201</v>
      </c>
      <c r="AT139" s="108">
        <f t="shared" si="88"/>
        <v>14342201</v>
      </c>
      <c r="AU139" s="108">
        <f t="shared" si="88"/>
        <v>14342201</v>
      </c>
      <c r="AV139" s="108">
        <f t="shared" si="88"/>
        <v>14342201</v>
      </c>
      <c r="AW139" s="108">
        <f t="shared" si="88"/>
        <v>14342201</v>
      </c>
      <c r="AX139" s="108">
        <f t="shared" si="88"/>
        <v>14342201</v>
      </c>
      <c r="AY139" s="108">
        <f t="shared" si="88"/>
        <v>14342201</v>
      </c>
      <c r="AZ139" s="108">
        <f t="shared" si="88"/>
        <v>14342201</v>
      </c>
      <c r="BA139" s="108">
        <f t="shared" si="88"/>
        <v>14342201</v>
      </c>
      <c r="BB139" s="109">
        <f t="shared" si="88"/>
        <v>14342201</v>
      </c>
      <c r="BC139" s="108">
        <f t="shared" si="88"/>
        <v>14342201</v>
      </c>
      <c r="BD139" s="108">
        <f t="shared" si="88"/>
        <v>14342201</v>
      </c>
      <c r="BE139" s="108">
        <f t="shared" si="88"/>
        <v>14342201</v>
      </c>
      <c r="BF139" s="108">
        <f t="shared" si="88"/>
        <v>14342201</v>
      </c>
      <c r="BG139" s="108">
        <f t="shared" si="88"/>
        <v>14342201</v>
      </c>
      <c r="BH139" s="108">
        <f t="shared" si="88"/>
        <v>14342201</v>
      </c>
      <c r="BI139" s="108">
        <f t="shared" si="88"/>
        <v>14342201</v>
      </c>
      <c r="BJ139" s="107">
        <v>15181737</v>
      </c>
      <c r="BK139" s="110">
        <f t="shared" si="88"/>
        <v>14342201</v>
      </c>
      <c r="BL139" s="110">
        <f>$BJ139</f>
        <v>15181737</v>
      </c>
      <c r="BM139" s="108">
        <f t="shared" ref="BM139:BM141" si="89">$BJ139</f>
        <v>15181737</v>
      </c>
    </row>
    <row r="140" spans="1:65" ht="15.75" customHeight="1">
      <c r="A140" s="105" t="s">
        <v>50</v>
      </c>
      <c r="B140" s="105" t="s">
        <v>67</v>
      </c>
      <c r="C140" s="105" t="s">
        <v>68</v>
      </c>
      <c r="D140" s="105" t="s">
        <v>69</v>
      </c>
      <c r="E140" s="105" t="s">
        <v>72</v>
      </c>
      <c r="F140" s="106" t="s">
        <v>71</v>
      </c>
      <c r="G140" s="107">
        <v>365320</v>
      </c>
      <c r="H140" s="108">
        <f t="shared" si="87"/>
        <v>365320</v>
      </c>
      <c r="I140" s="108">
        <f t="shared" si="87"/>
        <v>365320</v>
      </c>
      <c r="J140" s="108">
        <f t="shared" si="87"/>
        <v>365320</v>
      </c>
      <c r="K140" s="108">
        <f t="shared" si="87"/>
        <v>365320</v>
      </c>
      <c r="L140" s="108">
        <f t="shared" si="87"/>
        <v>365320</v>
      </c>
      <c r="M140" s="108">
        <f t="shared" si="87"/>
        <v>365320</v>
      </c>
      <c r="N140" s="108">
        <f t="shared" si="87"/>
        <v>365320</v>
      </c>
      <c r="O140" s="108">
        <f t="shared" si="87"/>
        <v>365320</v>
      </c>
      <c r="P140" s="109">
        <f t="shared" si="87"/>
        <v>365320</v>
      </c>
      <c r="Q140" s="108">
        <f t="shared" si="87"/>
        <v>365320</v>
      </c>
      <c r="R140" s="108">
        <f t="shared" si="87"/>
        <v>365320</v>
      </c>
      <c r="S140" s="108">
        <f t="shared" si="87"/>
        <v>365320</v>
      </c>
      <c r="T140" s="107">
        <v>374021</v>
      </c>
      <c r="U140" s="108">
        <f>$S140</f>
        <v>365320</v>
      </c>
      <c r="V140" s="108">
        <f>$T140</f>
        <v>374021</v>
      </c>
      <c r="W140" s="108">
        <f t="shared" si="88"/>
        <v>374021</v>
      </c>
      <c r="X140" s="108">
        <f t="shared" si="88"/>
        <v>374021</v>
      </c>
      <c r="Y140" s="108">
        <f t="shared" si="88"/>
        <v>374021</v>
      </c>
      <c r="Z140" s="108">
        <f t="shared" si="88"/>
        <v>374021</v>
      </c>
      <c r="AA140" s="108">
        <f t="shared" si="88"/>
        <v>374021</v>
      </c>
      <c r="AB140" s="108">
        <f t="shared" si="88"/>
        <v>374021</v>
      </c>
      <c r="AC140" s="108">
        <f t="shared" si="88"/>
        <v>374021</v>
      </c>
      <c r="AD140" s="109">
        <f t="shared" si="88"/>
        <v>374021</v>
      </c>
      <c r="AE140" s="108">
        <f t="shared" si="88"/>
        <v>374021</v>
      </c>
      <c r="AF140" s="108">
        <f t="shared" si="88"/>
        <v>374021</v>
      </c>
      <c r="AG140" s="108">
        <f t="shared" si="88"/>
        <v>374021</v>
      </c>
      <c r="AH140" s="108">
        <f t="shared" si="88"/>
        <v>374021</v>
      </c>
      <c r="AI140" s="108">
        <f t="shared" si="88"/>
        <v>374021</v>
      </c>
      <c r="AJ140" s="108">
        <f t="shared" si="88"/>
        <v>374021</v>
      </c>
      <c r="AK140" s="108">
        <f t="shared" si="88"/>
        <v>374021</v>
      </c>
      <c r="AL140" s="108">
        <f t="shared" si="88"/>
        <v>374021</v>
      </c>
      <c r="AM140" s="108">
        <f t="shared" si="88"/>
        <v>374021</v>
      </c>
      <c r="AN140" s="108">
        <f t="shared" si="88"/>
        <v>374021</v>
      </c>
      <c r="AO140" s="108">
        <f t="shared" si="88"/>
        <v>374021</v>
      </c>
      <c r="AP140" s="109">
        <f t="shared" si="88"/>
        <v>374021</v>
      </c>
      <c r="AQ140" s="108">
        <f t="shared" si="88"/>
        <v>374021</v>
      </c>
      <c r="AR140" s="108">
        <f t="shared" si="88"/>
        <v>374021</v>
      </c>
      <c r="AS140" s="108">
        <f t="shared" si="88"/>
        <v>374021</v>
      </c>
      <c r="AT140" s="108">
        <f t="shared" si="88"/>
        <v>374021</v>
      </c>
      <c r="AU140" s="108">
        <f t="shared" si="88"/>
        <v>374021</v>
      </c>
      <c r="AV140" s="108">
        <f t="shared" si="88"/>
        <v>374021</v>
      </c>
      <c r="AW140" s="108">
        <f t="shared" si="88"/>
        <v>374021</v>
      </c>
      <c r="AX140" s="108">
        <f t="shared" si="88"/>
        <v>374021</v>
      </c>
      <c r="AY140" s="108">
        <f t="shared" si="88"/>
        <v>374021</v>
      </c>
      <c r="AZ140" s="108">
        <f t="shared" si="88"/>
        <v>374021</v>
      </c>
      <c r="BA140" s="108">
        <f t="shared" si="88"/>
        <v>374021</v>
      </c>
      <c r="BB140" s="109">
        <f t="shared" si="88"/>
        <v>374021</v>
      </c>
      <c r="BC140" s="108">
        <f t="shared" si="88"/>
        <v>374021</v>
      </c>
      <c r="BD140" s="108">
        <f t="shared" si="88"/>
        <v>374021</v>
      </c>
      <c r="BE140" s="108">
        <f t="shared" si="88"/>
        <v>374021</v>
      </c>
      <c r="BF140" s="108">
        <f t="shared" si="88"/>
        <v>374021</v>
      </c>
      <c r="BG140" s="108">
        <f t="shared" si="88"/>
        <v>374021</v>
      </c>
      <c r="BH140" s="108">
        <f t="shared" si="88"/>
        <v>374021</v>
      </c>
      <c r="BI140" s="108">
        <f t="shared" si="88"/>
        <v>374021</v>
      </c>
      <c r="BJ140" s="107">
        <v>390547</v>
      </c>
      <c r="BK140" s="110">
        <f t="shared" si="88"/>
        <v>374021</v>
      </c>
      <c r="BL140" s="110">
        <f t="shared" ref="BL140:BL141" si="90">$BJ140</f>
        <v>390547</v>
      </c>
      <c r="BM140" s="108">
        <f t="shared" si="89"/>
        <v>390547</v>
      </c>
    </row>
    <row r="141" spans="1:65" ht="15.75" customHeight="1">
      <c r="A141" s="105" t="s">
        <v>50</v>
      </c>
      <c r="B141" s="105" t="s">
        <v>67</v>
      </c>
      <c r="C141" s="105" t="s">
        <v>68</v>
      </c>
      <c r="D141" s="105" t="s">
        <v>69</v>
      </c>
      <c r="E141" s="105" t="s">
        <v>73</v>
      </c>
      <c r="F141" s="106" t="s">
        <v>71</v>
      </c>
      <c r="G141" s="107">
        <v>4576580.4424617374</v>
      </c>
      <c r="H141" s="108">
        <f t="shared" si="87"/>
        <v>4576580.4424617374</v>
      </c>
      <c r="I141" s="108">
        <f t="shared" si="87"/>
        <v>4576580.4424617374</v>
      </c>
      <c r="J141" s="108">
        <f t="shared" si="87"/>
        <v>4576580.4424617374</v>
      </c>
      <c r="K141" s="108">
        <f t="shared" si="87"/>
        <v>4576580.4424617374</v>
      </c>
      <c r="L141" s="108">
        <f t="shared" si="87"/>
        <v>4576580.4424617374</v>
      </c>
      <c r="M141" s="108">
        <f t="shared" si="87"/>
        <v>4576580.4424617374</v>
      </c>
      <c r="N141" s="108">
        <f t="shared" si="87"/>
        <v>4576580.4424617374</v>
      </c>
      <c r="O141" s="108">
        <f t="shared" si="87"/>
        <v>4576580.4424617374</v>
      </c>
      <c r="P141" s="109">
        <f t="shared" si="87"/>
        <v>4576580.4424617374</v>
      </c>
      <c r="Q141" s="108">
        <f t="shared" si="87"/>
        <v>4576580.4424617374</v>
      </c>
      <c r="R141" s="108">
        <f t="shared" si="87"/>
        <v>4576580.4424617374</v>
      </c>
      <c r="S141" s="108">
        <f t="shared" si="87"/>
        <v>4576580.4424617374</v>
      </c>
      <c r="T141" s="107">
        <v>4576580.4424617374</v>
      </c>
      <c r="U141" s="108">
        <f>$S141</f>
        <v>4576580.4424617374</v>
      </c>
      <c r="V141" s="108">
        <f>$T141</f>
        <v>4576580.4424617374</v>
      </c>
      <c r="W141" s="108">
        <f t="shared" si="88"/>
        <v>4576580.4424617374</v>
      </c>
      <c r="X141" s="108">
        <f t="shared" si="88"/>
        <v>4576580.4424617374</v>
      </c>
      <c r="Y141" s="108">
        <f t="shared" si="88"/>
        <v>4576580.4424617374</v>
      </c>
      <c r="Z141" s="108">
        <f t="shared" si="88"/>
        <v>4576580.4424617374</v>
      </c>
      <c r="AA141" s="108">
        <f t="shared" si="88"/>
        <v>4576580.4424617374</v>
      </c>
      <c r="AB141" s="108">
        <f t="shared" si="88"/>
        <v>4576580.4424617374</v>
      </c>
      <c r="AC141" s="108">
        <f t="shared" si="88"/>
        <v>4576580.4424617374</v>
      </c>
      <c r="AD141" s="109">
        <f t="shared" si="88"/>
        <v>4576580.4424617374</v>
      </c>
      <c r="AE141" s="108">
        <f t="shared" si="88"/>
        <v>4576580.4424617374</v>
      </c>
      <c r="AF141" s="108">
        <f t="shared" si="88"/>
        <v>4576580.4424617374</v>
      </c>
      <c r="AG141" s="108">
        <f t="shared" si="88"/>
        <v>4576580.4424617374</v>
      </c>
      <c r="AH141" s="108">
        <f t="shared" si="88"/>
        <v>4576580.4424617374</v>
      </c>
      <c r="AI141" s="108">
        <f t="shared" si="88"/>
        <v>4576580.4424617374</v>
      </c>
      <c r="AJ141" s="108">
        <f t="shared" si="88"/>
        <v>4576580.4424617374</v>
      </c>
      <c r="AK141" s="108">
        <f t="shared" si="88"/>
        <v>4576580.4424617374</v>
      </c>
      <c r="AL141" s="108">
        <f t="shared" si="88"/>
        <v>4576580.4424617374</v>
      </c>
      <c r="AM141" s="108">
        <f t="shared" si="88"/>
        <v>4576580.4424617374</v>
      </c>
      <c r="AN141" s="108">
        <f t="shared" si="88"/>
        <v>4576580.4424617374</v>
      </c>
      <c r="AO141" s="108">
        <f t="shared" si="88"/>
        <v>4576580.4424617374</v>
      </c>
      <c r="AP141" s="109">
        <f t="shared" si="88"/>
        <v>4576580.4424617374</v>
      </c>
      <c r="AQ141" s="108">
        <f t="shared" si="88"/>
        <v>4576580.4424617374</v>
      </c>
      <c r="AR141" s="108">
        <f t="shared" si="88"/>
        <v>4576580.4424617374</v>
      </c>
      <c r="AS141" s="108">
        <f t="shared" si="88"/>
        <v>4576580.4424617374</v>
      </c>
      <c r="AT141" s="108">
        <f t="shared" si="88"/>
        <v>4576580.4424617374</v>
      </c>
      <c r="AU141" s="108">
        <f t="shared" si="88"/>
        <v>4576580.4424617374</v>
      </c>
      <c r="AV141" s="108">
        <f t="shared" si="88"/>
        <v>4576580.4424617374</v>
      </c>
      <c r="AW141" s="108">
        <f t="shared" si="88"/>
        <v>4576580.4424617374</v>
      </c>
      <c r="AX141" s="108">
        <f t="shared" si="88"/>
        <v>4576580.4424617374</v>
      </c>
      <c r="AY141" s="108">
        <f t="shared" si="88"/>
        <v>4576580.4424617374</v>
      </c>
      <c r="AZ141" s="108">
        <f t="shared" si="88"/>
        <v>4576580.4424617374</v>
      </c>
      <c r="BA141" s="108">
        <f t="shared" si="88"/>
        <v>4576580.4424617374</v>
      </c>
      <c r="BB141" s="109">
        <f t="shared" si="88"/>
        <v>4576580.4424617374</v>
      </c>
      <c r="BC141" s="108">
        <f t="shared" si="88"/>
        <v>4576580.4424617374</v>
      </c>
      <c r="BD141" s="108">
        <f t="shared" si="88"/>
        <v>4576580.4424617374</v>
      </c>
      <c r="BE141" s="108">
        <f t="shared" si="88"/>
        <v>4576580.4424617374</v>
      </c>
      <c r="BF141" s="108">
        <f t="shared" si="88"/>
        <v>4576580.4424617374</v>
      </c>
      <c r="BG141" s="108">
        <f t="shared" si="88"/>
        <v>4576580.4424617374</v>
      </c>
      <c r="BH141" s="108">
        <f t="shared" si="88"/>
        <v>4576580.4424617374</v>
      </c>
      <c r="BI141" s="108">
        <f t="shared" si="88"/>
        <v>4576580.4424617374</v>
      </c>
      <c r="BJ141" s="107">
        <v>4014674.758009132</v>
      </c>
      <c r="BK141" s="110">
        <f t="shared" si="88"/>
        <v>4576580.4424617374</v>
      </c>
      <c r="BL141" s="110">
        <f t="shared" si="90"/>
        <v>4014674.758009132</v>
      </c>
      <c r="BM141" s="108">
        <f t="shared" si="89"/>
        <v>4014674.758009132</v>
      </c>
    </row>
    <row r="142" spans="1:65" ht="15.75" customHeight="1">
      <c r="A142" s="105" t="s">
        <v>50</v>
      </c>
      <c r="B142" s="105" t="s">
        <v>67</v>
      </c>
      <c r="C142" s="105" t="s">
        <v>68</v>
      </c>
      <c r="D142" s="105" t="s">
        <v>69</v>
      </c>
      <c r="E142" s="105" t="s">
        <v>74</v>
      </c>
      <c r="F142" s="106" t="s">
        <v>71</v>
      </c>
      <c r="G142" s="108">
        <f t="shared" ref="G142:BM142" si="91">G139-G140-G141</f>
        <v>9071488.5575382635</v>
      </c>
      <c r="H142" s="108">
        <f t="shared" si="91"/>
        <v>9071488.5575382635</v>
      </c>
      <c r="I142" s="108">
        <f t="shared" si="91"/>
        <v>9071488.5575382635</v>
      </c>
      <c r="J142" s="108">
        <f t="shared" si="91"/>
        <v>9071488.5575382635</v>
      </c>
      <c r="K142" s="108">
        <f t="shared" si="91"/>
        <v>9071488.5575382635</v>
      </c>
      <c r="L142" s="108">
        <f t="shared" si="91"/>
        <v>9071488.5575382635</v>
      </c>
      <c r="M142" s="108">
        <f t="shared" si="91"/>
        <v>9071488.5575382635</v>
      </c>
      <c r="N142" s="108">
        <f t="shared" si="91"/>
        <v>9071488.5575382635</v>
      </c>
      <c r="O142" s="108">
        <f t="shared" si="91"/>
        <v>9071488.5575382635</v>
      </c>
      <c r="P142" s="109">
        <f t="shared" si="91"/>
        <v>9071488.5575382635</v>
      </c>
      <c r="Q142" s="108">
        <f t="shared" si="91"/>
        <v>9071488.5575382635</v>
      </c>
      <c r="R142" s="108">
        <f t="shared" si="91"/>
        <v>9071488.5575382635</v>
      </c>
      <c r="S142" s="108">
        <f t="shared" si="91"/>
        <v>9071488.5575382635</v>
      </c>
      <c r="T142" s="108">
        <f t="shared" si="91"/>
        <v>9391599.5575382635</v>
      </c>
      <c r="U142" s="108">
        <f t="shared" si="91"/>
        <v>9071488.5575382635</v>
      </c>
      <c r="V142" s="108">
        <f t="shared" si="91"/>
        <v>9391599.5575382635</v>
      </c>
      <c r="W142" s="108">
        <f t="shared" si="91"/>
        <v>9391599.5575382635</v>
      </c>
      <c r="X142" s="108">
        <f t="shared" si="91"/>
        <v>9391599.5575382635</v>
      </c>
      <c r="Y142" s="108">
        <f t="shared" si="91"/>
        <v>9391599.5575382635</v>
      </c>
      <c r="Z142" s="108">
        <f t="shared" si="91"/>
        <v>9391599.5575382635</v>
      </c>
      <c r="AA142" s="108">
        <f t="shared" si="91"/>
        <v>9391599.5575382635</v>
      </c>
      <c r="AB142" s="108">
        <f t="shared" si="91"/>
        <v>9391599.5575382635</v>
      </c>
      <c r="AC142" s="108">
        <f t="shared" si="91"/>
        <v>9391599.5575382635</v>
      </c>
      <c r="AD142" s="109">
        <f t="shared" si="91"/>
        <v>9391599.5575382635</v>
      </c>
      <c r="AE142" s="108">
        <f t="shared" si="91"/>
        <v>9391599.5575382635</v>
      </c>
      <c r="AF142" s="108">
        <f t="shared" si="91"/>
        <v>9391599.5575382635</v>
      </c>
      <c r="AG142" s="108">
        <f t="shared" si="91"/>
        <v>9391599.5575382635</v>
      </c>
      <c r="AH142" s="108">
        <f t="shared" si="91"/>
        <v>9391599.5575382635</v>
      </c>
      <c r="AI142" s="108">
        <f t="shared" si="91"/>
        <v>9391599.5575382635</v>
      </c>
      <c r="AJ142" s="108">
        <f t="shared" si="91"/>
        <v>9391599.5575382635</v>
      </c>
      <c r="AK142" s="108">
        <f t="shared" si="91"/>
        <v>9391599.5575382635</v>
      </c>
      <c r="AL142" s="108">
        <f t="shared" si="91"/>
        <v>9391599.5575382635</v>
      </c>
      <c r="AM142" s="108">
        <f t="shared" si="91"/>
        <v>9391599.5575382635</v>
      </c>
      <c r="AN142" s="108">
        <f t="shared" si="91"/>
        <v>9391599.5575382635</v>
      </c>
      <c r="AO142" s="108">
        <f t="shared" si="91"/>
        <v>9391599.5575382635</v>
      </c>
      <c r="AP142" s="109">
        <f t="shared" si="91"/>
        <v>9391599.5575382635</v>
      </c>
      <c r="AQ142" s="108">
        <f t="shared" si="91"/>
        <v>9391599.5575382635</v>
      </c>
      <c r="AR142" s="108">
        <f t="shared" si="91"/>
        <v>9391599.5575382635</v>
      </c>
      <c r="AS142" s="108">
        <f t="shared" si="91"/>
        <v>9391599.5575382635</v>
      </c>
      <c r="AT142" s="108">
        <f t="shared" si="91"/>
        <v>9391599.5575382635</v>
      </c>
      <c r="AU142" s="108">
        <f t="shared" si="91"/>
        <v>9391599.5575382635</v>
      </c>
      <c r="AV142" s="108">
        <f t="shared" si="91"/>
        <v>9391599.5575382635</v>
      </c>
      <c r="AW142" s="108">
        <f t="shared" si="91"/>
        <v>9391599.5575382635</v>
      </c>
      <c r="AX142" s="108">
        <f t="shared" si="91"/>
        <v>9391599.5575382635</v>
      </c>
      <c r="AY142" s="108">
        <f t="shared" si="91"/>
        <v>9391599.5575382635</v>
      </c>
      <c r="AZ142" s="108">
        <f t="shared" si="91"/>
        <v>9391599.5575382635</v>
      </c>
      <c r="BA142" s="108">
        <f t="shared" si="91"/>
        <v>9391599.5575382635</v>
      </c>
      <c r="BB142" s="109">
        <f t="shared" si="91"/>
        <v>9391599.5575382635</v>
      </c>
      <c r="BC142" s="108">
        <f t="shared" si="91"/>
        <v>9391599.5575382635</v>
      </c>
      <c r="BD142" s="108">
        <f t="shared" si="91"/>
        <v>9391599.5575382635</v>
      </c>
      <c r="BE142" s="108">
        <f t="shared" si="91"/>
        <v>9391599.5575382635</v>
      </c>
      <c r="BF142" s="108">
        <f t="shared" si="91"/>
        <v>9391599.5575382635</v>
      </c>
      <c r="BG142" s="108">
        <f t="shared" si="91"/>
        <v>9391599.5575382635</v>
      </c>
      <c r="BH142" s="108">
        <f t="shared" si="91"/>
        <v>9391599.5575382635</v>
      </c>
      <c r="BI142" s="108">
        <f t="shared" si="91"/>
        <v>9391599.5575382635</v>
      </c>
      <c r="BJ142" s="108">
        <f t="shared" si="91"/>
        <v>10776515.241990868</v>
      </c>
      <c r="BK142" s="110">
        <f t="shared" si="91"/>
        <v>9391599.5575382635</v>
      </c>
      <c r="BL142" s="111">
        <f t="shared" si="91"/>
        <v>10776515.241990868</v>
      </c>
      <c r="BM142" s="111">
        <f t="shared" si="91"/>
        <v>10776515.241990868</v>
      </c>
    </row>
    <row r="143" spans="1:65" ht="15.75" customHeight="1">
      <c r="A143" s="105" t="s">
        <v>50</v>
      </c>
      <c r="B143" s="105" t="s">
        <v>67</v>
      </c>
      <c r="C143" s="105" t="s">
        <v>68</v>
      </c>
      <c r="D143" s="105" t="s">
        <v>69</v>
      </c>
      <c r="E143" s="105" t="s">
        <v>75</v>
      </c>
      <c r="F143" s="106" t="s">
        <v>76</v>
      </c>
      <c r="G143" s="112">
        <v>5224.9278642093977</v>
      </c>
      <c r="H143" s="113">
        <f>$G143</f>
        <v>5224.9278642093977</v>
      </c>
      <c r="I143" s="113">
        <f t="shared" ref="I143:BI143" si="92">$G143</f>
        <v>5224.9278642093977</v>
      </c>
      <c r="J143" s="113">
        <f t="shared" si="92"/>
        <v>5224.9278642093977</v>
      </c>
      <c r="K143" s="113">
        <f t="shared" si="92"/>
        <v>5224.9278642093977</v>
      </c>
      <c r="L143" s="113">
        <f t="shared" si="92"/>
        <v>5224.9278642093977</v>
      </c>
      <c r="M143" s="113">
        <f t="shared" si="92"/>
        <v>5224.9278642093977</v>
      </c>
      <c r="N143" s="113">
        <f t="shared" si="92"/>
        <v>5224.9278642093977</v>
      </c>
      <c r="O143" s="113">
        <f t="shared" si="92"/>
        <v>5224.9278642093977</v>
      </c>
      <c r="P143" s="114">
        <f t="shared" si="92"/>
        <v>5224.9278642093977</v>
      </c>
      <c r="Q143" s="113">
        <f t="shared" si="92"/>
        <v>5224.9278642093977</v>
      </c>
      <c r="R143" s="113">
        <f t="shared" si="92"/>
        <v>5224.9278642093977</v>
      </c>
      <c r="S143" s="113">
        <f t="shared" si="92"/>
        <v>5224.9278642093977</v>
      </c>
      <c r="T143" s="113">
        <f t="shared" si="92"/>
        <v>5224.9278642093977</v>
      </c>
      <c r="U143" s="113">
        <f t="shared" si="92"/>
        <v>5224.9278642093977</v>
      </c>
      <c r="V143" s="113">
        <f t="shared" si="92"/>
        <v>5224.9278642093977</v>
      </c>
      <c r="W143" s="113">
        <f t="shared" si="92"/>
        <v>5224.9278642093977</v>
      </c>
      <c r="X143" s="113">
        <f t="shared" si="92"/>
        <v>5224.9278642093977</v>
      </c>
      <c r="Y143" s="113">
        <f t="shared" si="92"/>
        <v>5224.9278642093977</v>
      </c>
      <c r="Z143" s="113">
        <f t="shared" si="92"/>
        <v>5224.9278642093977</v>
      </c>
      <c r="AA143" s="113">
        <f t="shared" si="92"/>
        <v>5224.9278642093977</v>
      </c>
      <c r="AB143" s="113">
        <f t="shared" si="92"/>
        <v>5224.9278642093977</v>
      </c>
      <c r="AC143" s="113">
        <f t="shared" si="92"/>
        <v>5224.9278642093977</v>
      </c>
      <c r="AD143" s="114">
        <f t="shared" si="92"/>
        <v>5224.9278642093977</v>
      </c>
      <c r="AE143" s="113">
        <f t="shared" si="92"/>
        <v>5224.9278642093977</v>
      </c>
      <c r="AF143" s="113">
        <f t="shared" si="92"/>
        <v>5224.9278642093977</v>
      </c>
      <c r="AG143" s="113">
        <f t="shared" si="92"/>
        <v>5224.9278642093977</v>
      </c>
      <c r="AH143" s="113">
        <f t="shared" si="92"/>
        <v>5224.9278642093977</v>
      </c>
      <c r="AI143" s="113">
        <f t="shared" si="92"/>
        <v>5224.9278642093977</v>
      </c>
      <c r="AJ143" s="113">
        <f t="shared" si="92"/>
        <v>5224.9278642093977</v>
      </c>
      <c r="AK143" s="113">
        <f t="shared" si="92"/>
        <v>5224.9278642093977</v>
      </c>
      <c r="AL143" s="113">
        <f t="shared" si="92"/>
        <v>5224.9278642093977</v>
      </c>
      <c r="AM143" s="113">
        <f t="shared" si="92"/>
        <v>5224.9278642093977</v>
      </c>
      <c r="AN143" s="113">
        <f t="shared" si="92"/>
        <v>5224.9278642093977</v>
      </c>
      <c r="AO143" s="113">
        <f t="shared" si="92"/>
        <v>5224.9278642093977</v>
      </c>
      <c r="AP143" s="114">
        <f t="shared" si="92"/>
        <v>5224.9278642093977</v>
      </c>
      <c r="AQ143" s="113">
        <f t="shared" si="92"/>
        <v>5224.9278642093977</v>
      </c>
      <c r="AR143" s="113">
        <f t="shared" si="92"/>
        <v>5224.9278642093977</v>
      </c>
      <c r="AS143" s="113">
        <f t="shared" si="92"/>
        <v>5224.9278642093977</v>
      </c>
      <c r="AT143" s="113">
        <f t="shared" si="92"/>
        <v>5224.9278642093977</v>
      </c>
      <c r="AU143" s="113">
        <f t="shared" si="92"/>
        <v>5224.9278642093977</v>
      </c>
      <c r="AV143" s="113">
        <f t="shared" si="92"/>
        <v>5224.9278642093977</v>
      </c>
      <c r="AW143" s="113">
        <f t="shared" si="92"/>
        <v>5224.9278642093977</v>
      </c>
      <c r="AX143" s="113">
        <f t="shared" si="92"/>
        <v>5224.9278642093977</v>
      </c>
      <c r="AY143" s="113">
        <f t="shared" si="92"/>
        <v>5224.9278642093977</v>
      </c>
      <c r="AZ143" s="113">
        <f t="shared" si="92"/>
        <v>5224.9278642093977</v>
      </c>
      <c r="BA143" s="113">
        <f t="shared" si="92"/>
        <v>5224.9278642093977</v>
      </c>
      <c r="BB143" s="114">
        <f t="shared" si="92"/>
        <v>5224.9278642093977</v>
      </c>
      <c r="BC143" s="113">
        <f t="shared" si="92"/>
        <v>5224.9278642093977</v>
      </c>
      <c r="BD143" s="113">
        <f t="shared" si="92"/>
        <v>5224.9278642093977</v>
      </c>
      <c r="BE143" s="113">
        <f t="shared" si="92"/>
        <v>5224.9278642093977</v>
      </c>
      <c r="BF143" s="113">
        <f t="shared" si="92"/>
        <v>5224.9278642093977</v>
      </c>
      <c r="BG143" s="113">
        <f t="shared" si="92"/>
        <v>5224.9278642093977</v>
      </c>
      <c r="BH143" s="113">
        <f t="shared" si="92"/>
        <v>5224.9278642093977</v>
      </c>
      <c r="BI143" s="113">
        <f t="shared" si="92"/>
        <v>5224.9278642093977</v>
      </c>
      <c r="BJ143" s="115">
        <v>5135.6966195907062</v>
      </c>
      <c r="BK143" s="113">
        <f>$G143</f>
        <v>5224.9278642093977</v>
      </c>
      <c r="BL143" s="111">
        <f>$BJ143</f>
        <v>5135.6966195907062</v>
      </c>
      <c r="BM143" s="111">
        <f t="shared" ref="BM143" si="93">$BJ143</f>
        <v>5135.6966195907062</v>
      </c>
    </row>
    <row r="144" spans="1:65" ht="15.75" customHeight="1">
      <c r="A144" s="105" t="s">
        <v>50</v>
      </c>
      <c r="B144" s="105" t="s">
        <v>67</v>
      </c>
      <c r="C144" s="105" t="s">
        <v>68</v>
      </c>
      <c r="D144" s="105" t="s">
        <v>77</v>
      </c>
      <c r="E144" s="105" t="s">
        <v>78</v>
      </c>
      <c r="F144" s="106" t="s">
        <v>79</v>
      </c>
      <c r="G144" s="113">
        <v>27187886.628995687</v>
      </c>
      <c r="H144" s="113">
        <v>16143435.888399214</v>
      </c>
      <c r="I144" s="113">
        <v>4794796.0314075351</v>
      </c>
      <c r="J144" s="113">
        <v>758286.53195079218</v>
      </c>
      <c r="K144" s="113">
        <v>429598.95039846341</v>
      </c>
      <c r="L144" s="113">
        <v>444459.34245917096</v>
      </c>
      <c r="M144" s="113">
        <v>3226395.0944722835</v>
      </c>
      <c r="N144" s="113">
        <v>10378867.669794856</v>
      </c>
      <c r="O144" s="113">
        <v>15894044.580634002</v>
      </c>
      <c r="P144" s="114">
        <v>18563465.647094749</v>
      </c>
      <c r="Q144" s="113">
        <v>29604974.74471578</v>
      </c>
      <c r="R144" s="113">
        <v>33448660.784626458</v>
      </c>
      <c r="S144" s="113">
        <v>27187886.628995687</v>
      </c>
      <c r="T144" s="113">
        <v>27187886.628995687</v>
      </c>
      <c r="U144" s="113">
        <v>16143435.888399214</v>
      </c>
      <c r="V144" s="113">
        <v>16143435.888399214</v>
      </c>
      <c r="W144" s="113">
        <v>4794796.0314075351</v>
      </c>
      <c r="X144" s="113">
        <v>758286.53195079218</v>
      </c>
      <c r="Y144" s="113">
        <v>429598.95039846341</v>
      </c>
      <c r="Z144" s="113">
        <v>444459.34245917096</v>
      </c>
      <c r="AA144" s="113">
        <v>3226395.0944722835</v>
      </c>
      <c r="AB144" s="113">
        <v>10378867.669794856</v>
      </c>
      <c r="AC144" s="113">
        <v>15894044.580634002</v>
      </c>
      <c r="AD144" s="114">
        <v>18563465.647094749</v>
      </c>
      <c r="AE144" s="113">
        <v>29604974.74471578</v>
      </c>
      <c r="AF144" s="113">
        <v>33448660.784626458</v>
      </c>
      <c r="AG144" s="113">
        <v>27187886.628995687</v>
      </c>
      <c r="AH144" s="113">
        <v>16143435.888399214</v>
      </c>
      <c r="AI144" s="113">
        <v>4794796.0314075351</v>
      </c>
      <c r="AJ144" s="113">
        <v>758286.53195079218</v>
      </c>
      <c r="AK144" s="113">
        <v>429598.95039846341</v>
      </c>
      <c r="AL144" s="113">
        <v>444459.34245917096</v>
      </c>
      <c r="AM144" s="113">
        <v>3226395.0944722835</v>
      </c>
      <c r="AN144" s="113">
        <v>10378867.669794856</v>
      </c>
      <c r="AO144" s="113">
        <v>15894044.580634002</v>
      </c>
      <c r="AP144" s="114">
        <v>18563465.647094749</v>
      </c>
      <c r="AQ144" s="113">
        <v>29604974.74471578</v>
      </c>
      <c r="AR144" s="113">
        <v>33448660.784626458</v>
      </c>
      <c r="AS144" s="113">
        <v>27187886.628995687</v>
      </c>
      <c r="AT144" s="113">
        <v>16143435.888399214</v>
      </c>
      <c r="AU144" s="113">
        <v>4794796.0314075351</v>
      </c>
      <c r="AV144" s="113">
        <v>758286.53195079218</v>
      </c>
      <c r="AW144" s="113">
        <v>429598.95039846341</v>
      </c>
      <c r="AX144" s="113">
        <v>444459.34245917096</v>
      </c>
      <c r="AY144" s="113">
        <v>3226395.0944722835</v>
      </c>
      <c r="AZ144" s="113">
        <v>10378867.669794856</v>
      </c>
      <c r="BA144" s="113">
        <v>15894044.580634002</v>
      </c>
      <c r="BB144" s="114">
        <v>18563465.647094749</v>
      </c>
      <c r="BC144" s="113">
        <v>29604974.74471578</v>
      </c>
      <c r="BD144" s="113">
        <v>33448660.784626458</v>
      </c>
      <c r="BE144" s="113">
        <v>27187886.628995687</v>
      </c>
      <c r="BF144" s="113">
        <v>16143435.888399214</v>
      </c>
      <c r="BG144" s="113">
        <v>4794796.0314075351</v>
      </c>
      <c r="BH144" s="113">
        <v>758286.53195079218</v>
      </c>
      <c r="BI144" s="113">
        <v>429598.95039846341</v>
      </c>
      <c r="BJ144" s="113">
        <v>519387.5764097115</v>
      </c>
      <c r="BK144" s="113">
        <v>444459.34245917096</v>
      </c>
      <c r="BL144" s="111">
        <v>564547.77191711043</v>
      </c>
      <c r="BM144" s="111">
        <v>1043179.0911571651</v>
      </c>
    </row>
    <row r="145" spans="1:65" ht="15.75" customHeight="1">
      <c r="A145" s="105" t="s">
        <v>50</v>
      </c>
      <c r="B145" s="105" t="s">
        <v>67</v>
      </c>
      <c r="C145" s="105" t="s">
        <v>68</v>
      </c>
      <c r="D145" s="105" t="s">
        <v>69</v>
      </c>
      <c r="E145" s="105" t="s">
        <v>78</v>
      </c>
      <c r="F145" s="106" t="s">
        <v>79</v>
      </c>
      <c r="G145" s="113">
        <v>160874871.89494899</v>
      </c>
      <c r="H145" s="113">
        <v>160874871.89494899</v>
      </c>
      <c r="I145" s="113">
        <v>160874871.89494899</v>
      </c>
      <c r="J145" s="113">
        <v>160874871.89494899</v>
      </c>
      <c r="K145" s="113">
        <v>160874871.89494899</v>
      </c>
      <c r="L145" s="113">
        <v>160874871.89494899</v>
      </c>
      <c r="M145" s="113">
        <v>160874871.89494899</v>
      </c>
      <c r="N145" s="113">
        <v>160874871.89494899</v>
      </c>
      <c r="O145" s="113">
        <v>160874871.89494899</v>
      </c>
      <c r="P145" s="114">
        <v>160874871.89494899</v>
      </c>
      <c r="Q145" s="113">
        <v>160874871.89494899</v>
      </c>
      <c r="R145" s="113">
        <v>160874871.89494899</v>
      </c>
      <c r="S145" s="113">
        <v>160874871.89494899</v>
      </c>
      <c r="T145" s="113">
        <v>160874871.89494899</v>
      </c>
      <c r="U145" s="113">
        <v>160874871.89494899</v>
      </c>
      <c r="V145" s="113">
        <v>160874871.89494899</v>
      </c>
      <c r="W145" s="113">
        <v>160874871.89494899</v>
      </c>
      <c r="X145" s="113">
        <v>160874871.89494899</v>
      </c>
      <c r="Y145" s="113">
        <v>160874871.89494899</v>
      </c>
      <c r="Z145" s="113">
        <v>160874871.89494899</v>
      </c>
      <c r="AA145" s="113">
        <v>160874871.89494899</v>
      </c>
      <c r="AB145" s="113">
        <v>160874871.89494899</v>
      </c>
      <c r="AC145" s="113">
        <v>160874871.89494899</v>
      </c>
      <c r="AD145" s="114">
        <v>160874871.89494899</v>
      </c>
      <c r="AE145" s="113">
        <v>160874871.89494899</v>
      </c>
      <c r="AF145" s="113">
        <v>160874871.89494899</v>
      </c>
      <c r="AG145" s="113">
        <v>160874871.89494899</v>
      </c>
      <c r="AH145" s="113">
        <v>160874871.89494899</v>
      </c>
      <c r="AI145" s="113">
        <v>160874871.89494899</v>
      </c>
      <c r="AJ145" s="113">
        <v>160874871.89494899</v>
      </c>
      <c r="AK145" s="113">
        <v>160874871.89494899</v>
      </c>
      <c r="AL145" s="113">
        <v>160874871.89494899</v>
      </c>
      <c r="AM145" s="113">
        <v>160874871.89494899</v>
      </c>
      <c r="AN145" s="113">
        <v>160874871.89494899</v>
      </c>
      <c r="AO145" s="113">
        <v>160874871.89494899</v>
      </c>
      <c r="AP145" s="114">
        <v>160874871.89494899</v>
      </c>
      <c r="AQ145" s="113">
        <v>160874871.89494899</v>
      </c>
      <c r="AR145" s="113">
        <v>160874871.89494899</v>
      </c>
      <c r="AS145" s="113">
        <v>160874871.89494899</v>
      </c>
      <c r="AT145" s="113">
        <v>160874871.89494899</v>
      </c>
      <c r="AU145" s="113">
        <v>160874871.89494899</v>
      </c>
      <c r="AV145" s="113">
        <v>160874871.89494899</v>
      </c>
      <c r="AW145" s="113">
        <v>160874871.89494899</v>
      </c>
      <c r="AX145" s="113">
        <v>160874871.89494899</v>
      </c>
      <c r="AY145" s="113">
        <v>160874871.89494899</v>
      </c>
      <c r="AZ145" s="113">
        <v>160874871.89494899</v>
      </c>
      <c r="BA145" s="113">
        <v>160874871.89494899</v>
      </c>
      <c r="BB145" s="114">
        <v>160874871.89494899</v>
      </c>
      <c r="BC145" s="113">
        <v>160874871.89494899</v>
      </c>
      <c r="BD145" s="113">
        <v>160874871.89494899</v>
      </c>
      <c r="BE145" s="113">
        <v>160874871.89494899</v>
      </c>
      <c r="BF145" s="113">
        <v>160874871.89494899</v>
      </c>
      <c r="BG145" s="113">
        <v>160874871.89494899</v>
      </c>
      <c r="BH145" s="113">
        <v>160874871.89494899</v>
      </c>
      <c r="BI145" s="113">
        <v>160874871.89494899</v>
      </c>
      <c r="BJ145" s="113">
        <v>164795797.84020001</v>
      </c>
      <c r="BK145" s="113">
        <v>160874871.89494899</v>
      </c>
      <c r="BL145" s="111">
        <v>164795797.84020001</v>
      </c>
      <c r="BM145" s="111">
        <v>164795797.84020001</v>
      </c>
    </row>
    <row r="146" spans="1:65" ht="15.75" customHeight="1">
      <c r="A146" s="105" t="s">
        <v>50</v>
      </c>
      <c r="B146" s="116" t="s">
        <v>67</v>
      </c>
      <c r="C146" s="105" t="s">
        <v>80</v>
      </c>
      <c r="D146" s="105" t="s">
        <v>77</v>
      </c>
      <c r="E146" s="116" t="s">
        <v>81</v>
      </c>
      <c r="F146" s="106" t="s">
        <v>82</v>
      </c>
      <c r="G146" s="113"/>
      <c r="H146" s="113"/>
      <c r="I146" s="113"/>
      <c r="J146" s="113"/>
      <c r="K146" s="113"/>
      <c r="L146" s="113"/>
      <c r="M146" s="113"/>
      <c r="N146" s="113"/>
      <c r="O146" s="113"/>
      <c r="P146" s="114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4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4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4"/>
      <c r="BC146" s="113"/>
      <c r="BD146" s="113"/>
      <c r="BE146" s="113"/>
      <c r="BF146" s="113"/>
      <c r="BG146" s="113"/>
      <c r="BH146" s="113"/>
      <c r="BI146" s="113"/>
      <c r="BJ146" s="120">
        <f>ROUND(-631068.142656571/160874871.894949,5)</f>
        <v>-3.9199999999999999E-3</v>
      </c>
      <c r="BK146" s="113"/>
      <c r="BL146" s="120">
        <v>-3.5799999999999998E-3</v>
      </c>
      <c r="BM146" s="120">
        <v>-3.1800000000000001E-3</v>
      </c>
    </row>
    <row r="147" spans="1:65" ht="15.75" customHeight="1">
      <c r="A147" s="105" t="s">
        <v>50</v>
      </c>
      <c r="B147" s="116" t="s">
        <v>67</v>
      </c>
      <c r="C147" s="105" t="s">
        <v>80</v>
      </c>
      <c r="D147" s="105" t="s">
        <v>77</v>
      </c>
      <c r="E147" s="116" t="s">
        <v>83</v>
      </c>
      <c r="F147" s="106" t="s">
        <v>82</v>
      </c>
      <c r="G147" s="113"/>
      <c r="H147" s="113"/>
      <c r="I147" s="113"/>
      <c r="J147" s="113"/>
      <c r="K147" s="113"/>
      <c r="L147" s="113"/>
      <c r="M147" s="113"/>
      <c r="N147" s="113"/>
      <c r="O147" s="113"/>
      <c r="P147" s="114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4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4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4"/>
      <c r="BC147" s="113"/>
      <c r="BD147" s="113"/>
      <c r="BE147" s="113"/>
      <c r="BF147" s="113"/>
      <c r="BG147" s="113"/>
      <c r="BH147" s="113"/>
      <c r="BI147" s="113"/>
      <c r="BJ147" s="120">
        <f>ROUND(367338.337380537/139102209.807,5)</f>
        <v>2.64E-3</v>
      </c>
      <c r="BK147" s="113"/>
      <c r="BL147" s="121">
        <f t="shared" ref="BL147:BM148" si="94">$BJ147</f>
        <v>2.64E-3</v>
      </c>
      <c r="BM147" s="121">
        <f t="shared" si="94"/>
        <v>2.64E-3</v>
      </c>
    </row>
    <row r="148" spans="1:65" ht="15.75" customHeight="1">
      <c r="A148" s="105" t="s">
        <v>50</v>
      </c>
      <c r="B148" s="116" t="s">
        <v>67</v>
      </c>
      <c r="C148" s="105" t="s">
        <v>80</v>
      </c>
      <c r="D148" s="105" t="s">
        <v>77</v>
      </c>
      <c r="E148" s="116" t="s">
        <v>84</v>
      </c>
      <c r="F148" s="106" t="s">
        <v>82</v>
      </c>
      <c r="G148" s="113"/>
      <c r="H148" s="113"/>
      <c r="I148" s="113"/>
      <c r="J148" s="113"/>
      <c r="K148" s="113"/>
      <c r="L148" s="113"/>
      <c r="M148" s="113"/>
      <c r="N148" s="113"/>
      <c r="O148" s="113"/>
      <c r="P148" s="114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4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4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4"/>
      <c r="BC148" s="113"/>
      <c r="BD148" s="113"/>
      <c r="BE148" s="113"/>
      <c r="BF148" s="113"/>
      <c r="BG148" s="113"/>
      <c r="BH148" s="113"/>
      <c r="BI148" s="113"/>
      <c r="BJ148" s="120">
        <f>ROUND(-508280.746492851/164795797.8402,5)</f>
        <v>-3.0799999999999998E-3</v>
      </c>
      <c r="BK148" s="113"/>
      <c r="BL148" s="121">
        <f t="shared" si="94"/>
        <v>-3.0799999999999998E-3</v>
      </c>
      <c r="BM148" s="121">
        <f t="shared" si="94"/>
        <v>-3.0799999999999998E-3</v>
      </c>
    </row>
    <row r="149" spans="1:65" ht="15.75" customHeight="1">
      <c r="A149" s="105"/>
      <c r="B149" s="105"/>
      <c r="C149" s="60"/>
      <c r="D149" s="60"/>
      <c r="E149" s="60"/>
      <c r="F149" s="106"/>
      <c r="G149" s="113"/>
      <c r="H149" s="113"/>
      <c r="I149" s="113"/>
      <c r="J149" s="113"/>
      <c r="K149" s="113"/>
      <c r="L149" s="113"/>
      <c r="M149" s="113"/>
      <c r="N149" s="113"/>
      <c r="O149" s="113"/>
      <c r="P149" s="114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4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4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4"/>
      <c r="BC149" s="113"/>
      <c r="BD149" s="113"/>
      <c r="BE149" s="113"/>
      <c r="BF149" s="113"/>
      <c r="BG149" s="113"/>
      <c r="BH149" s="113"/>
      <c r="BI149" s="113"/>
      <c r="BJ149" s="118"/>
      <c r="BK149" s="113"/>
      <c r="BL149" s="118"/>
      <c r="BM149" s="113"/>
    </row>
    <row r="150" spans="1:65" ht="15.75" customHeight="1">
      <c r="A150" s="105" t="s">
        <v>50</v>
      </c>
      <c r="B150" s="105" t="s">
        <v>51</v>
      </c>
      <c r="C150" s="105" t="s">
        <v>80</v>
      </c>
      <c r="D150" s="105" t="s">
        <v>77</v>
      </c>
      <c r="E150" s="105" t="s">
        <v>70</v>
      </c>
      <c r="F150" s="106" t="s">
        <v>76</v>
      </c>
      <c r="G150" s="124">
        <v>694.40306806172043</v>
      </c>
      <c r="H150" s="124">
        <v>4467.7867496819063</v>
      </c>
      <c r="I150" s="5">
        <v>5173</v>
      </c>
      <c r="J150" s="5">
        <v>5157</v>
      </c>
      <c r="K150" s="5">
        <v>5150</v>
      </c>
      <c r="L150" s="5">
        <v>5148</v>
      </c>
      <c r="M150" s="5">
        <v>5149</v>
      </c>
      <c r="N150" s="5">
        <v>5151</v>
      </c>
      <c r="O150" s="5">
        <v>5176</v>
      </c>
      <c r="P150" s="48">
        <v>5191</v>
      </c>
      <c r="Q150" s="5">
        <v>5185</v>
      </c>
      <c r="R150" s="5">
        <v>5192</v>
      </c>
      <c r="S150" s="124">
        <v>4265.7000000000016</v>
      </c>
      <c r="T150" s="124">
        <v>914.30000000000007</v>
      </c>
      <c r="U150" s="124">
        <v>488.23333333333335</v>
      </c>
      <c r="V150" s="124">
        <v>4689.7666666666673</v>
      </c>
      <c r="W150" s="5">
        <v>5170</v>
      </c>
      <c r="X150" s="5">
        <v>5162</v>
      </c>
      <c r="Y150" s="5">
        <v>5154</v>
      </c>
      <c r="Z150" s="5">
        <v>5156</v>
      </c>
      <c r="AA150" s="5">
        <v>5148</v>
      </c>
      <c r="AB150" s="5">
        <v>5168</v>
      </c>
      <c r="AC150" s="5">
        <v>5174</v>
      </c>
      <c r="AD150" s="48">
        <v>5184</v>
      </c>
      <c r="AE150" s="5">
        <v>5190</v>
      </c>
      <c r="AF150" s="5">
        <v>5192</v>
      </c>
      <c r="AG150" s="5">
        <v>5188</v>
      </c>
      <c r="AH150" s="5">
        <v>5176</v>
      </c>
      <c r="AI150" s="5">
        <v>5165</v>
      </c>
      <c r="AJ150" s="5">
        <v>5152</v>
      </c>
      <c r="AK150" s="5">
        <v>5142</v>
      </c>
      <c r="AL150" s="5">
        <v>5139</v>
      </c>
      <c r="AM150" s="5">
        <v>5137</v>
      </c>
      <c r="AN150" s="5">
        <v>5150</v>
      </c>
      <c r="AO150" s="5">
        <v>5158</v>
      </c>
      <c r="AP150" s="48">
        <v>5173</v>
      </c>
      <c r="AQ150" s="5">
        <v>5180</v>
      </c>
      <c r="AR150" s="5">
        <v>5185</v>
      </c>
      <c r="AS150" s="5">
        <v>5173</v>
      </c>
      <c r="AT150" s="5">
        <v>5183</v>
      </c>
      <c r="AU150" s="5">
        <v>5165</v>
      </c>
      <c r="AV150" s="5">
        <v>5155</v>
      </c>
      <c r="AW150" s="5">
        <v>5148</v>
      </c>
      <c r="AX150" s="5">
        <v>5148</v>
      </c>
      <c r="AY150" s="5">
        <v>5140</v>
      </c>
      <c r="AZ150" s="5">
        <v>5150</v>
      </c>
      <c r="BA150" s="5">
        <v>5160</v>
      </c>
      <c r="BB150" s="48">
        <v>5168</v>
      </c>
      <c r="BC150" s="5">
        <v>5171</v>
      </c>
      <c r="BD150" s="5">
        <v>5173</v>
      </c>
      <c r="BE150" s="5">
        <v>5172</v>
      </c>
      <c r="BF150" s="5">
        <v>5170</v>
      </c>
      <c r="BG150" s="5">
        <v>5159</v>
      </c>
      <c r="BH150" s="5">
        <v>5142</v>
      </c>
      <c r="BI150" s="5">
        <v>3068.954441687345</v>
      </c>
      <c r="BJ150" s="58">
        <v>2074.045558312655</v>
      </c>
      <c r="BK150" s="58">
        <v>175.88764365764865</v>
      </c>
      <c r="BL150" s="58">
        <v>4959.1123563423516</v>
      </c>
      <c r="BM150" s="5">
        <v>5144</v>
      </c>
    </row>
    <row r="151" spans="1:65" ht="15.75" customHeight="1">
      <c r="A151" s="105" t="s">
        <v>50</v>
      </c>
      <c r="B151" s="105" t="s">
        <v>51</v>
      </c>
      <c r="C151" s="105" t="s">
        <v>80</v>
      </c>
      <c r="D151" s="105" t="s">
        <v>77</v>
      </c>
      <c r="E151" s="105" t="s">
        <v>74</v>
      </c>
      <c r="F151" s="106" t="s">
        <v>71</v>
      </c>
      <c r="G151" s="5">
        <f t="shared" ref="G151:BM151" si="95">G142/G143*G144/G145*G150</f>
        <v>203749.76916730066</v>
      </c>
      <c r="H151" s="5">
        <f t="shared" si="95"/>
        <v>778392.16023739078</v>
      </c>
      <c r="I151" s="5">
        <f t="shared" si="95"/>
        <v>267684.15186018654</v>
      </c>
      <c r="J151" s="5">
        <f t="shared" si="95"/>
        <v>42202.727335590127</v>
      </c>
      <c r="K151" s="5">
        <f t="shared" si="95"/>
        <v>23877.039878338674</v>
      </c>
      <c r="L151" s="5">
        <f t="shared" si="95"/>
        <v>24693.384665588648</v>
      </c>
      <c r="M151" s="5">
        <f t="shared" si="95"/>
        <v>179287.6953436108</v>
      </c>
      <c r="N151" s="5">
        <f t="shared" si="95"/>
        <v>576967.78995660576</v>
      </c>
      <c r="O151" s="5">
        <f t="shared" si="95"/>
        <v>887848.24094761256</v>
      </c>
      <c r="P151" s="48">
        <f t="shared" si="95"/>
        <v>1039968.3722927955</v>
      </c>
      <c r="Q151" s="5">
        <f t="shared" si="95"/>
        <v>1656622.2870433235</v>
      </c>
      <c r="R151" s="5">
        <f t="shared" si="95"/>
        <v>1874232.4897627519</v>
      </c>
      <c r="S151" s="5">
        <f t="shared" si="95"/>
        <v>1251629.5366651572</v>
      </c>
      <c r="T151" s="5">
        <f t="shared" si="95"/>
        <v>277737.94879635744</v>
      </c>
      <c r="U151" s="5">
        <f t="shared" si="95"/>
        <v>85061.579776674218</v>
      </c>
      <c r="V151" s="5">
        <f t="shared" si="95"/>
        <v>845898.51486205601</v>
      </c>
      <c r="W151" s="5">
        <f t="shared" si="95"/>
        <v>276969.36414541584</v>
      </c>
      <c r="X151" s="5">
        <f t="shared" si="95"/>
        <v>43734.321818851728</v>
      </c>
      <c r="Y151" s="5">
        <f t="shared" si="95"/>
        <v>24738.802845585997</v>
      </c>
      <c r="Z151" s="5">
        <f t="shared" si="95"/>
        <v>25604.482452677119</v>
      </c>
      <c r="AA151" s="5">
        <f t="shared" si="95"/>
        <v>185578.27802688189</v>
      </c>
      <c r="AB151" s="5">
        <f t="shared" si="95"/>
        <v>599298.97294981044</v>
      </c>
      <c r="AC151" s="5">
        <f t="shared" si="95"/>
        <v>918823.0993529479</v>
      </c>
      <c r="AD151" s="48">
        <f t="shared" si="95"/>
        <v>1075214.4819846498</v>
      </c>
      <c r="AE151" s="5">
        <f t="shared" si="95"/>
        <v>1716734.3874644544</v>
      </c>
      <c r="AF151" s="5">
        <f t="shared" si="95"/>
        <v>1940369.6438499813</v>
      </c>
      <c r="AG151" s="5">
        <f t="shared" si="95"/>
        <v>1575964.6487536938</v>
      </c>
      <c r="AH151" s="5">
        <f t="shared" si="95"/>
        <v>933600.97082143417</v>
      </c>
      <c r="AI151" s="5">
        <f t="shared" si="95"/>
        <v>276701.50209111662</v>
      </c>
      <c r="AJ151" s="5">
        <f t="shared" si="95"/>
        <v>43649.598219822568</v>
      </c>
      <c r="AK151" s="5">
        <f t="shared" si="95"/>
        <v>24681.203770276134</v>
      </c>
      <c r="AL151" s="5">
        <f t="shared" si="95"/>
        <v>25520.061156770309</v>
      </c>
      <c r="AM151" s="5">
        <f t="shared" si="95"/>
        <v>185181.74324477318</v>
      </c>
      <c r="AN151" s="5">
        <f t="shared" si="95"/>
        <v>597211.63132575923</v>
      </c>
      <c r="AO151" s="5">
        <f t="shared" si="95"/>
        <v>915981.74458107958</v>
      </c>
      <c r="AP151" s="48">
        <f t="shared" si="95"/>
        <v>1072932.9697736483</v>
      </c>
      <c r="AQ151" s="5">
        <f t="shared" si="95"/>
        <v>1713426.614078203</v>
      </c>
      <c r="AR151" s="5">
        <f t="shared" si="95"/>
        <v>1937753.5830820787</v>
      </c>
      <c r="AS151" s="5">
        <f t="shared" si="95"/>
        <v>1571408.0817276132</v>
      </c>
      <c r="AT151" s="5">
        <f t="shared" si="95"/>
        <v>934863.56873405969</v>
      </c>
      <c r="AU151" s="5">
        <f t="shared" si="95"/>
        <v>276701.50209111662</v>
      </c>
      <c r="AV151" s="5">
        <f t="shared" si="95"/>
        <v>43675.015299531311</v>
      </c>
      <c r="AW151" s="5">
        <f t="shared" si="95"/>
        <v>24710.003307931063</v>
      </c>
      <c r="AX151" s="5">
        <f t="shared" si="95"/>
        <v>25564.754784015091</v>
      </c>
      <c r="AY151" s="5">
        <f t="shared" si="95"/>
        <v>185289.88909443919</v>
      </c>
      <c r="AZ151" s="5">
        <f t="shared" si="95"/>
        <v>597211.63132575923</v>
      </c>
      <c r="BA151" s="5">
        <f t="shared" si="95"/>
        <v>916336.91392756312</v>
      </c>
      <c r="BB151" s="48">
        <f t="shared" si="95"/>
        <v>1071895.9187686478</v>
      </c>
      <c r="BC151" s="5">
        <f t="shared" si="95"/>
        <v>1710449.6180305767</v>
      </c>
      <c r="BD151" s="5">
        <f t="shared" si="95"/>
        <v>1933268.9074799602</v>
      </c>
      <c r="BE151" s="5">
        <f t="shared" si="95"/>
        <v>1571104.3105925412</v>
      </c>
      <c r="BF151" s="5">
        <f t="shared" si="95"/>
        <v>932518.7440391836</v>
      </c>
      <c r="BG151" s="5">
        <f t="shared" si="95"/>
        <v>276380.06762595748</v>
      </c>
      <c r="BH151" s="5">
        <f t="shared" si="95"/>
        <v>43564.874620793409</v>
      </c>
      <c r="BI151" s="5">
        <f t="shared" si="95"/>
        <v>14730.744834107232</v>
      </c>
      <c r="BJ151" s="58">
        <f t="shared" si="95"/>
        <v>13716.480879621917</v>
      </c>
      <c r="BK151" s="58">
        <f t="shared" si="95"/>
        <v>873.45075362199202</v>
      </c>
      <c r="BL151" s="58">
        <f t="shared" si="95"/>
        <v>35648.191249216252</v>
      </c>
      <c r="BM151" s="5">
        <f t="shared" si="95"/>
        <v>68327.052586265811</v>
      </c>
    </row>
    <row r="152" spans="1:65" ht="15.75" customHeight="1">
      <c r="A152" s="105" t="s">
        <v>50</v>
      </c>
      <c r="B152" s="105" t="s">
        <v>51</v>
      </c>
      <c r="C152" s="105" t="s">
        <v>80</v>
      </c>
      <c r="D152" s="105" t="s">
        <v>77</v>
      </c>
      <c r="E152" s="105" t="s">
        <v>70</v>
      </c>
      <c r="F152" s="106" t="s">
        <v>79</v>
      </c>
      <c r="G152" s="124">
        <v>4498887.8</v>
      </c>
      <c r="H152" s="124">
        <v>15202879.999999998</v>
      </c>
      <c r="I152" s="5">
        <v>6552881</v>
      </c>
      <c r="J152" s="5">
        <v>2133759</v>
      </c>
      <c r="K152" s="5">
        <v>471667</v>
      </c>
      <c r="L152" s="5">
        <v>448340</v>
      </c>
      <c r="M152" s="5">
        <v>1569055</v>
      </c>
      <c r="N152" s="5">
        <v>1831419</v>
      </c>
      <c r="O152" s="5">
        <v>8216047</v>
      </c>
      <c r="P152" s="48">
        <v>19520591</v>
      </c>
      <c r="Q152" s="5">
        <v>29992057</v>
      </c>
      <c r="R152" s="5">
        <v>35577002</v>
      </c>
      <c r="S152" s="124">
        <v>23267490.850545812</v>
      </c>
      <c r="T152" s="124">
        <v>7205570.8793226173</v>
      </c>
      <c r="U152" s="124">
        <v>1124030.1128839722</v>
      </c>
      <c r="V152" s="124">
        <v>14032001.107915206</v>
      </c>
      <c r="W152" s="5">
        <v>8722390</v>
      </c>
      <c r="X152" s="5">
        <v>1705305</v>
      </c>
      <c r="Y152" s="5">
        <v>597557</v>
      </c>
      <c r="Z152" s="5">
        <v>536180</v>
      </c>
      <c r="AA152" s="5">
        <v>1202404</v>
      </c>
      <c r="AB152" s="5">
        <v>4023306</v>
      </c>
      <c r="AC152" s="5">
        <v>12343908</v>
      </c>
      <c r="AD152" s="48">
        <v>24461792</v>
      </c>
      <c r="AE152" s="5">
        <v>32913365</v>
      </c>
      <c r="AF152" s="5">
        <v>34471257</v>
      </c>
      <c r="AG152" s="5">
        <v>29435733</v>
      </c>
      <c r="AH152" s="5">
        <v>17986284</v>
      </c>
      <c r="AI152" s="5">
        <v>6790540</v>
      </c>
      <c r="AJ152" s="5">
        <v>1801228</v>
      </c>
      <c r="AK152" s="5">
        <v>516275</v>
      </c>
      <c r="AL152" s="5">
        <v>385374</v>
      </c>
      <c r="AM152" s="5">
        <v>664105</v>
      </c>
      <c r="AN152" s="5">
        <v>2198928</v>
      </c>
      <c r="AO152" s="5">
        <v>11827960</v>
      </c>
      <c r="AP152" s="48">
        <v>19507102</v>
      </c>
      <c r="AQ152" s="5">
        <v>33728980</v>
      </c>
      <c r="AR152" s="5">
        <v>34007335</v>
      </c>
      <c r="AS152" s="5">
        <v>29146299</v>
      </c>
      <c r="AT152" s="5">
        <v>13987606</v>
      </c>
      <c r="AU152" s="5">
        <v>7123051</v>
      </c>
      <c r="AV152" s="5">
        <v>1696289</v>
      </c>
      <c r="AW152" s="5">
        <v>613380</v>
      </c>
      <c r="AX152" s="5">
        <v>534821</v>
      </c>
      <c r="AY152" s="5">
        <v>2607709</v>
      </c>
      <c r="AZ152" s="5">
        <v>8136764</v>
      </c>
      <c r="BA152" s="5">
        <v>16311791</v>
      </c>
      <c r="BB152" s="48">
        <v>20483882</v>
      </c>
      <c r="BC152" s="5">
        <v>31341813</v>
      </c>
      <c r="BD152" s="5">
        <v>36683288</v>
      </c>
      <c r="BE152" s="5">
        <v>29873791</v>
      </c>
      <c r="BF152" s="5">
        <v>19810391</v>
      </c>
      <c r="BG152" s="5">
        <v>8144562</v>
      </c>
      <c r="BH152" s="5">
        <v>1995703</v>
      </c>
      <c r="BI152" s="5">
        <v>282564</v>
      </c>
      <c r="BJ152" s="58">
        <v>190961</v>
      </c>
      <c r="BK152" s="58">
        <v>18714</v>
      </c>
      <c r="BL152" s="58">
        <v>527637</v>
      </c>
      <c r="BM152" s="5">
        <v>1195867</v>
      </c>
    </row>
    <row r="153" spans="1:65" ht="15.75" customHeight="1">
      <c r="A153" s="105" t="s">
        <v>50</v>
      </c>
      <c r="B153" s="105" t="s">
        <v>51</v>
      </c>
      <c r="C153" s="105" t="s">
        <v>80</v>
      </c>
      <c r="D153" s="105" t="s">
        <v>77</v>
      </c>
      <c r="E153" s="105" t="s">
        <v>70</v>
      </c>
      <c r="F153" s="106" t="s">
        <v>71</v>
      </c>
      <c r="G153" s="5"/>
      <c r="H153" s="5"/>
      <c r="I153" s="5"/>
      <c r="J153" s="5"/>
      <c r="K153" s="5"/>
      <c r="L153" s="5"/>
      <c r="M153" s="5"/>
      <c r="N153" s="5"/>
      <c r="O153" s="5"/>
      <c r="P153" s="48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48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48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48"/>
      <c r="BC153" s="5"/>
      <c r="BD153" s="5"/>
      <c r="BE153" s="5"/>
      <c r="BF153" s="5"/>
      <c r="BG153" s="5"/>
      <c r="BH153" s="5"/>
      <c r="BI153" s="58"/>
      <c r="BJ153" s="58">
        <v>13161.208351364767</v>
      </c>
      <c r="BK153" s="58"/>
      <c r="BL153" s="58">
        <v>35483.554690281526</v>
      </c>
      <c r="BM153" s="58">
        <v>80419.759999999995</v>
      </c>
    </row>
    <row r="154" spans="1:65" ht="15.75" customHeight="1">
      <c r="A154" s="105" t="s">
        <v>50</v>
      </c>
      <c r="B154" s="105" t="s">
        <v>51</v>
      </c>
      <c r="C154" s="105" t="s">
        <v>80</v>
      </c>
      <c r="D154" s="105" t="s">
        <v>77</v>
      </c>
      <c r="E154" s="116" t="s">
        <v>81</v>
      </c>
      <c r="F154" s="106" t="s">
        <v>71</v>
      </c>
      <c r="G154" s="5"/>
      <c r="H154" s="5"/>
      <c r="I154" s="5"/>
      <c r="J154" s="5"/>
      <c r="K154" s="5"/>
      <c r="L154" s="5"/>
      <c r="M154" s="5"/>
      <c r="N154" s="5"/>
      <c r="O154" s="5"/>
      <c r="P154" s="48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48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48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48"/>
      <c r="BC154" s="5"/>
      <c r="BD154" s="5"/>
      <c r="BE154" s="5"/>
      <c r="BF154" s="5"/>
      <c r="BG154" s="5"/>
      <c r="BH154" s="5"/>
      <c r="BI154" s="5"/>
      <c r="BJ154" s="122">
        <f>BJ152*BJ146</f>
        <v>-748.56711999999993</v>
      </c>
      <c r="BK154" s="122"/>
      <c r="BL154" s="122">
        <f t="shared" ref="BL154:BM154" si="96">BL152*BL146</f>
        <v>-1888.94046</v>
      </c>
      <c r="BM154" s="122">
        <f t="shared" si="96"/>
        <v>-3802.8570600000003</v>
      </c>
    </row>
    <row r="155" spans="1:65" ht="15.75" customHeight="1">
      <c r="A155" s="105" t="s">
        <v>50</v>
      </c>
      <c r="B155" s="105" t="s">
        <v>51</v>
      </c>
      <c r="C155" s="105" t="s">
        <v>80</v>
      </c>
      <c r="D155" s="105" t="s">
        <v>77</v>
      </c>
      <c r="E155" s="116" t="s">
        <v>83</v>
      </c>
      <c r="F155" s="106" t="s">
        <v>71</v>
      </c>
      <c r="G155" s="5"/>
      <c r="H155" s="5"/>
      <c r="I155" s="5"/>
      <c r="J155" s="5"/>
      <c r="K155" s="5"/>
      <c r="L155" s="5"/>
      <c r="M155" s="5"/>
      <c r="N155" s="5"/>
      <c r="O155" s="5"/>
      <c r="P155" s="48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48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48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48"/>
      <c r="BC155" s="5"/>
      <c r="BD155" s="5"/>
      <c r="BE155" s="5"/>
      <c r="BF155" s="5"/>
      <c r="BG155" s="5"/>
      <c r="BH155" s="5"/>
      <c r="BI155" s="5"/>
      <c r="BJ155" s="122">
        <f>BJ152*BJ147</f>
        <v>504.13704000000001</v>
      </c>
      <c r="BK155" s="122"/>
      <c r="BL155" s="122">
        <f t="shared" ref="BL155:BM155" si="97">BL152*BL147</f>
        <v>1392.9616799999999</v>
      </c>
      <c r="BM155" s="122">
        <f t="shared" si="97"/>
        <v>3157.0888799999998</v>
      </c>
    </row>
    <row r="156" spans="1:65" ht="15.75" customHeight="1">
      <c r="A156" s="105" t="s">
        <v>50</v>
      </c>
      <c r="B156" s="105" t="s">
        <v>51</v>
      </c>
      <c r="C156" s="105" t="s">
        <v>80</v>
      </c>
      <c r="D156" s="105" t="s">
        <v>77</v>
      </c>
      <c r="E156" s="116" t="s">
        <v>84</v>
      </c>
      <c r="F156" s="106" t="s">
        <v>71</v>
      </c>
      <c r="G156" s="5"/>
      <c r="H156" s="5"/>
      <c r="I156" s="5"/>
      <c r="J156" s="5"/>
      <c r="K156" s="5"/>
      <c r="L156" s="5"/>
      <c r="M156" s="5"/>
      <c r="N156" s="5"/>
      <c r="O156" s="5"/>
      <c r="P156" s="48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48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48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48"/>
      <c r="BC156" s="5"/>
      <c r="BD156" s="5"/>
      <c r="BE156" s="5"/>
      <c r="BF156" s="5"/>
      <c r="BG156" s="5"/>
      <c r="BH156" s="5"/>
      <c r="BI156" s="5"/>
      <c r="BJ156" s="122">
        <f>BJ152*BJ148</f>
        <v>-588.15987999999993</v>
      </c>
      <c r="BK156" s="122"/>
      <c r="BL156" s="122">
        <f t="shared" ref="BL156:BM156" si="98">BL152*BL148</f>
        <v>-1625.1219599999999</v>
      </c>
      <c r="BM156" s="122">
        <f t="shared" si="98"/>
        <v>-3683.27036</v>
      </c>
    </row>
    <row r="157" spans="1:65" ht="15.75" customHeight="1">
      <c r="A157" s="105" t="s">
        <v>50</v>
      </c>
      <c r="B157" s="105" t="s">
        <v>51</v>
      </c>
      <c r="C157" s="105" t="s">
        <v>80</v>
      </c>
      <c r="D157" s="105" t="s">
        <v>77</v>
      </c>
      <c r="E157" s="105" t="s">
        <v>72</v>
      </c>
      <c r="F157" s="106" t="s">
        <v>71</v>
      </c>
      <c r="G157" s="5"/>
      <c r="H157" s="5"/>
      <c r="I157" s="5"/>
      <c r="J157" s="5"/>
      <c r="K157" s="5"/>
      <c r="L157" s="5"/>
      <c r="M157" s="5"/>
      <c r="N157" s="5"/>
      <c r="O157" s="5"/>
      <c r="P157" s="48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48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48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48"/>
      <c r="BC157" s="5"/>
      <c r="BD157" s="5"/>
      <c r="BE157" s="5"/>
      <c r="BF157" s="5"/>
      <c r="BG157" s="5"/>
      <c r="BH157" s="5"/>
      <c r="BI157" s="5"/>
      <c r="BJ157" s="58">
        <f>BJ140/BJ143/12*BJ150</f>
        <v>13143.498838639329</v>
      </c>
      <c r="BK157" s="58"/>
      <c r="BL157" s="58">
        <f t="shared" ref="BL157:BM157" si="99">BL140/BL143/12*BL150</f>
        <v>31426.5456874993</v>
      </c>
      <c r="BM157" s="58">
        <f t="shared" si="99"/>
        <v>32598.202944473949</v>
      </c>
    </row>
    <row r="158" spans="1:65" ht="15.75" customHeight="1">
      <c r="A158" s="105" t="s">
        <v>50</v>
      </c>
      <c r="B158" s="105" t="s">
        <v>51</v>
      </c>
      <c r="C158" s="105" t="s">
        <v>80</v>
      </c>
      <c r="D158" s="105" t="s">
        <v>77</v>
      </c>
      <c r="E158" s="105" t="s">
        <v>73</v>
      </c>
      <c r="F158" s="106" t="s">
        <v>71</v>
      </c>
      <c r="G158" s="5"/>
      <c r="H158" s="5"/>
      <c r="I158" s="5"/>
      <c r="J158" s="5"/>
      <c r="K158" s="5"/>
      <c r="L158" s="5"/>
      <c r="M158" s="5"/>
      <c r="N158" s="5"/>
      <c r="O158" s="5"/>
      <c r="P158" s="48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48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48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48"/>
      <c r="BC158" s="5"/>
      <c r="BD158" s="5"/>
      <c r="BE158" s="5"/>
      <c r="BF158" s="5"/>
      <c r="BG158" s="5"/>
      <c r="BH158" s="5"/>
      <c r="BI158" s="125"/>
      <c r="BJ158" s="58">
        <f>BJ141/BJ145*BJ152</f>
        <v>4652.0986366872485</v>
      </c>
      <c r="BK158" s="58"/>
      <c r="BL158" s="58">
        <f t="shared" ref="BL158:BM158" si="100">BL141/BL145*BL152</f>
        <v>12854.034951459982</v>
      </c>
      <c r="BM158" s="58">
        <f t="shared" si="100"/>
        <v>29133.127918052742</v>
      </c>
    </row>
    <row r="159" spans="1:65" ht="15.75" customHeight="1">
      <c r="A159" s="105" t="s">
        <v>50</v>
      </c>
      <c r="B159" s="105" t="s">
        <v>51</v>
      </c>
      <c r="C159" s="105" t="s">
        <v>80</v>
      </c>
      <c r="D159" s="105" t="s">
        <v>77</v>
      </c>
      <c r="E159" s="105" t="s">
        <v>88</v>
      </c>
      <c r="F159" s="106" t="s">
        <v>71</v>
      </c>
      <c r="G159" s="122">
        <f t="shared" ref="G159:BI159" si="101">G142/G145*G152</f>
        <v>253685.41847852035</v>
      </c>
      <c r="H159" s="122">
        <f t="shared" si="101"/>
        <v>857267.20610341232</v>
      </c>
      <c r="I159" s="122">
        <f t="shared" si="101"/>
        <v>369506.96097043029</v>
      </c>
      <c r="J159" s="122">
        <f t="shared" si="101"/>
        <v>120319.41424440706</v>
      </c>
      <c r="K159" s="122">
        <f t="shared" si="101"/>
        <v>26596.582443667136</v>
      </c>
      <c r="L159" s="122">
        <f t="shared" si="101"/>
        <v>25281.208506835806</v>
      </c>
      <c r="M159" s="122">
        <f t="shared" si="101"/>
        <v>88476.617329913133</v>
      </c>
      <c r="N159" s="122">
        <f t="shared" si="101"/>
        <v>103270.92296556347</v>
      </c>
      <c r="O159" s="122">
        <f t="shared" si="101"/>
        <v>463290.35399242275</v>
      </c>
      <c r="P159" s="126">
        <f t="shared" si="101"/>
        <v>1100736.3412759567</v>
      </c>
      <c r="Q159" s="122">
        <f t="shared" si="101"/>
        <v>1691206.3312796191</v>
      </c>
      <c r="R159" s="122">
        <f t="shared" si="101"/>
        <v>2006132.8581213241</v>
      </c>
      <c r="S159" s="122">
        <f t="shared" si="101"/>
        <v>1312018.3066947921</v>
      </c>
      <c r="T159" s="122">
        <f t="shared" si="101"/>
        <v>420648.88994128606</v>
      </c>
      <c r="U159" s="122">
        <f t="shared" si="101"/>
        <v>63382.342980287038</v>
      </c>
      <c r="V159" s="122">
        <f t="shared" si="101"/>
        <v>819164.19788994081</v>
      </c>
      <c r="W159" s="122">
        <f t="shared" si="101"/>
        <v>509198.19297924888</v>
      </c>
      <c r="X159" s="122">
        <f t="shared" si="101"/>
        <v>99552.785931204402</v>
      </c>
      <c r="Y159" s="122">
        <f t="shared" si="101"/>
        <v>34884.354471893712</v>
      </c>
      <c r="Z159" s="122">
        <f t="shared" si="101"/>
        <v>31301.270306832605</v>
      </c>
      <c r="AA159" s="122">
        <f t="shared" si="101"/>
        <v>70194.286661227117</v>
      </c>
      <c r="AB159" s="122">
        <f t="shared" si="101"/>
        <v>234873.71523201437</v>
      </c>
      <c r="AC159" s="122">
        <f t="shared" si="101"/>
        <v>720616.21274697571</v>
      </c>
      <c r="AD159" s="126">
        <f t="shared" si="101"/>
        <v>1428037.5313915389</v>
      </c>
      <c r="AE159" s="122">
        <f t="shared" si="101"/>
        <v>1921425.8916267739</v>
      </c>
      <c r="AF159" s="122">
        <f t="shared" si="101"/>
        <v>2012372.9590311009</v>
      </c>
      <c r="AG159" s="122">
        <f t="shared" si="101"/>
        <v>1718407.6901651546</v>
      </c>
      <c r="AH159" s="122">
        <f t="shared" si="101"/>
        <v>1050008.4622691229</v>
      </c>
      <c r="AI159" s="122">
        <f t="shared" si="101"/>
        <v>396420.09785773262</v>
      </c>
      <c r="AJ159" s="122">
        <f t="shared" si="101"/>
        <v>105152.60642365526</v>
      </c>
      <c r="AK159" s="122">
        <f t="shared" si="101"/>
        <v>30139.250489872811</v>
      </c>
      <c r="AL159" s="122">
        <f t="shared" si="101"/>
        <v>22497.474249739469</v>
      </c>
      <c r="AM159" s="122">
        <f t="shared" si="101"/>
        <v>38769.312762727197</v>
      </c>
      <c r="AN159" s="122">
        <f t="shared" si="101"/>
        <v>128369.65144776533</v>
      </c>
      <c r="AO159" s="122">
        <f t="shared" si="101"/>
        <v>690496.05195718561</v>
      </c>
      <c r="AP159" s="126">
        <f t="shared" si="101"/>
        <v>1138791.2130347178</v>
      </c>
      <c r="AQ159" s="122">
        <f t="shared" si="101"/>
        <v>1969040.0987611453</v>
      </c>
      <c r="AR159" s="122">
        <f t="shared" si="101"/>
        <v>1985289.9870379523</v>
      </c>
      <c r="AS159" s="122">
        <f t="shared" si="101"/>
        <v>1701511.0288387572</v>
      </c>
      <c r="AT159" s="122">
        <f t="shared" si="101"/>
        <v>816572.48750694469</v>
      </c>
      <c r="AU159" s="122">
        <f t="shared" si="101"/>
        <v>415831.52068401338</v>
      </c>
      <c r="AV159" s="122">
        <f t="shared" si="101"/>
        <v>99026.447289169257</v>
      </c>
      <c r="AW159" s="122">
        <f t="shared" si="101"/>
        <v>35808.074118402372</v>
      </c>
      <c r="AX159" s="122">
        <f t="shared" si="101"/>
        <v>31221.934213828419</v>
      </c>
      <c r="AY159" s="122">
        <f t="shared" si="101"/>
        <v>152233.58627804124</v>
      </c>
      <c r="AZ159" s="122">
        <f t="shared" si="101"/>
        <v>475010.34985807847</v>
      </c>
      <c r="BA159" s="122">
        <f t="shared" si="101"/>
        <v>952254.42813898192</v>
      </c>
      <c r="BB159" s="126">
        <f t="shared" si="101"/>
        <v>1195813.9569086181</v>
      </c>
      <c r="BC159" s="122">
        <f t="shared" si="101"/>
        <v>1829681.3768122648</v>
      </c>
      <c r="BD159" s="122">
        <f t="shared" si="101"/>
        <v>2141507.5411827909</v>
      </c>
      <c r="BE159" s="122">
        <f t="shared" si="101"/>
        <v>1743980.766124852</v>
      </c>
      <c r="BF159" s="122">
        <f t="shared" si="101"/>
        <v>1156496.7055374014</v>
      </c>
      <c r="BG159" s="122">
        <f t="shared" si="101"/>
        <v>475465.5837456772</v>
      </c>
      <c r="BH159" s="122">
        <f t="shared" si="101"/>
        <v>116505.72392695877</v>
      </c>
      <c r="BI159" s="122">
        <f t="shared" si="101"/>
        <v>16495.602489797919</v>
      </c>
      <c r="BJ159" s="122">
        <f>BJ153-BJ154-BJ155-BJ156-BJ157-BJ158</f>
        <v>-3801.7991639618112</v>
      </c>
      <c r="BK159" s="122">
        <f>BK142/BK145*BK152</f>
        <v>1092.4912762916658</v>
      </c>
      <c r="BL159" s="122">
        <f>BL153-BL154-BL155-BL156-BL157-BL158</f>
        <v>-6675.9252086777615</v>
      </c>
      <c r="BM159" s="122">
        <f t="shared" ref="BM159" si="102">BM153-BM154-BM155-BM156-BM157-BM158</f>
        <v>23017.467677473302</v>
      </c>
    </row>
    <row r="160" spans="1:65" ht="15.75" customHeight="1" thickBot="1">
      <c r="A160" s="127" t="s">
        <v>50</v>
      </c>
      <c r="B160" s="127" t="s">
        <v>51</v>
      </c>
      <c r="C160" s="127" t="s">
        <v>80</v>
      </c>
      <c r="D160" s="127" t="s">
        <v>77</v>
      </c>
      <c r="E160" s="127" t="s">
        <v>10</v>
      </c>
      <c r="F160" s="128" t="s">
        <v>71</v>
      </c>
      <c r="G160" s="129">
        <f>G159-G151</f>
        <v>49935.649311219691</v>
      </c>
      <c r="H160" s="129">
        <f t="shared" ref="H160:BH160" si="103">H159-H151</f>
        <v>78875.045866021537</v>
      </c>
      <c r="I160" s="129">
        <f t="shared" si="103"/>
        <v>101822.80911024375</v>
      </c>
      <c r="J160" s="129">
        <f t="shared" si="103"/>
        <v>78116.686908816933</v>
      </c>
      <c r="K160" s="129">
        <f t="shared" si="103"/>
        <v>2719.5425653284619</v>
      </c>
      <c r="L160" s="129">
        <f t="shared" si="103"/>
        <v>587.82384124715827</v>
      </c>
      <c r="M160" s="129">
        <f t="shared" si="103"/>
        <v>-90811.078013697668</v>
      </c>
      <c r="N160" s="129">
        <f t="shared" si="103"/>
        <v>-473696.86699104228</v>
      </c>
      <c r="O160" s="129">
        <f t="shared" si="103"/>
        <v>-424557.88695518981</v>
      </c>
      <c r="P160" s="130">
        <f t="shared" si="103"/>
        <v>60767.968983161263</v>
      </c>
      <c r="Q160" s="129">
        <f t="shared" si="103"/>
        <v>34584.044236295624</v>
      </c>
      <c r="R160" s="129">
        <f t="shared" si="103"/>
        <v>131900.36835857225</v>
      </c>
      <c r="S160" s="129">
        <f t="shared" si="103"/>
        <v>60388.770029634936</v>
      </c>
      <c r="T160" s="129">
        <f t="shared" si="103"/>
        <v>142910.94114492863</v>
      </c>
      <c r="U160" s="129">
        <f t="shared" si="103"/>
        <v>-21679.23679638718</v>
      </c>
      <c r="V160" s="129">
        <f t="shared" si="103"/>
        <v>-26734.316972115193</v>
      </c>
      <c r="W160" s="129">
        <f t="shared" si="103"/>
        <v>232228.82883383305</v>
      </c>
      <c r="X160" s="129">
        <f t="shared" si="103"/>
        <v>55818.464112352674</v>
      </c>
      <c r="Y160" s="129">
        <f t="shared" si="103"/>
        <v>10145.551626307715</v>
      </c>
      <c r="Z160" s="129">
        <f t="shared" si="103"/>
        <v>5696.7878541554855</v>
      </c>
      <c r="AA160" s="129">
        <f t="shared" si="103"/>
        <v>-115383.99136565477</v>
      </c>
      <c r="AB160" s="129">
        <f t="shared" si="103"/>
        <v>-364425.25771779608</v>
      </c>
      <c r="AC160" s="129">
        <f t="shared" si="103"/>
        <v>-198206.88660597219</v>
      </c>
      <c r="AD160" s="130">
        <f t="shared" si="103"/>
        <v>352823.04940688913</v>
      </c>
      <c r="AE160" s="129">
        <f t="shared" si="103"/>
        <v>204691.50416231947</v>
      </c>
      <c r="AF160" s="129">
        <f t="shared" si="103"/>
        <v>72003.3151811196</v>
      </c>
      <c r="AG160" s="129">
        <f t="shared" si="103"/>
        <v>142443.04141146084</v>
      </c>
      <c r="AH160" s="129">
        <f t="shared" si="103"/>
        <v>116407.49144768878</v>
      </c>
      <c r="AI160" s="129">
        <f t="shared" si="103"/>
        <v>119718.595766616</v>
      </c>
      <c r="AJ160" s="129">
        <f t="shared" si="103"/>
        <v>61503.008203832695</v>
      </c>
      <c r="AK160" s="129">
        <f t="shared" si="103"/>
        <v>5458.0467195966776</v>
      </c>
      <c r="AL160" s="129">
        <f t="shared" si="103"/>
        <v>-3022.5869070308399</v>
      </c>
      <c r="AM160" s="129">
        <f t="shared" si="103"/>
        <v>-146412.43048204598</v>
      </c>
      <c r="AN160" s="129">
        <f t="shared" si="103"/>
        <v>-468841.97987799393</v>
      </c>
      <c r="AO160" s="129">
        <f t="shared" si="103"/>
        <v>-225485.69262389396</v>
      </c>
      <c r="AP160" s="130">
        <f t="shared" si="103"/>
        <v>65858.243261069525</v>
      </c>
      <c r="AQ160" s="129">
        <f t="shared" si="103"/>
        <v>255613.48468294227</v>
      </c>
      <c r="AR160" s="129">
        <f t="shared" si="103"/>
        <v>47536.403955873568</v>
      </c>
      <c r="AS160" s="129">
        <f t="shared" si="103"/>
        <v>130102.94711114396</v>
      </c>
      <c r="AT160" s="129">
        <f t="shared" si="103"/>
        <v>-118291.08122711501</v>
      </c>
      <c r="AU160" s="129">
        <f t="shared" si="103"/>
        <v>139130.01859289675</v>
      </c>
      <c r="AV160" s="129">
        <f t="shared" si="103"/>
        <v>55351.431989637946</v>
      </c>
      <c r="AW160" s="129">
        <f t="shared" si="103"/>
        <v>11098.070810471309</v>
      </c>
      <c r="AX160" s="129">
        <f t="shared" si="103"/>
        <v>5657.1794298133282</v>
      </c>
      <c r="AY160" s="129">
        <f t="shared" si="103"/>
        <v>-33056.302816397947</v>
      </c>
      <c r="AZ160" s="129">
        <f t="shared" si="103"/>
        <v>-122201.28146768076</v>
      </c>
      <c r="BA160" s="129">
        <f t="shared" si="103"/>
        <v>35917.514211418806</v>
      </c>
      <c r="BB160" s="130">
        <f t="shared" si="103"/>
        <v>123918.03813997027</v>
      </c>
      <c r="BC160" s="129">
        <f t="shared" si="103"/>
        <v>119231.75878168806</v>
      </c>
      <c r="BD160" s="129">
        <f t="shared" si="103"/>
        <v>208238.63370283064</v>
      </c>
      <c r="BE160" s="129">
        <f t="shared" si="103"/>
        <v>172876.45553231076</v>
      </c>
      <c r="BF160" s="129">
        <f t="shared" si="103"/>
        <v>223977.96149821777</v>
      </c>
      <c r="BG160" s="129">
        <f t="shared" si="103"/>
        <v>199085.51611971972</v>
      </c>
      <c r="BH160" s="129">
        <f t="shared" si="103"/>
        <v>72940.849306165357</v>
      </c>
      <c r="BI160" s="129">
        <f>BI159-BI151</f>
        <v>1764.8576556906864</v>
      </c>
      <c r="BJ160" s="129">
        <f>BJ159-BJ151</f>
        <v>-17518.280043583727</v>
      </c>
      <c r="BK160" s="129">
        <f>BK159-BK151</f>
        <v>219.04052266967381</v>
      </c>
      <c r="BL160" s="129">
        <f>BL159-BL151</f>
        <v>-42324.116457894015</v>
      </c>
      <c r="BM160" s="129">
        <f>BM159-BM151</f>
        <v>-45309.584908792509</v>
      </c>
    </row>
    <row r="161" spans="1:65" ht="15.75" customHeight="1" thickTop="1">
      <c r="A161" s="105"/>
      <c r="B161" s="105"/>
      <c r="C161" s="105"/>
      <c r="D161" s="105"/>
      <c r="E161" s="105"/>
      <c r="F161" s="106"/>
      <c r="G161" s="46"/>
      <c r="H161" s="46"/>
      <c r="I161" s="46"/>
      <c r="J161" s="46"/>
      <c r="K161" s="46"/>
      <c r="L161" s="46"/>
      <c r="M161" s="46"/>
      <c r="N161" s="46"/>
      <c r="O161" s="46"/>
      <c r="P161" s="47"/>
      <c r="Q161" s="46"/>
      <c r="R161" s="46"/>
      <c r="S161" s="132"/>
      <c r="T161" s="132"/>
      <c r="U161" s="132"/>
      <c r="V161" s="132"/>
      <c r="W161" s="46"/>
      <c r="X161" s="46"/>
      <c r="Y161" s="46"/>
      <c r="Z161" s="46"/>
      <c r="AA161" s="46"/>
      <c r="AB161" s="46"/>
      <c r="AC161" s="46"/>
      <c r="AD161" s="47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3"/>
      <c r="BB161" s="50"/>
      <c r="BK161" s="122"/>
      <c r="BL161" s="122"/>
    </row>
    <row r="162" spans="1:65" ht="15.75" customHeight="1">
      <c r="A162" s="105"/>
      <c r="B162" s="105"/>
      <c r="C162" s="105"/>
      <c r="D162" s="105"/>
      <c r="E162" s="105"/>
      <c r="F162" s="106"/>
      <c r="G162" s="46"/>
      <c r="H162" s="46"/>
      <c r="I162" s="46"/>
      <c r="J162" s="46"/>
      <c r="K162" s="46"/>
      <c r="L162" s="46"/>
      <c r="M162" s="46"/>
      <c r="N162" s="46"/>
      <c r="O162" s="46"/>
      <c r="P162" s="47"/>
      <c r="Q162" s="46"/>
      <c r="R162" s="46"/>
      <c r="S162" s="132"/>
      <c r="T162" s="132"/>
      <c r="U162" s="132"/>
      <c r="V162" s="132"/>
      <c r="W162" s="46"/>
      <c r="X162" s="46"/>
      <c r="Y162" s="46"/>
      <c r="Z162" s="46"/>
      <c r="AA162" s="46"/>
      <c r="AB162" s="46"/>
      <c r="AC162" s="46"/>
      <c r="AD162" s="47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3"/>
      <c r="BB162" s="50"/>
      <c r="BK162" s="122"/>
      <c r="BL162" s="122"/>
    </row>
    <row r="163" spans="1:65" ht="15.75" customHeight="1" thickBot="1">
      <c r="A163" s="127" t="s">
        <v>67</v>
      </c>
      <c r="B163" s="127" t="s">
        <v>67</v>
      </c>
      <c r="C163" s="127" t="s">
        <v>80</v>
      </c>
      <c r="D163" s="127" t="s">
        <v>77</v>
      </c>
      <c r="E163" s="127" t="s">
        <v>10</v>
      </c>
      <c r="F163" s="128" t="s">
        <v>71</v>
      </c>
      <c r="G163" s="144">
        <f t="shared" ref="G163:BM163" si="104">G34+G58+G70+G82+G109+G121+G133+G160</f>
        <v>-51562.651048091517</v>
      </c>
      <c r="H163" s="144">
        <f t="shared" si="104"/>
        <v>-1002184.6210023001</v>
      </c>
      <c r="I163" s="144">
        <f t="shared" si="104"/>
        <v>-710384.8232044247</v>
      </c>
      <c r="J163" s="144">
        <f t="shared" si="104"/>
        <v>-2550901.9375645691</v>
      </c>
      <c r="K163" s="144">
        <f t="shared" si="104"/>
        <v>2512916.8776781233</v>
      </c>
      <c r="L163" s="144">
        <f t="shared" si="104"/>
        <v>1629480.9888294842</v>
      </c>
      <c r="M163" s="144">
        <f t="shared" si="104"/>
        <v>467923.31022477616</v>
      </c>
      <c r="N163" s="144">
        <f t="shared" si="104"/>
        <v>-809113.23214055202</v>
      </c>
      <c r="O163" s="144">
        <f t="shared" si="104"/>
        <v>-24447.780291340139</v>
      </c>
      <c r="P163" s="145">
        <f t="shared" si="104"/>
        <v>1206426.2270218758</v>
      </c>
      <c r="Q163" s="144">
        <f t="shared" si="104"/>
        <v>1731608.5099182064</v>
      </c>
      <c r="R163" s="144">
        <f t="shared" si="104"/>
        <v>908699.75144831033</v>
      </c>
      <c r="S163" s="144">
        <f t="shared" si="104"/>
        <v>78531.696924253149</v>
      </c>
      <c r="T163" s="144">
        <f t="shared" si="104"/>
        <v>161565.73973205502</v>
      </c>
      <c r="U163" s="144">
        <f t="shared" si="104"/>
        <v>-156608.51017859596</v>
      </c>
      <c r="V163" s="144">
        <f t="shared" si="104"/>
        <v>-1220816.4637672151</v>
      </c>
      <c r="W163" s="144">
        <f t="shared" si="104"/>
        <v>451280.37177759246</v>
      </c>
      <c r="X163" s="144">
        <f t="shared" si="104"/>
        <v>-2529609.0875813216</v>
      </c>
      <c r="Y163" s="144">
        <f t="shared" si="104"/>
        <v>-737466.86264650128</v>
      </c>
      <c r="Z163" s="144">
        <f t="shared" si="104"/>
        <v>-1995092.7206003657</v>
      </c>
      <c r="AA163" s="144">
        <f t="shared" si="104"/>
        <v>-146062.9868494448</v>
      </c>
      <c r="AB163" s="144">
        <f t="shared" si="104"/>
        <v>-759724.61001566239</v>
      </c>
      <c r="AC163" s="144">
        <f t="shared" si="104"/>
        <v>525948.54544832639</v>
      </c>
      <c r="AD163" s="145">
        <f t="shared" si="104"/>
        <v>1744792.4299740968</v>
      </c>
      <c r="AE163" s="144">
        <f t="shared" si="104"/>
        <v>1685448.2234019961</v>
      </c>
      <c r="AF163" s="144">
        <f t="shared" si="104"/>
        <v>998020.91752510087</v>
      </c>
      <c r="AG163" s="144">
        <f t="shared" si="104"/>
        <v>-381723.36053455534</v>
      </c>
      <c r="AH163" s="144">
        <f t="shared" si="104"/>
        <v>-1327970.584976583</v>
      </c>
      <c r="AI163" s="144">
        <f t="shared" si="104"/>
        <v>60930.044717366109</v>
      </c>
      <c r="AJ163" s="144">
        <f t="shared" si="104"/>
        <v>-2186865.8431630023</v>
      </c>
      <c r="AK163" s="144">
        <f t="shared" si="104"/>
        <v>-1932103.0790336095</v>
      </c>
      <c r="AL163" s="144">
        <f t="shared" si="104"/>
        <v>438223.73122643743</v>
      </c>
      <c r="AM163" s="144">
        <f t="shared" si="104"/>
        <v>2567111.061491346</v>
      </c>
      <c r="AN163" s="144">
        <f t="shared" si="104"/>
        <v>-363114.37036557024</v>
      </c>
      <c r="AO163" s="144">
        <f t="shared" si="104"/>
        <v>-280186.32309792482</v>
      </c>
      <c r="AP163" s="145">
        <f t="shared" si="104"/>
        <v>1175970.423731165</v>
      </c>
      <c r="AQ163" s="144">
        <f t="shared" si="104"/>
        <v>1437094.8302888963</v>
      </c>
      <c r="AR163" s="144">
        <f t="shared" si="104"/>
        <v>-389327.53369218361</v>
      </c>
      <c r="AS163" s="144">
        <f t="shared" si="104"/>
        <v>-7107.8291599038057</v>
      </c>
      <c r="AT163" s="144">
        <f t="shared" si="104"/>
        <v>-1356794.7470330936</v>
      </c>
      <c r="AU163" s="144">
        <f t="shared" si="104"/>
        <v>804038.52402740403</v>
      </c>
      <c r="AV163" s="144">
        <f t="shared" si="104"/>
        <v>-1829334.6279811685</v>
      </c>
      <c r="AW163" s="144">
        <f t="shared" si="104"/>
        <v>-1745178.7836335783</v>
      </c>
      <c r="AX163" s="144">
        <f t="shared" si="104"/>
        <v>-1496343.0498076526</v>
      </c>
      <c r="AY163" s="144">
        <f t="shared" si="104"/>
        <v>-923705.25323165511</v>
      </c>
      <c r="AZ163" s="144">
        <f t="shared" si="104"/>
        <v>-230463.02802748105</v>
      </c>
      <c r="BA163" s="144">
        <f t="shared" si="104"/>
        <v>-501520.82015499065</v>
      </c>
      <c r="BB163" s="145">
        <f t="shared" si="104"/>
        <v>681429.34865791304</v>
      </c>
      <c r="BC163" s="144">
        <f t="shared" si="104"/>
        <v>1046307.3393087566</v>
      </c>
      <c r="BD163" s="144">
        <f t="shared" si="104"/>
        <v>339354.98601936951</v>
      </c>
      <c r="BE163" s="144">
        <f t="shared" si="104"/>
        <v>-43001.954152548104</v>
      </c>
      <c r="BF163" s="144">
        <f t="shared" si="104"/>
        <v>-1114484.2849861779</v>
      </c>
      <c r="BG163" s="144">
        <f t="shared" si="104"/>
        <v>596112.29900432006</v>
      </c>
      <c r="BH163" s="144">
        <f t="shared" si="104"/>
        <v>-2558782.5640221583</v>
      </c>
      <c r="BI163" s="144">
        <f t="shared" si="104"/>
        <v>-837715.95458763826</v>
      </c>
      <c r="BJ163" s="144">
        <f t="shared" si="104"/>
        <v>-103718.9981452778</v>
      </c>
      <c r="BK163" s="129">
        <f t="shared" si="104"/>
        <v>-2845.1217626649482</v>
      </c>
      <c r="BL163" s="129">
        <f t="shared" si="104"/>
        <v>2340368.062319105</v>
      </c>
      <c r="BM163" s="144">
        <f t="shared" si="104"/>
        <v>-1175349.3155114746</v>
      </c>
    </row>
    <row r="164" spans="1:65" ht="16" thickTop="1">
      <c r="BM164" s="135"/>
    </row>
  </sheetData>
  <conditionalFormatting sqref="F15 C59:E59 C51:D53 C63:D65 A72:B81 C75:D77 C102:D104 C114:D116 C126:D128 C153:D155 G16:BJ16 C31:BI32 A59:B69 B71 A83:B83 B110:B120 B122:B132 B134 G18:BK19 A24:BI25 F26:BI27 G28:BI30 C26:E30 BK24:BK27 BK21:BM21 BK42:BK46 G42:BI46 A26:B57 C88:E94 BK93:BK97 G93:BI97 B86:B108 A88:A108 C139:E145 A137:B138 BK144:BK148 G144:BI148 BK31:BK32 BK20 BK22 A13:E22 F20:BI22 C33:E47 E95:E97 E146:E148 A149:B159 A139:A148 BM24:BM29 BM31:BM32 BK49 BL23:BM23 BL47:BM47 BL149:BM149 BK100 BL98:BM98 BL139:BM142 BL144:BM145 BK51 BK55:BK56 BM150:BM153 BM157:BM158 BK79:BK80 BK67:BK68 BK106:BK107 BK118:BK119 BK130:BK131 BK73 BK61 BK124 BK112 BK75 BK63 BK126 BK114 BK102 BM55:BM56 BM48:BM51 BM60:BM63 BM67:BM68 BM72:BM75 BM79:BM80 BM106:BM107 BM99:BM102 BM111:BM114 BM118:BM119 BM123:BM126 BM130:BM131">
    <cfRule type="cellIs" dxfId="151" priority="162" operator="lessThan">
      <formula>0</formula>
    </cfRule>
  </conditionalFormatting>
  <conditionalFormatting sqref="BK47">
    <cfRule type="cellIs" dxfId="150" priority="126" operator="lessThan">
      <formula>0</formula>
    </cfRule>
  </conditionalFormatting>
  <conditionalFormatting sqref="G40:BI40 G48:BH56 BI49">
    <cfRule type="cellIs" dxfId="149" priority="134" operator="lessThan">
      <formula>0</formula>
    </cfRule>
  </conditionalFormatting>
  <conditionalFormatting sqref="G13">
    <cfRule type="cellIs" dxfId="148" priority="159" operator="lessThan">
      <formula>0</formula>
    </cfRule>
  </conditionalFormatting>
  <conditionalFormatting sqref="G14">
    <cfRule type="cellIs" dxfId="147" priority="158" operator="lessThan">
      <formula>0</formula>
    </cfRule>
  </conditionalFormatting>
  <conditionalFormatting sqref="G15">
    <cfRule type="cellIs" dxfId="146" priority="157" operator="lessThan">
      <formula>0</formula>
    </cfRule>
  </conditionalFormatting>
  <conditionalFormatting sqref="H13:BI15">
    <cfRule type="cellIs" dxfId="145" priority="156" operator="lessThan">
      <formula>0</formula>
    </cfRule>
  </conditionalFormatting>
  <conditionalFormatting sqref="D83:E83">
    <cfRule type="cellIs" dxfId="144" priority="155" operator="lessThan">
      <formula>0</formula>
    </cfRule>
  </conditionalFormatting>
  <conditionalFormatting sqref="B84:B85">
    <cfRule type="cellIs" dxfId="143" priority="154" operator="lessThan">
      <formula>0</formula>
    </cfRule>
  </conditionalFormatting>
  <conditionalFormatting sqref="B161:B163">
    <cfRule type="cellIs" dxfId="142" priority="149" operator="lessThan">
      <formula>0</formula>
    </cfRule>
  </conditionalFormatting>
  <conditionalFormatting sqref="A84:A85">
    <cfRule type="cellIs" dxfId="141" priority="153" operator="lessThan">
      <formula>0</formula>
    </cfRule>
  </conditionalFormatting>
  <conditionalFormatting sqref="C84:E85">
    <cfRule type="cellIs" dxfId="140" priority="152" operator="lessThan">
      <formula>0</formula>
    </cfRule>
  </conditionalFormatting>
  <conditionalFormatting sqref="B135:B136">
    <cfRule type="cellIs" dxfId="139" priority="151" operator="lessThan">
      <formula>0</formula>
    </cfRule>
  </conditionalFormatting>
  <conditionalFormatting sqref="D135:E136">
    <cfRule type="cellIs" dxfId="138" priority="150" operator="lessThan">
      <formula>0</formula>
    </cfRule>
  </conditionalFormatting>
  <conditionalFormatting sqref="A161:A163">
    <cfRule type="cellIs" dxfId="137" priority="148" operator="lessThan">
      <formula>0</formula>
    </cfRule>
  </conditionalFormatting>
  <conditionalFormatting sqref="C161:E163">
    <cfRule type="cellIs" dxfId="136" priority="147" operator="lessThan">
      <formula>0</formula>
    </cfRule>
  </conditionalFormatting>
  <conditionalFormatting sqref="BJ13:BJ15">
    <cfRule type="cellIs" dxfId="135" priority="146" operator="lessThan">
      <formula>0</formula>
    </cfRule>
  </conditionalFormatting>
  <conditionalFormatting sqref="A23:BI23">
    <cfRule type="cellIs" dxfId="134" priority="145" operator="lessThan">
      <formula>0</formula>
    </cfRule>
  </conditionalFormatting>
  <conditionalFormatting sqref="C111:D113 C117:D120">
    <cfRule type="cellIs" dxfId="133" priority="140" operator="lessThan">
      <formula>0</formula>
    </cfRule>
  </conditionalFormatting>
  <conditionalFormatting sqref="C48:D50 C54:D57">
    <cfRule type="cellIs" dxfId="132" priority="144" operator="lessThan">
      <formula>0</formula>
    </cfRule>
  </conditionalFormatting>
  <conditionalFormatting sqref="C60:D62 C66:D69">
    <cfRule type="cellIs" dxfId="131" priority="143" operator="lessThan">
      <formula>0</formula>
    </cfRule>
  </conditionalFormatting>
  <conditionalFormatting sqref="C72:D74 C78:D81">
    <cfRule type="cellIs" dxfId="130" priority="142" operator="lessThan">
      <formula>0</formula>
    </cfRule>
  </conditionalFormatting>
  <conditionalFormatting sqref="C99:D101 C105:D108">
    <cfRule type="cellIs" dxfId="129" priority="141" operator="lessThan">
      <formula>0</formula>
    </cfRule>
  </conditionalFormatting>
  <conditionalFormatting sqref="C123:D125 C129:D132">
    <cfRule type="cellIs" dxfId="128" priority="139" operator="lessThan">
      <formula>0</formula>
    </cfRule>
  </conditionalFormatting>
  <conditionalFormatting sqref="C150:D152 C156:D159">
    <cfRule type="cellIs" dxfId="127" priority="138" operator="lessThan">
      <formula>0</formula>
    </cfRule>
  </conditionalFormatting>
  <conditionalFormatting sqref="BK16">
    <cfRule type="cellIs" dxfId="126" priority="137" operator="lessThan">
      <formula>0</formula>
    </cfRule>
  </conditionalFormatting>
  <conditionalFormatting sqref="BK13:BK15">
    <cfRule type="cellIs" dxfId="125" priority="136" operator="lessThan">
      <formula>0</formula>
    </cfRule>
  </conditionalFormatting>
  <conditionalFormatting sqref="BK23">
    <cfRule type="cellIs" dxfId="124" priority="135" operator="lessThan">
      <formula>0</formula>
    </cfRule>
  </conditionalFormatting>
  <conditionalFormatting sqref="G111:BG111 G113:BG119">
    <cfRule type="cellIs" dxfId="123" priority="104" operator="lessThan">
      <formula>0</formula>
    </cfRule>
  </conditionalFormatting>
  <conditionalFormatting sqref="G123:BG123 G125:BG131">
    <cfRule type="cellIs" dxfId="122" priority="103" operator="lessThan">
      <formula>0</formula>
    </cfRule>
  </conditionalFormatting>
  <conditionalFormatting sqref="A123:A132 A110:A120 A134">
    <cfRule type="cellIs" dxfId="121" priority="102" operator="lessThan">
      <formula>0</formula>
    </cfRule>
  </conditionalFormatting>
  <conditionalFormatting sqref="A135:A136">
    <cfRule type="cellIs" dxfId="120" priority="101" operator="lessThan">
      <formula>0</formula>
    </cfRule>
  </conditionalFormatting>
  <conditionalFormatting sqref="G112:BG112 G124:BG124">
    <cfRule type="cellIs" dxfId="119" priority="100" operator="lessThan">
      <formula>0</formula>
    </cfRule>
  </conditionalFormatting>
  <conditionalFormatting sqref="E55:F56 E57 E48:F51">
    <cfRule type="cellIs" dxfId="118" priority="99" operator="lessThan">
      <formula>0</formula>
    </cfRule>
  </conditionalFormatting>
  <conditionalFormatting sqref="E67:F68 E69 E60:F63">
    <cfRule type="cellIs" dxfId="117" priority="98" operator="lessThan">
      <formula>0</formula>
    </cfRule>
  </conditionalFormatting>
  <conditionalFormatting sqref="E79:F80 E81 E72:F75">
    <cfRule type="cellIs" dxfId="116" priority="97" operator="lessThan">
      <formula>0</formula>
    </cfRule>
  </conditionalFormatting>
  <conditionalFormatting sqref="E106:F107 E108 E99:F102">
    <cfRule type="cellIs" dxfId="115" priority="96" operator="lessThan">
      <formula>0</formula>
    </cfRule>
  </conditionalFormatting>
  <conditionalFormatting sqref="BJ139:BJ141">
    <cfRule type="cellIs" dxfId="114" priority="76" operator="lessThan">
      <formula>0</formula>
    </cfRule>
  </conditionalFormatting>
  <conditionalFormatting sqref="BK91">
    <cfRule type="cellIs" dxfId="113" priority="107" operator="lessThan">
      <formula>0</formula>
    </cfRule>
  </conditionalFormatting>
  <conditionalFormatting sqref="BK88:BK90">
    <cfRule type="cellIs" dxfId="112" priority="106" operator="lessThan">
      <formula>0</formula>
    </cfRule>
  </conditionalFormatting>
  <conditionalFormatting sqref="BK98">
    <cfRule type="cellIs" dxfId="111" priority="105" operator="lessThan">
      <formula>0</formula>
    </cfRule>
  </conditionalFormatting>
  <conditionalFormatting sqref="F141">
    <cfRule type="cellIs" dxfId="110" priority="90" operator="lessThan">
      <formula>0</formula>
    </cfRule>
  </conditionalFormatting>
  <conditionalFormatting sqref="E118:F119 E120 E111:F114">
    <cfRule type="cellIs" dxfId="109" priority="95" operator="lessThan">
      <formula>0</formula>
    </cfRule>
  </conditionalFormatting>
  <conditionalFormatting sqref="E130:F131 E132 E123:F126">
    <cfRule type="cellIs" dxfId="108" priority="94" operator="lessThan">
      <formula>0</formula>
    </cfRule>
  </conditionalFormatting>
  <conditionalFormatting sqref="E157:F158 E159 E150:F153">
    <cfRule type="cellIs" dxfId="107" priority="93" operator="lessThan">
      <formula>0</formula>
    </cfRule>
  </conditionalFormatting>
  <conditionalFormatting sqref="F39">
    <cfRule type="cellIs" dxfId="106" priority="92" operator="lessThan">
      <formula>0</formula>
    </cfRule>
  </conditionalFormatting>
  <conditionalFormatting sqref="G37">
    <cfRule type="cellIs" dxfId="105" priority="133" operator="lessThan">
      <formula>0</formula>
    </cfRule>
  </conditionalFormatting>
  <conditionalFormatting sqref="G38">
    <cfRule type="cellIs" dxfId="104" priority="132" operator="lessThan">
      <formula>0</formula>
    </cfRule>
  </conditionalFormatting>
  <conditionalFormatting sqref="G39">
    <cfRule type="cellIs" dxfId="103" priority="131" operator="lessThan">
      <formula>0</formula>
    </cfRule>
  </conditionalFormatting>
  <conditionalFormatting sqref="H37:BI39">
    <cfRule type="cellIs" dxfId="102" priority="130" operator="lessThan">
      <formula>0</formula>
    </cfRule>
  </conditionalFormatting>
  <conditionalFormatting sqref="G47:BI47">
    <cfRule type="cellIs" dxfId="101" priority="129" operator="lessThan">
      <formula>0</formula>
    </cfRule>
  </conditionalFormatting>
  <conditionalFormatting sqref="BK40">
    <cfRule type="cellIs" dxfId="100" priority="128" operator="lessThan">
      <formula>0</formula>
    </cfRule>
  </conditionalFormatting>
  <conditionalFormatting sqref="BK37:BK39">
    <cfRule type="cellIs" dxfId="99" priority="127" operator="lessThan">
      <formula>0</formula>
    </cfRule>
  </conditionalFormatting>
  <conditionalFormatting sqref="F90">
    <cfRule type="cellIs" dxfId="98" priority="91" operator="lessThan">
      <formula>0</formula>
    </cfRule>
  </conditionalFormatting>
  <conditionalFormatting sqref="G142:BI142 G150:BH158">
    <cfRule type="cellIs" dxfId="97" priority="125" operator="lessThan">
      <formula>0</formula>
    </cfRule>
  </conditionalFormatting>
  <conditionalFormatting sqref="G139">
    <cfRule type="cellIs" dxfId="96" priority="124" operator="lessThan">
      <formula>0</formula>
    </cfRule>
  </conditionalFormatting>
  <conditionalFormatting sqref="G140">
    <cfRule type="cellIs" dxfId="95" priority="123" operator="lessThan">
      <formula>0</formula>
    </cfRule>
  </conditionalFormatting>
  <conditionalFormatting sqref="G141">
    <cfRule type="cellIs" dxfId="94" priority="122" operator="lessThan">
      <formula>0</formula>
    </cfRule>
  </conditionalFormatting>
  <conditionalFormatting sqref="H139:BI141">
    <cfRule type="cellIs" dxfId="93" priority="121" operator="lessThan">
      <formula>0</formula>
    </cfRule>
  </conditionalFormatting>
  <conditionalFormatting sqref="G149:BI149">
    <cfRule type="cellIs" dxfId="92" priority="120" operator="lessThan">
      <formula>0</formula>
    </cfRule>
  </conditionalFormatting>
  <conditionalFormatting sqref="BK142">
    <cfRule type="cellIs" dxfId="91" priority="119" operator="lessThan">
      <formula>0</formula>
    </cfRule>
  </conditionalFormatting>
  <conditionalFormatting sqref="BK139:BK141">
    <cfRule type="cellIs" dxfId="90" priority="118" operator="lessThan">
      <formula>0</formula>
    </cfRule>
  </conditionalFormatting>
  <conditionalFormatting sqref="BK149">
    <cfRule type="cellIs" dxfId="89" priority="117" operator="lessThan">
      <formula>0</formula>
    </cfRule>
  </conditionalFormatting>
  <conditionalFormatting sqref="G60:BG60 G62:BG68">
    <cfRule type="cellIs" dxfId="88" priority="116" operator="lessThan">
      <formula>0</formula>
    </cfRule>
  </conditionalFormatting>
  <conditionalFormatting sqref="G72:BG72 G74:BG80">
    <cfRule type="cellIs" dxfId="87" priority="115" operator="lessThan">
      <formula>0</formula>
    </cfRule>
  </conditionalFormatting>
  <conditionalFormatting sqref="G61:BG61 G73:BG73">
    <cfRule type="cellIs" dxfId="86" priority="114" operator="lessThan">
      <formula>0</formula>
    </cfRule>
  </conditionalFormatting>
  <conditionalFormatting sqref="G91:BI91 G99:BG99 G101:BG107 G100:BI100">
    <cfRule type="cellIs" dxfId="85" priority="113" operator="lessThan">
      <formula>0</formula>
    </cfRule>
  </conditionalFormatting>
  <conditionalFormatting sqref="G88">
    <cfRule type="cellIs" dxfId="84" priority="112" operator="lessThan">
      <formula>0</formula>
    </cfRule>
  </conditionalFormatting>
  <conditionalFormatting sqref="G89">
    <cfRule type="cellIs" dxfId="83" priority="111" operator="lessThan">
      <formula>0</formula>
    </cfRule>
  </conditionalFormatting>
  <conditionalFormatting sqref="G90">
    <cfRule type="cellIs" dxfId="82" priority="110" operator="lessThan">
      <formula>0</formula>
    </cfRule>
  </conditionalFormatting>
  <conditionalFormatting sqref="H88:BI90">
    <cfRule type="cellIs" dxfId="81" priority="109" operator="lessThan">
      <formula>0</formula>
    </cfRule>
  </conditionalFormatting>
  <conditionalFormatting sqref="G98:BI98">
    <cfRule type="cellIs" dxfId="80" priority="108" operator="lessThan">
      <formula>0</formula>
    </cfRule>
  </conditionalFormatting>
  <conditionalFormatting sqref="BJ40 BJ42:BJ43">
    <cfRule type="cellIs" dxfId="79" priority="81" operator="lessThan">
      <formula>0</formula>
    </cfRule>
  </conditionalFormatting>
  <conditionalFormatting sqref="BJ88:BJ90">
    <cfRule type="cellIs" dxfId="78" priority="78" operator="lessThan">
      <formula>0</formula>
    </cfRule>
  </conditionalFormatting>
  <conditionalFormatting sqref="BJ37:BJ39">
    <cfRule type="cellIs" dxfId="77" priority="80" operator="lessThan">
      <formula>0</formula>
    </cfRule>
  </conditionalFormatting>
  <conditionalFormatting sqref="BJ91 BJ93:BJ94">
    <cfRule type="cellIs" dxfId="76" priority="79" operator="lessThan">
      <formula>0</formula>
    </cfRule>
  </conditionalFormatting>
  <conditionalFormatting sqref="BJ142 BJ144:BJ145">
    <cfRule type="cellIs" dxfId="75" priority="77" operator="lessThan">
      <formula>0</formula>
    </cfRule>
  </conditionalFormatting>
  <conditionalFormatting sqref="BJ149">
    <cfRule type="cellIs" dxfId="74" priority="75" operator="lessThan">
      <formula>0</formula>
    </cfRule>
  </conditionalFormatting>
  <conditionalFormatting sqref="BJ98">
    <cfRule type="cellIs" dxfId="73" priority="74" operator="lessThan">
      <formula>0</formula>
    </cfRule>
  </conditionalFormatting>
  <conditionalFormatting sqref="BJ47">
    <cfRule type="cellIs" dxfId="72" priority="73" operator="lessThan">
      <formula>0</formula>
    </cfRule>
  </conditionalFormatting>
  <conditionalFormatting sqref="BJ23">
    <cfRule type="cellIs" dxfId="71" priority="72" operator="lessThan">
      <formula>0</formula>
    </cfRule>
  </conditionalFormatting>
  <conditionalFormatting sqref="BI48 BI50:BI56">
    <cfRule type="cellIs" dxfId="70" priority="71" operator="lessThan">
      <formula>0</formula>
    </cfRule>
  </conditionalFormatting>
  <conditionalFormatting sqref="BK48 BK50">
    <cfRule type="cellIs" dxfId="69" priority="70" operator="lessThan">
      <formula>0</formula>
    </cfRule>
  </conditionalFormatting>
  <conditionalFormatting sqref="BI150:BI158">
    <cfRule type="cellIs" dxfId="68" priority="69" operator="lessThan">
      <formula>0</formula>
    </cfRule>
  </conditionalFormatting>
  <conditionalFormatting sqref="BK150:BK153 BK157:BK158">
    <cfRule type="cellIs" dxfId="67" priority="68" operator="lessThan">
      <formula>0</formula>
    </cfRule>
  </conditionalFormatting>
  <conditionalFormatting sqref="BL150:BL152">
    <cfRule type="cellIs" dxfId="66" priority="67" operator="lessThan">
      <formula>0</formula>
    </cfRule>
  </conditionalFormatting>
  <conditionalFormatting sqref="BL157:BL158 BL153">
    <cfRule type="cellIs" dxfId="65" priority="66" operator="lessThan">
      <formula>0</formula>
    </cfRule>
  </conditionalFormatting>
  <conditionalFormatting sqref="BH76:BH80 BH64:BH68">
    <cfRule type="cellIs" dxfId="64" priority="65" operator="lessThan">
      <formula>0</formula>
    </cfRule>
  </conditionalFormatting>
  <conditionalFormatting sqref="BI76:BI80 BI64:BI68">
    <cfRule type="cellIs" dxfId="63" priority="64" operator="lessThan">
      <formula>0</formula>
    </cfRule>
  </conditionalFormatting>
  <conditionalFormatting sqref="BH99 BH101:BH107">
    <cfRule type="cellIs" dxfId="62" priority="63" operator="lessThan">
      <formula>0</formula>
    </cfRule>
  </conditionalFormatting>
  <conditionalFormatting sqref="BI99 BI101:BI107">
    <cfRule type="cellIs" dxfId="61" priority="62" operator="lessThan">
      <formula>0</formula>
    </cfRule>
  </conditionalFormatting>
  <conditionalFormatting sqref="BK99">
    <cfRule type="cellIs" dxfId="60" priority="61" operator="lessThan">
      <formula>0</formula>
    </cfRule>
  </conditionalFormatting>
  <conditionalFormatting sqref="BH115:BH119 BH127:BH131">
    <cfRule type="cellIs" dxfId="59" priority="60" operator="lessThan">
      <formula>0</formula>
    </cfRule>
  </conditionalFormatting>
  <conditionalFormatting sqref="BI115:BI119 BI127:BI131">
    <cfRule type="cellIs" dxfId="58" priority="59" operator="lessThan">
      <formula>0</formula>
    </cfRule>
  </conditionalFormatting>
  <conditionalFormatting sqref="BH72:BH75 BH60:BH63 BI73 BI61">
    <cfRule type="cellIs" dxfId="57" priority="58" operator="lessThan">
      <formula>0</formula>
    </cfRule>
  </conditionalFormatting>
  <conditionalFormatting sqref="BI72 BI60 BI62:BI63 BI74:BI75">
    <cfRule type="cellIs" dxfId="56" priority="57" operator="lessThan">
      <formula>0</formula>
    </cfRule>
  </conditionalFormatting>
  <conditionalFormatting sqref="BK72 BK60">
    <cfRule type="cellIs" dxfId="55" priority="56" operator="lessThan">
      <formula>0</formula>
    </cfRule>
  </conditionalFormatting>
  <conditionalFormatting sqref="BH124:BI124 BH112:BI112">
    <cfRule type="cellIs" dxfId="54" priority="55" operator="lessThan">
      <formula>0</formula>
    </cfRule>
  </conditionalFormatting>
  <conditionalFormatting sqref="BH123 BH125:BH126 BH111 BH113:BH114">
    <cfRule type="cellIs" dxfId="53" priority="54" operator="lessThan">
      <formula>0</formula>
    </cfRule>
  </conditionalFormatting>
  <conditionalFormatting sqref="BI123 BI125:BI126 BI111 BI113:BI114">
    <cfRule type="cellIs" dxfId="52" priority="53" operator="lessThan">
      <formula>0</formula>
    </cfRule>
  </conditionalFormatting>
  <conditionalFormatting sqref="BK123 BK111">
    <cfRule type="cellIs" dxfId="51" priority="52" operator="lessThan">
      <formula>0</formula>
    </cfRule>
  </conditionalFormatting>
  <conditionalFormatting sqref="BK125 BK113 BK101 BK74 BK62">
    <cfRule type="cellIs" dxfId="50" priority="51" operator="lessThan">
      <formula>0</formula>
    </cfRule>
  </conditionalFormatting>
  <conditionalFormatting sqref="A82:E82">
    <cfRule type="cellIs" dxfId="49" priority="48" operator="lessThan">
      <formula>0</formula>
    </cfRule>
  </conditionalFormatting>
  <conditionalFormatting sqref="A109:E109">
    <cfRule type="cellIs" dxfId="48" priority="47" operator="lessThan">
      <formula>0</formula>
    </cfRule>
  </conditionalFormatting>
  <conditionalFormatting sqref="A58:E58">
    <cfRule type="cellIs" dxfId="47" priority="50" operator="lessThan">
      <formula>0</formula>
    </cfRule>
  </conditionalFormatting>
  <conditionalFormatting sqref="A70:E70">
    <cfRule type="cellIs" dxfId="46" priority="49" operator="lessThan">
      <formula>0</formula>
    </cfRule>
  </conditionalFormatting>
  <conditionalFormatting sqref="A121:E121">
    <cfRule type="cellIs" dxfId="45" priority="46" operator="lessThan">
      <formula>0</formula>
    </cfRule>
  </conditionalFormatting>
  <conditionalFormatting sqref="A133:E133">
    <cfRule type="cellIs" dxfId="44" priority="45" operator="lessThan">
      <formula>0</formula>
    </cfRule>
  </conditionalFormatting>
  <conditionalFormatting sqref="A160:E160">
    <cfRule type="cellIs" dxfId="43" priority="44" operator="lessThan">
      <formula>0</formula>
    </cfRule>
  </conditionalFormatting>
  <conditionalFormatting sqref="C135:C136">
    <cfRule type="cellIs" dxfId="42" priority="43" operator="lessThan">
      <formula>0</formula>
    </cfRule>
  </conditionalFormatting>
  <conditionalFormatting sqref="C95:D97">
    <cfRule type="cellIs" dxfId="41" priority="42" operator="lessThan">
      <formula>0</formula>
    </cfRule>
  </conditionalFormatting>
  <conditionalFormatting sqref="C146:D148">
    <cfRule type="cellIs" dxfId="40" priority="41" operator="lessThan">
      <formula>0</formula>
    </cfRule>
  </conditionalFormatting>
  <conditionalFormatting sqref="BL45:BM45">
    <cfRule type="cellIs" dxfId="39" priority="40" operator="lessThan">
      <formula>0</formula>
    </cfRule>
  </conditionalFormatting>
  <conditionalFormatting sqref="BL96:BM96">
    <cfRule type="cellIs" dxfId="38" priority="39" operator="lessThan">
      <formula>0</formula>
    </cfRule>
  </conditionalFormatting>
  <conditionalFormatting sqref="BL147:BM147">
    <cfRule type="cellIs" dxfId="37" priority="38" operator="lessThan">
      <formula>0</formula>
    </cfRule>
  </conditionalFormatting>
  <conditionalFormatting sqref="E52:E54">
    <cfRule type="cellIs" dxfId="36" priority="37" operator="lessThan">
      <formula>0</formula>
    </cfRule>
  </conditionalFormatting>
  <conditionalFormatting sqref="E64:E66">
    <cfRule type="cellIs" dxfId="35" priority="36" operator="lessThan">
      <formula>0</formula>
    </cfRule>
  </conditionalFormatting>
  <conditionalFormatting sqref="E76:E78">
    <cfRule type="cellIs" dxfId="34" priority="35" operator="lessThan">
      <formula>0</formula>
    </cfRule>
  </conditionalFormatting>
  <conditionalFormatting sqref="E154:E156 E127:E129 E115:E117 E103:E105">
    <cfRule type="cellIs" dxfId="33" priority="34" operator="lessThan">
      <formula>0</formula>
    </cfRule>
  </conditionalFormatting>
  <conditionalFormatting sqref="B139:B148">
    <cfRule type="cellIs" dxfId="32" priority="33" operator="lessThan">
      <formula>0</formula>
    </cfRule>
  </conditionalFormatting>
  <conditionalFormatting sqref="F5">
    <cfRule type="cellIs" dxfId="31" priority="32" operator="lessThan">
      <formula>0</formula>
    </cfRule>
  </conditionalFormatting>
  <conditionalFormatting sqref="F6">
    <cfRule type="cellIs" dxfId="30" priority="31" operator="lessThan">
      <formula>0</formula>
    </cfRule>
  </conditionalFormatting>
  <conditionalFormatting sqref="BJ150:BJ152">
    <cfRule type="cellIs" dxfId="29" priority="30" operator="lessThan">
      <formula>0</formula>
    </cfRule>
  </conditionalFormatting>
  <conditionalFormatting sqref="BJ157:BJ158 BJ153">
    <cfRule type="cellIs" dxfId="28" priority="29" operator="lessThan">
      <formula>0</formula>
    </cfRule>
  </conditionalFormatting>
  <conditionalFormatting sqref="BJ123:BJ125">
    <cfRule type="cellIs" dxfId="27" priority="28" operator="lessThan">
      <formula>0</formula>
    </cfRule>
  </conditionalFormatting>
  <conditionalFormatting sqref="BJ130:BJ131 BJ126">
    <cfRule type="cellIs" dxfId="26" priority="27" operator="lessThan">
      <formula>0</formula>
    </cfRule>
  </conditionalFormatting>
  <conditionalFormatting sqref="BL123:BL125">
    <cfRule type="cellIs" dxfId="25" priority="26" operator="lessThan">
      <formula>0</formula>
    </cfRule>
  </conditionalFormatting>
  <conditionalFormatting sqref="BL130:BL131 BL126">
    <cfRule type="cellIs" dxfId="24" priority="25" operator="lessThan">
      <formula>0</formula>
    </cfRule>
  </conditionalFormatting>
  <conditionalFormatting sqref="BL111:BL113">
    <cfRule type="cellIs" dxfId="23" priority="24" operator="lessThan">
      <formula>0</formula>
    </cfRule>
  </conditionalFormatting>
  <conditionalFormatting sqref="BL118:BL119 BL114">
    <cfRule type="cellIs" dxfId="22" priority="23" operator="lessThan">
      <formula>0</formula>
    </cfRule>
  </conditionalFormatting>
  <conditionalFormatting sqref="BJ111:BJ113">
    <cfRule type="cellIs" dxfId="21" priority="22" operator="lessThan">
      <formula>0</formula>
    </cfRule>
  </conditionalFormatting>
  <conditionalFormatting sqref="BJ118:BJ119 BJ114">
    <cfRule type="cellIs" dxfId="20" priority="21" operator="lessThan">
      <formula>0</formula>
    </cfRule>
  </conditionalFormatting>
  <conditionalFormatting sqref="BJ99:BJ101">
    <cfRule type="cellIs" dxfId="19" priority="20" operator="lessThan">
      <formula>0</formula>
    </cfRule>
  </conditionalFormatting>
  <conditionalFormatting sqref="BJ106:BJ107 BJ102">
    <cfRule type="cellIs" dxfId="18" priority="19" operator="lessThan">
      <formula>0</formula>
    </cfRule>
  </conditionalFormatting>
  <conditionalFormatting sqref="BL99:BL101">
    <cfRule type="cellIs" dxfId="17" priority="18" operator="lessThan">
      <formula>0</formula>
    </cfRule>
  </conditionalFormatting>
  <conditionalFormatting sqref="BL106:BL107 BL102">
    <cfRule type="cellIs" dxfId="16" priority="17" operator="lessThan">
      <formula>0</formula>
    </cfRule>
  </conditionalFormatting>
  <conditionalFormatting sqref="BL72:BL74">
    <cfRule type="cellIs" dxfId="15" priority="16" operator="lessThan">
      <formula>0</formula>
    </cfRule>
  </conditionalFormatting>
  <conditionalFormatting sqref="BL79:BL80 BL75">
    <cfRule type="cellIs" dxfId="14" priority="15" operator="lessThan">
      <formula>0</formula>
    </cfRule>
  </conditionalFormatting>
  <conditionalFormatting sqref="BJ72:BJ74">
    <cfRule type="cellIs" dxfId="13" priority="14" operator="lessThan">
      <formula>0</formula>
    </cfRule>
  </conditionalFormatting>
  <conditionalFormatting sqref="BJ79:BJ80 BJ75">
    <cfRule type="cellIs" dxfId="12" priority="13" operator="lessThan">
      <formula>0</formula>
    </cfRule>
  </conditionalFormatting>
  <conditionalFormatting sqref="BJ60:BJ62">
    <cfRule type="cellIs" dxfId="11" priority="12" operator="lessThan">
      <formula>0</formula>
    </cfRule>
  </conditionalFormatting>
  <conditionalFormatting sqref="BJ67:BJ68 BJ63">
    <cfRule type="cellIs" dxfId="10" priority="11" operator="lessThan">
      <formula>0</formula>
    </cfRule>
  </conditionalFormatting>
  <conditionalFormatting sqref="BL60:BL62">
    <cfRule type="cellIs" dxfId="9" priority="10" operator="lessThan">
      <formula>0</formula>
    </cfRule>
  </conditionalFormatting>
  <conditionalFormatting sqref="BL67:BL68 BL63">
    <cfRule type="cellIs" dxfId="8" priority="9" operator="lessThan">
      <formula>0</formula>
    </cfRule>
  </conditionalFormatting>
  <conditionalFormatting sqref="BL48:BL50">
    <cfRule type="cellIs" dxfId="7" priority="8" operator="lessThan">
      <formula>0</formula>
    </cfRule>
  </conditionalFormatting>
  <conditionalFormatting sqref="BL55:BL56 BL51">
    <cfRule type="cellIs" dxfId="6" priority="7" operator="lessThan">
      <formula>0</formula>
    </cfRule>
  </conditionalFormatting>
  <conditionalFormatting sqref="BJ48:BJ50">
    <cfRule type="cellIs" dxfId="5" priority="6" operator="lessThan">
      <formula>0</formula>
    </cfRule>
  </conditionalFormatting>
  <conditionalFormatting sqref="BJ55:BJ56 BJ51">
    <cfRule type="cellIs" dxfId="4" priority="5" operator="lessThan">
      <formula>0</formula>
    </cfRule>
  </conditionalFormatting>
  <conditionalFormatting sqref="BJ24:BJ26">
    <cfRule type="cellIs" dxfId="3" priority="4" operator="lessThan">
      <formula>0</formula>
    </cfRule>
  </conditionalFormatting>
  <conditionalFormatting sqref="BJ31:BJ32 BJ27">
    <cfRule type="cellIs" dxfId="2" priority="3" operator="lessThan">
      <formula>0</formula>
    </cfRule>
  </conditionalFormatting>
  <conditionalFormatting sqref="BL24:BL26">
    <cfRule type="cellIs" dxfId="1" priority="2" operator="lessThan">
      <formula>0</formula>
    </cfRule>
  </conditionalFormatting>
  <conditionalFormatting sqref="BL31:BL32 BL27">
    <cfRule type="cellIs" dxfId="0" priority="1" operator="lessThan">
      <formula>0</formula>
    </cfRule>
  </conditionalFormatting>
  <pageMargins left="0.25" right="0.25" top="0.75" bottom="0.75" header="0.3" footer="0.3"/>
  <pageSetup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B670AA06642E48A6F7CA1F18D9E452" ma:contentTypeVersion="36" ma:contentTypeDescription="" ma:contentTypeScope="" ma:versionID="072133cc693b27efc306dbda9c59b2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2021-06-29T07:00:00+00:00</OpenedDate>
    <SignificantOrder xmlns="dc463f71-b30c-4ab2-9473-d307f9d35888">false</SignificantOrder>
    <Date1 xmlns="dc463f71-b30c-4ab2-9473-d307f9d35888">2021-06-29T07:00:00+00:00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10AA5A-1B4A-4C26-ACFA-E6E45983490E}"/>
</file>

<file path=customXml/itemProps2.xml><?xml version="1.0" encoding="utf-8"?>
<ds:datastoreItem xmlns:ds="http://schemas.openxmlformats.org/officeDocument/2006/customXml" ds:itemID="{9104D600-4FAF-453B-B925-B005192BB583}"/>
</file>

<file path=customXml/itemProps3.xml><?xml version="1.0" encoding="utf-8"?>
<ds:datastoreItem xmlns:ds="http://schemas.openxmlformats.org/officeDocument/2006/customXml" ds:itemID="{CBD2158E-F588-457D-B2FB-97AE137648A7}"/>
</file>

<file path=customXml/itemProps4.xml><?xml version="1.0" encoding="utf-8"?>
<ds:datastoreItem xmlns:ds="http://schemas.openxmlformats.org/officeDocument/2006/customXml" ds:itemID="{A890DC9D-DD0A-463A-816E-2DCD9EF5E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Deferral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Savarin, Kathryn</cp:lastModifiedBy>
  <cp:lastPrinted>2021-06-29T20:57:30Z</cp:lastPrinted>
  <dcterms:created xsi:type="dcterms:W3CDTF">2021-06-29T16:37:08Z</dcterms:created>
  <dcterms:modified xsi:type="dcterms:W3CDTF">2021-06-29T20:59:19Z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0x0101006E56B4D1795A2E4DB2F0B01679ED314A00E0B670AA06642E48A6F7CA1F18D9E452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