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511CEBE6-6B9C-4721-B6D2-C082F7F2BC4C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  <c r="C5" i="4"/>
  <c r="C6" i="4"/>
  <c r="C7" i="4"/>
  <c r="C8" i="4"/>
  <c r="C9" i="4"/>
  <c r="C4" i="4"/>
  <c r="D19" i="4"/>
  <c r="D9" i="4"/>
  <c r="D8" i="4"/>
  <c r="D7" i="4"/>
  <c r="D6" i="4"/>
  <c r="D5" i="4"/>
  <c r="D4" i="4"/>
  <c r="B13" i="4"/>
  <c r="B14" i="4"/>
  <c r="B15" i="4"/>
  <c r="B16" i="4"/>
  <c r="B17" i="4"/>
  <c r="B18" i="4"/>
  <c r="B12" i="4"/>
  <c r="B11" i="4"/>
  <c r="B10" i="4"/>
  <c r="B9" i="4"/>
  <c r="B8" i="4"/>
  <c r="B7" i="4"/>
  <c r="B6" i="4"/>
  <c r="B5" i="4"/>
  <c r="B4" i="4"/>
  <c r="V7" i="4"/>
  <c r="V6" i="4"/>
  <c r="V5" i="4"/>
  <c r="U6" i="4"/>
  <c r="U5" i="4"/>
  <c r="V4" i="4"/>
  <c r="V3" i="4"/>
  <c r="V2" i="4"/>
  <c r="U3" i="4"/>
  <c r="U4" i="4"/>
  <c r="U7" i="4"/>
  <c r="U2" i="4"/>
  <c r="G23" i="1" l="1"/>
  <c r="G29" i="1"/>
  <c r="G30" i="1"/>
  <c r="G28" i="1"/>
  <c r="F6" i="3" l="1"/>
  <c r="G6" i="3" s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G22" i="3" s="1"/>
  <c r="F23" i="3"/>
  <c r="F24" i="3"/>
  <c r="G24" i="3" s="1"/>
  <c r="F25" i="3"/>
  <c r="F26" i="3"/>
  <c r="G26" i="3" s="1"/>
  <c r="F27" i="3"/>
  <c r="F28" i="3"/>
  <c r="F29" i="3"/>
  <c r="F30" i="3"/>
  <c r="F31" i="3"/>
  <c r="F32" i="3"/>
  <c r="F33" i="3"/>
  <c r="G33" i="3" s="1"/>
  <c r="F34" i="3"/>
  <c r="F35" i="3"/>
  <c r="F36" i="3"/>
  <c r="F37" i="3"/>
  <c r="F38" i="3"/>
  <c r="F39" i="3"/>
  <c r="G39" i="3" s="1"/>
  <c r="F40" i="3"/>
  <c r="F41" i="3"/>
  <c r="F42" i="3"/>
  <c r="G42" i="3" s="1"/>
  <c r="F43" i="3"/>
  <c r="F44" i="3"/>
  <c r="F45" i="3"/>
  <c r="F46" i="3"/>
  <c r="F47" i="3"/>
  <c r="G47" i="3" s="1"/>
  <c r="F48" i="3"/>
  <c r="F49" i="3"/>
  <c r="F50" i="3"/>
  <c r="F51" i="3"/>
  <c r="F52" i="3"/>
  <c r="F53" i="3"/>
  <c r="G53" i="3" s="1"/>
  <c r="F54" i="3"/>
  <c r="G54" i="3" s="1"/>
  <c r="F55" i="3"/>
  <c r="G55" i="3" s="1"/>
  <c r="F56" i="3"/>
  <c r="G56" i="3" s="1"/>
  <c r="F57" i="3"/>
  <c r="F58" i="3"/>
  <c r="F5" i="3"/>
  <c r="F60" i="3" l="1"/>
  <c r="D20" i="1" s="1"/>
  <c r="B19" i="4"/>
  <c r="B30" i="4" l="1"/>
  <c r="P33" i="4" l="1"/>
  <c r="V33" i="4" s="1"/>
  <c r="W33" i="4" s="1"/>
  <c r="P32" i="4"/>
  <c r="V32" i="4" s="1"/>
  <c r="W32" i="4" s="1"/>
  <c r="P31" i="4"/>
  <c r="V31" i="4" s="1"/>
  <c r="W31" i="4" s="1"/>
  <c r="P30" i="4"/>
  <c r="V30" i="4" s="1"/>
  <c r="W30" i="4" s="1"/>
  <c r="P29" i="4"/>
  <c r="V29" i="4" s="1"/>
  <c r="W29" i="4" s="1"/>
  <c r="P28" i="4"/>
  <c r="V28" i="4" s="1"/>
  <c r="W28" i="4" s="1"/>
  <c r="P27" i="4"/>
  <c r="V27" i="4" s="1"/>
  <c r="W27" i="4" s="1"/>
  <c r="M26" i="4"/>
  <c r="P26" i="4" s="1"/>
  <c r="V26" i="4" s="1"/>
  <c r="W26" i="4" s="1"/>
  <c r="G26" i="4"/>
  <c r="G27" i="4" s="1"/>
  <c r="G28" i="4" s="1"/>
  <c r="G29" i="4" s="1"/>
  <c r="G30" i="4" s="1"/>
  <c r="G31" i="4" s="1"/>
  <c r="G32" i="4" s="1"/>
  <c r="G33" i="4" s="1"/>
  <c r="P25" i="4"/>
  <c r="V25" i="4" s="1"/>
  <c r="W25" i="4" s="1"/>
  <c r="P23" i="4"/>
  <c r="V23" i="4" s="1"/>
  <c r="W23" i="4" s="1"/>
  <c r="D10" i="4" l="1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20" i="1"/>
  <c r="D41" i="4"/>
  <c r="C41" i="4" s="1"/>
  <c r="F18" i="1" l="1"/>
  <c r="E3" i="3" l="1"/>
  <c r="G45" i="3" l="1"/>
  <c r="G13" i="3"/>
  <c r="G16" i="3"/>
  <c r="G43" i="3"/>
  <c r="G23" i="3"/>
  <c r="G7" i="3"/>
  <c r="G25" i="3"/>
  <c r="G44" i="3"/>
  <c r="G12" i="3"/>
  <c r="G38" i="3"/>
  <c r="G14" i="3"/>
  <c r="G29" i="3"/>
  <c r="G15" i="3"/>
  <c r="G9" i="3"/>
  <c r="G50" i="3"/>
  <c r="G32" i="3"/>
  <c r="G51" i="3"/>
  <c r="G11" i="3"/>
  <c r="G52" i="3"/>
  <c r="G46" i="3"/>
  <c r="G37" i="3"/>
  <c r="G48" i="3"/>
  <c r="G8" i="3"/>
  <c r="G35" i="3"/>
  <c r="G19" i="3"/>
  <c r="G57" i="3"/>
  <c r="G17" i="3"/>
  <c r="G36" i="3"/>
  <c r="G58" i="3"/>
  <c r="G34" i="3"/>
  <c r="G10" i="3"/>
  <c r="G40" i="3"/>
  <c r="G5" i="3"/>
  <c r="G31" i="3"/>
  <c r="G49" i="3"/>
  <c r="G28" i="3"/>
  <c r="G30" i="3"/>
  <c r="G21" i="3"/>
  <c r="G27" i="3"/>
  <c r="G41" i="3"/>
  <c r="G20" i="3"/>
  <c r="G18" i="3"/>
  <c r="G60" i="3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V2" authorId="0" shapeId="0" xr:uid="{A509CDCE-E789-4F82-82B5-0F0C99DCC41C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U5" authorId="0" shapeId="0" xr:uid="{43BFD697-5422-4B5C-BB0C-AE3E961C415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V5" authorId="0" shapeId="0" xr:uid="{499ECF16-535B-463B-BED0-030207B1D132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U6" authorId="0" shapeId="0" xr:uid="{17A6A1A4-874E-4064-AEA6-7EBB941F23F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J7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K21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M2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1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1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<sst xmlns="http://schemas.openxmlformats.org/spreadsheetml/2006/main" count="489" uniqueCount="256">
  <si>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</si>
  <si>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</si>
  <si>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</si>
  <si>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</si>
  <si>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</si>
  <si>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</si>
  <si>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</si>
  <si>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</si>
  <si>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</si>
  <si>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</si>
  <si>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</si>
  <si>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</si>
  <si>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</si>
  <si>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</si>
  <si>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</si>
  <si>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</si>
  <si>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</si>
  <si>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</si>
  <si>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</si>
  <si>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</si>
  <si>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</si>
  <si>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</si>
  <si>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</si>
  <si>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</si>
  <si>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</si>
  <si>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</si>
  <si>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</si>
  <si>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</si>
  <si>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</si>
  <si>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</si>
  <si>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</si>
  <si>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</si>
  <si>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</si>
  <si>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</si>
  <si>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</si>
  <si>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</si>
  <si>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</si>
  <si>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</si>
  <si>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</si>
  <si>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</si>
  <si>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</si>
  <si>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</si>
  <si>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</si>
  <si>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</si>
  <si>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</si>
  <si>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</si>
  <si>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</si>
  <si>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</si>
  <si>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</si>
  <si>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Calpine Energy Services L.P.</t>
  </si>
  <si>
    <t>Cargill Inc.</t>
  </si>
  <si>
    <t>Chelan County PUD No. 1</t>
  </si>
  <si>
    <t>Clark County PUD No. 1</t>
  </si>
  <si>
    <t>Clatskanie Peoples Util Dist</t>
  </si>
  <si>
    <t>Constellation Energy</t>
  </si>
  <si>
    <t>EDF Trading Ltd.</t>
  </si>
  <si>
    <t>Engy Authrty</t>
  </si>
  <si>
    <t>Eugene City of</t>
  </si>
  <si>
    <t>Exelon Generation Company</t>
  </si>
  <si>
    <t>Grant County Public Utility</t>
  </si>
  <si>
    <t>Iberdrola Renewables LLC</t>
  </si>
  <si>
    <t>Idaho Cnty L&amp;P Coop Assn Inc</t>
  </si>
  <si>
    <t>Idaho Power Co.</t>
  </si>
  <si>
    <t>Inland Power &amp; Light Co.</t>
  </si>
  <si>
    <t>J P Morgan Ventures Energy LLC</t>
  </si>
  <si>
    <t>J. Aron &amp; Co.</t>
  </si>
  <si>
    <t>Macquarie Energy LLC</t>
  </si>
  <si>
    <t>Morgan Stanley Capital Group</t>
  </si>
  <si>
    <t>NextEra Energy Power Marketing</t>
  </si>
  <si>
    <t>Noble America's Gas and Power</t>
  </si>
  <si>
    <t>NorthWestern Corp.</t>
  </si>
  <si>
    <t>PacifiCorp</t>
  </si>
  <si>
    <t>Portland General Electric Co.</t>
  </si>
  <si>
    <t>Powerex Corp.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</si>
  <si>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</si>
  <si>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</si>
  <si>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</si>
  <si>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</si>
  <si>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</si>
  <si>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</si>
  <si>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Seattle City Light</t>
  </si>
  <si>
    <t>Shell Energy North America US</t>
  </si>
  <si>
    <t>Sierra Pacific Power Co.</t>
  </si>
  <si>
    <t>SMUD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</si>
  <si>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</si>
  <si>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</si>
  <si>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</si>
  <si>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</si>
  <si>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</si>
  <si>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</si>
  <si>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</si>
  <si>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</si>
  <si>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</si>
  <si>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</si>
  <si>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</si>
  <si>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</si>
  <si>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</si>
  <si>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</si>
  <si>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</si>
  <si>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</si>
  <si>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</si>
  <si>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</si>
  <si>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</si>
  <si>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</si>
  <si>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</si>
  <si>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</si>
  <si>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</si>
  <si>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</si>
  <si>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</si>
  <si>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</si>
  <si>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</si>
  <si>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</si>
  <si>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</si>
  <si>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</si>
  <si>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</si>
  <si>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</si>
  <si>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</si>
  <si>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</si>
  <si>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</si>
  <si>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</si>
  <si>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</si>
  <si>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</si>
  <si>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</si>
  <si>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</si>
  <si>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</si>
  <si>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</si>
  <si>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</si>
  <si>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</si>
  <si>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</si>
  <si>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</si>
  <si>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</si>
  <si>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</si>
  <si>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</si>
  <si>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</si>
  <si>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</si>
  <si>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</si>
  <si>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</si>
  <si>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</si>
  <si>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</si>
  <si>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</si>
  <si>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</si>
  <si>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</si>
  <si>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</si>
  <si>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</si>
  <si>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</si>
  <si>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</si>
  <si>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</si>
  <si>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</si>
  <si>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</si>
  <si>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</si>
  <si>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</si>
  <si>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</si>
  <si>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</si>
  <si>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</si>
  <si>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</si>
  <si>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</si>
  <si>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</si>
  <si>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</si>
  <si>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</si>
  <si>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</si>
  <si>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</si>
  <si>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</si>
  <si>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</si>
  <si>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</si>
  <si>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</si>
  <si>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</si>
  <si>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</si>
  <si>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</si>
  <si>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 (Known)</t>
  </si>
  <si>
    <t>Chelan Couty PUD No. 1 (Rocky Reach Hydro)</t>
  </si>
  <si>
    <t>Deep Creek Energy LLC (PURPA Hydro)</t>
  </si>
  <si>
    <t>Ford Electronics (PURPA Hydro)</t>
  </si>
  <si>
    <t>Grant County Public Utility (Priest Rapids Hydro)</t>
  </si>
  <si>
    <t>Hydro Technology Systems Inc. (PURPA Hydro)</t>
  </si>
  <si>
    <t>J P Morgan Ventures Energy LLC (PPM Energy Stateline Wind)</t>
  </si>
  <si>
    <t>Jim White (PURPA Hydro)</t>
  </si>
  <si>
    <t>Palouse Wind Holdings (Wind PPA)</t>
  </si>
  <si>
    <t>Phillips Ranch (PURPA Hydro)</t>
  </si>
  <si>
    <t>PUD No 1 of Douglas County (Wells Hydro)</t>
  </si>
  <si>
    <t>Sheep Creek Hydro (PURPA Hydro)</t>
  </si>
  <si>
    <t>Spokane City of (Upriver Hydro)</t>
  </si>
  <si>
    <t>Spokane County (PURPA Digester)</t>
  </si>
  <si>
    <t>Stimson Lumber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</si>
  <si>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</si>
  <si>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</si>
  <si>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</si>
  <si>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</si>
  <si>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</si>
  <si>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</si>
  <si>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</si>
  <si>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</si>
  <si>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Gross Load (MW-h)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</si>
  <si>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</si>
  <si>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</si>
  <si>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</si>
  <si>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</si>
  <si>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</si>
  <si>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</si>
  <si>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</si>
  <si>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</si>
  <si>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</si>
  <si>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</si>
  <si>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</si>
  <si>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</si>
  <si>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</si>
  <si>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</si>
  <si>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</si>
  <si>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</si>
  <si>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British Columbia Hydro and Power Author</t>
  </si>
  <si>
    <t>Brookfield Energy Marketing</t>
  </si>
  <si>
    <t>Burbank (CA)</t>
  </si>
  <si>
    <t>Citigroup Energy Inc.</t>
  </si>
  <si>
    <t>EDF Trading North America LLC</t>
  </si>
  <si>
    <t>JP Morgan Ventures Energy Corp</t>
  </si>
  <si>
    <t>Modesto Irrigation District</t>
  </si>
  <si>
    <t>NaturEner Power Watch LLC</t>
  </si>
  <si>
    <t>PUD No 1 of Douglas County</t>
  </si>
  <si>
    <t>Redding City of</t>
  </si>
  <si>
    <t>Spokane City of</t>
  </si>
  <si>
    <t>San Diego Gas &amp; Electric Co.</t>
  </si>
  <si>
    <t>Southern California Edison Co.</t>
  </si>
  <si>
    <t>Turlock Irrigation District</t>
  </si>
  <si>
    <t>Kootenai Electric Cooperative (PURPA Landfill Gas)</t>
  </si>
  <si>
    <t>PUD No 1 of Pend Oreille Cnty (Hydro)</t>
  </si>
  <si>
    <t>Unknown Resources for Washington Customers</t>
  </si>
  <si>
    <t>Net Purchase</t>
  </si>
  <si>
    <t>Lbs CO2 from Purchases</t>
  </si>
  <si>
    <t>Moved PUD No 1 of Pend Oreille Cnty 131,017 MWh from unknown to known since a hydro purchase.</t>
  </si>
  <si>
    <t xml:space="preserve">Corrected error to Kootenai Electric, was 70,741 MWh unknown and it was actually 10,741 MWh of known PURPA landfill gas. </t>
  </si>
  <si>
    <t>Avista =</t>
  </si>
  <si>
    <t>Department of Ecology Unknown Resource Deafult Rate =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</si>
  <si>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</si>
  <si>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Known Resources Serving WA - EPA</t>
  </si>
  <si>
    <t>Known Resources Serving WA - EIA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</si>
  <si>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</si>
  <si>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</si>
  <si>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</si>
  <si>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</si>
  <si>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</si>
  <si>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</si>
  <si>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</si>
  <si>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</si>
  <si>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</si>
  <si>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</si>
  <si>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</si>
  <si>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</si>
  <si>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</si>
  <si>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</si>
  <si>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</si>
  <si>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</si>
  <si>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kg/Mmbtu</t>
  </si>
  <si>
    <t>Mmbtu/bbl</t>
  </si>
  <si>
    <t xml:space="preserve">  </t>
  </si>
  <si>
    <t>CO2 Metric Tons</t>
  </si>
  <si>
    <t>CO2e Metric Tons</t>
  </si>
  <si>
    <t>Kettle Falls (Biomass)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</si>
</sst>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.000;\(###,##0.000\)"/>
    <numFmt numFmtId="169" formatCode="###,##0;\(###,##0\)"/>
    <numFmt numFmtId="170" formatCode="0.0"/>
    <numFmt numFmtId="171" formatCode="0.000"/>
    <numFmt numFmtId="172" formatCode="#,##0.000"/>
    <numFmt numFmtId="173" formatCode="#,##0.0"/>
    <numFmt numFmtId="174" formatCode="_(* #,##0.000_);_(* \(#,##0.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  <xf numFmtId="0" fontId="11" fillId="0" borderId="0"/>
  </cellStyleXfs>
  <cellXfs count="17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169" fontId="11" fillId="0" borderId="0" xfId="4" applyNumberFormat="1" applyAlignment="1">
      <alignment horizontal="right"/>
    </xf>
    <xf numFmtId="0" fontId="0" fillId="3" borderId="2" xfId="0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1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170" fontId="21" fillId="3" borderId="2" xfId="0" applyNumberFormat="1" applyFont="1" applyFill="1" applyBorder="1" applyAlignment="1" applyProtection="1">
      <alignment horizontal="center" vertical="center"/>
      <protection locked="0"/>
    </xf>
    <xf numFmtId="3" fontId="20" fillId="4" borderId="2" xfId="1" applyNumberFormat="1" applyFont="1" applyFill="1" applyBorder="1" applyAlignment="1" applyProtection="1">
      <alignment horizontal="center" vertical="center"/>
      <protection locked="0"/>
    </xf>
    <xf numFmtId="3" fontId="20" fillId="4" borderId="2" xfId="1" quotePrefix="1" applyNumberFormat="1" applyFont="1" applyFill="1" applyBorder="1" applyAlignment="1" applyProtection="1">
      <alignment horizontal="center" vertical="center"/>
      <protection locked="0"/>
    </xf>
    <xf numFmtId="170" fontId="21" fillId="3" borderId="2" xfId="0" quotePrefix="1" applyNumberFormat="1" applyFon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11" fontId="0" fillId="0" borderId="0" xfId="0" applyNumberFormat="1"/>
    <xf numFmtId="0" fontId="10" fillId="0" borderId="0" xfId="5"/>
    <xf numFmtId="0" fontId="11" fillId="0" borderId="0" xfId="6"/>
    <xf numFmtId="0" fontId="11" fillId="0" borderId="0" xfId="6" applyAlignment="1">
      <alignment horizontal="left"/>
    </xf>
    <xf numFmtId="169" fontId="11" fillId="0" borderId="0" xfId="6" applyNumberFormat="1" applyAlignment="1">
      <alignment horizontal="right"/>
    </xf>
    <xf numFmtId="169" fontId="0" fillId="0" borderId="0" xfId="0" applyNumberFormat="1"/>
    <xf numFmtId="0" fontId="25" fillId="0" borderId="0" xfId="3" applyFont="1"/>
    <xf numFmtId="0" fontId="25" fillId="0" borderId="0" xfId="3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43" fontId="0" fillId="0" borderId="0" xfId="0" applyNumberFormat="1"/>
    <xf numFmtId="43" fontId="0" fillId="0" borderId="0" xfId="1" applyFont="1"/>
    <xf numFmtId="165" fontId="0" fillId="0" borderId="0" xfId="1" applyNumberFormat="1" applyFont="1"/>
    <xf numFmtId="43" fontId="2" fillId="0" borderId="0" xfId="1" applyFont="1" applyAlignment="1">
      <alignment horizontal="center" wrapText="1"/>
    </xf>
    <xf numFmtId="174" fontId="0" fillId="2" borderId="10" xfId="1" applyNumberFormat="1" applyFont="1" applyFill="1" applyBorder="1"/>
    <xf numFmtId="165" fontId="0" fillId="0" borderId="8" xfId="1" applyNumberFormat="1" applyFont="1" applyBorder="1"/>
    <xf numFmtId="0" fontId="0" fillId="0" borderId="2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169" fontId="11" fillId="0" borderId="0" xfId="4" applyNumberFormat="1" applyFill="1" applyAlignment="1">
      <alignment horizontal="right"/>
    </xf>
    <xf numFmtId="0" fontId="0" fillId="10" borderId="0" xfId="0" applyFill="1"/>
    <xf numFmtId="174" fontId="0" fillId="10" borderId="0" xfId="0" applyNumberFormat="1" applyFill="1"/>
  </cellXfs>
  <cellStyles count="7">
    <cellStyle name="Comma" xfId="1" builtinId="3"/>
    <cellStyle name="Normal" xfId="0" builtinId="0"/>
    <cellStyle name="Normal 2" xfId="4" xr:uid="{00000000-0005-0000-0000-000002000000}"/>
    <cellStyle name="Normal 3" xfId="6" xr:uid="{00000000-0005-0000-0000-000003000000}"/>
    <cellStyle name="Percent" xfId="2" builtinId="5"/>
    <cellStyle name="Style 22" xfId="3" xr:uid="{00000000-0005-0000-0000-000005000000}"/>
    <cellStyle name="Style 2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20" sqref="D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6</v>
      </c>
    </row>
    <row r="2" spans="1:7" ht="15.75" thickBot="1" x14ac:dyDescent="0.3"/>
    <row r="3" spans="1:7" x14ac:dyDescent="0.25">
      <c r="A3" s="54"/>
      <c r="B3" s="55" t="s">
        <v>10</v>
      </c>
      <c r="C3" s="56" t="s">
        <v>18</v>
      </c>
      <c r="D3" s="61"/>
      <c r="E3" s="59"/>
    </row>
    <row r="4" spans="1:7" x14ac:dyDescent="0.25">
      <c r="A4" s="164" t="s">
        <v>11</v>
      </c>
      <c r="B4" s="166"/>
      <c r="C4" s="32">
        <v>2013</v>
      </c>
      <c r="D4" s="64" t="s">
        <v>31</v>
      </c>
      <c r="E4" s="60"/>
    </row>
    <row r="5" spans="1:7" ht="15.75" thickBot="1" x14ac:dyDescent="0.3">
      <c r="A5" s="167" t="s">
        <v>16</v>
      </c>
      <c r="B5" s="168"/>
      <c r="C5" s="57">
        <v>518257</v>
      </c>
      <c r="D5" s="58">
        <f>+D13/C5</f>
        <v>10.954167526921971</v>
      </c>
      <c r="E5" s="159"/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28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15</v>
      </c>
      <c r="G8" s="47" t="s">
        <v>32</v>
      </c>
    </row>
    <row r="9" spans="1:7" x14ac:dyDescent="0.25">
      <c r="A9" s="37"/>
      <c r="B9" s="11"/>
      <c r="C9" s="11"/>
      <c r="D9" s="13" t="s">
        <v>9</v>
      </c>
      <c r="E9" s="25" t="s">
        <v>22</v>
      </c>
      <c r="F9" s="18" t="s">
        <v>27</v>
      </c>
      <c r="G9" s="48" t="s">
        <v>15</v>
      </c>
    </row>
    <row r="10" spans="1:7" x14ac:dyDescent="0.25">
      <c r="A10" s="164" t="s">
        <v>7</v>
      </c>
      <c r="B10" s="165"/>
      <c r="C10" s="166"/>
      <c r="D10" s="62">
        <v>2561365</v>
      </c>
      <c r="E10" s="12">
        <f>+D10/D13</f>
        <v>0.45117696193496859</v>
      </c>
      <c r="F10" s="33">
        <v>213640</v>
      </c>
      <c r="G10" s="49">
        <f>+D10/F10</f>
        <v>11.989164014229544</v>
      </c>
    </row>
    <row r="11" spans="1:7" x14ac:dyDescent="0.25">
      <c r="A11" s="164" t="s">
        <v>12</v>
      </c>
      <c r="B11" s="165"/>
      <c r="C11" s="166"/>
      <c r="D11" s="62">
        <v>2156445</v>
      </c>
      <c r="E11" s="12">
        <f>+D11/D13</f>
        <v>0.379851486875105</v>
      </c>
      <c r="F11" s="27">
        <v>23372</v>
      </c>
      <c r="G11" s="49">
        <f>+D11/F11</f>
        <v>92.266173198699292</v>
      </c>
    </row>
    <row r="12" spans="1:7" x14ac:dyDescent="0.25">
      <c r="A12" s="164" t="s">
        <v>13</v>
      </c>
      <c r="B12" s="165"/>
      <c r="C12" s="166"/>
      <c r="D12" s="62">
        <v>959264</v>
      </c>
      <c r="E12" s="12">
        <f>+D12/D13</f>
        <v>0.16897155118992635</v>
      </c>
      <c r="F12" s="5"/>
      <c r="G12" s="38"/>
    </row>
    <row r="13" spans="1:7" ht="15.75" thickBot="1" x14ac:dyDescent="0.3">
      <c r="A13" s="39"/>
      <c r="B13" s="169" t="s">
        <v>8</v>
      </c>
      <c r="C13" s="168"/>
      <c r="D13" s="63">
        <f>SUM(D10:D12)</f>
        <v>5677074</v>
      </c>
      <c r="E13" s="40"/>
      <c r="F13" s="41"/>
      <c r="G13" s="42"/>
    </row>
    <row r="15" spans="1:7" ht="19.5" thickBot="1" x14ac:dyDescent="0.35">
      <c r="B15" s="53" t="s">
        <v>29</v>
      </c>
    </row>
    <row r="16" spans="1:7" x14ac:dyDescent="0.25">
      <c r="A16" s="34"/>
      <c r="B16" s="35"/>
      <c r="C16" s="35"/>
      <c r="D16" s="35"/>
      <c r="E16" s="36" t="s">
        <v>23</v>
      </c>
      <c r="F16" s="43" t="s">
        <v>234</v>
      </c>
      <c r="G16" s="44"/>
    </row>
    <row r="17" spans="1:8" ht="18" x14ac:dyDescent="0.35">
      <c r="A17" s="45"/>
      <c r="B17" s="5"/>
      <c r="C17" s="5"/>
      <c r="D17" s="25" t="s">
        <v>14</v>
      </c>
      <c r="E17" s="18" t="s">
        <v>24</v>
      </c>
      <c r="F17" s="14" t="s">
        <v>4</v>
      </c>
      <c r="G17" s="38"/>
    </row>
    <row r="18" spans="1:8" x14ac:dyDescent="0.25">
      <c r="A18" s="164" t="s">
        <v>232</v>
      </c>
      <c r="B18" s="165"/>
      <c r="C18" s="166"/>
      <c r="D18" s="6">
        <f>+'Known Resources'!B41*0.65</f>
        <v>6791154.405425</v>
      </c>
      <c r="E18" s="12">
        <f>+D18/(D18+D20)</f>
        <v>1.1018896156991782</v>
      </c>
      <c r="F18" s="6">
        <f>+'Known Resources'!D41*0.65</f>
        <v>1710950.9207138594</v>
      </c>
      <c r="G18" s="38"/>
    </row>
    <row r="19" spans="1:8" ht="15.75" thickBot="1" x14ac:dyDescent="0.3">
      <c r="A19" s="164" t="s">
        <v>233</v>
      </c>
      <c r="B19" s="165"/>
      <c r="C19" s="166"/>
      <c r="D19" s="6"/>
      <c r="E19" s="12"/>
      <c r="F19" s="162"/>
      <c r="G19" s="38"/>
    </row>
    <row r="20" spans="1:8" ht="18" x14ac:dyDescent="0.35">
      <c r="A20" s="164" t="s">
        <v>26</v>
      </c>
      <c r="B20" s="165"/>
      <c r="C20" s="166"/>
      <c r="D20" s="50">
        <f>+('Unknown Resources'!F60*0.65)</f>
        <v>-627965</v>
      </c>
      <c r="E20" s="51">
        <f>+D20/(D18+D20)</f>
        <v>-0.10188961569917823</v>
      </c>
      <c r="F20" s="66">
        <f>+'Unknown Resources'!G60*0.65</f>
        <v>32.697748304526286</v>
      </c>
      <c r="G20" s="68" t="s">
        <v>30</v>
      </c>
    </row>
    <row r="21" spans="1:8" ht="18.75" thickBot="1" x14ac:dyDescent="0.4">
      <c r="A21" s="39"/>
      <c r="B21" s="41"/>
      <c r="C21" s="41"/>
      <c r="D21" s="65">
        <f>+C4</f>
        <v>2013</v>
      </c>
      <c r="E21" s="46" t="s">
        <v>235</v>
      </c>
      <c r="F21" s="67">
        <f>SUM(F18:F20)</f>
        <v>1710983.618462164</v>
      </c>
      <c r="G21" s="69">
        <f>+F21/G23</f>
        <v>1.6661562609099494</v>
      </c>
    </row>
    <row r="22" spans="1:8" ht="18" x14ac:dyDescent="0.35">
      <c r="A22" t="s">
        <v>183</v>
      </c>
    </row>
    <row r="23" spans="1:8" ht="18" x14ac:dyDescent="0.35">
      <c r="F23" s="17" t="s">
        <v>236</v>
      </c>
      <c r="G23" s="27">
        <f>G28</f>
        <v>1026904.6539054703</v>
      </c>
      <c r="H23" s="24"/>
    </row>
    <row r="25" spans="1:8" x14ac:dyDescent="0.25">
      <c r="C25" s="24" t="s">
        <v>17</v>
      </c>
      <c r="F25" s="19"/>
      <c r="G25" s="19"/>
    </row>
    <row r="26" spans="1:8" x14ac:dyDescent="0.25">
      <c r="E26" s="19"/>
      <c r="F26" s="19"/>
      <c r="G26" s="22" t="s">
        <v>21</v>
      </c>
    </row>
    <row r="27" spans="1:8" ht="18" x14ac:dyDescent="0.35">
      <c r="E27" s="19"/>
      <c r="F27" s="19"/>
      <c r="G27" s="163" t="s">
        <v>237</v>
      </c>
      <c r="H27" s="23" t="s">
        <v>1</v>
      </c>
    </row>
    <row r="28" spans="1:8" x14ac:dyDescent="0.25">
      <c r="E28" s="19"/>
      <c r="F28" s="20" t="s">
        <v>18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19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20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topLeftCell="A31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21" max="21" width="15.42578125" bestFit="1" customWidth="1"/>
    <col min="22" max="22" width="25.7109375" bestFit="1" customWidth="1"/>
  </cols>
  <sheetData>
    <row r="1" spans="1:23" ht="18.75" x14ac:dyDescent="0.3">
      <c r="A1" s="3" t="s">
        <v>5</v>
      </c>
      <c r="B1" s="31">
        <f>+Summary!C4</f>
        <v>2013</v>
      </c>
      <c r="L1" t="s">
        <v>184</v>
      </c>
      <c r="M1" t="s">
        <v>185</v>
      </c>
      <c r="N1" t="s">
        <v>186</v>
      </c>
      <c r="O1" t="s">
        <v>187</v>
      </c>
      <c r="P1" t="s">
        <v>188</v>
      </c>
      <c r="Q1" t="s">
        <v>189</v>
      </c>
      <c r="R1" t="s">
        <v>190</v>
      </c>
      <c r="S1" t="s">
        <v>191</v>
      </c>
      <c r="T1" t="s">
        <v>192</v>
      </c>
      <c r="U1" t="s">
        <v>253</v>
      </c>
      <c r="V1" t="s">
        <v>254</v>
      </c>
      <c r="W1" t="s">
        <v>193</v>
      </c>
    </row>
    <row r="2" spans="1:23" ht="18.75" x14ac:dyDescent="0.3">
      <c r="A2" s="3"/>
      <c r="B2" s="7" t="s">
        <v>25</v>
      </c>
      <c r="C2" s="7">
        <f>+Summary!C4</f>
        <v>2013</v>
      </c>
      <c r="D2" s="7" t="s">
        <v>2</v>
      </c>
      <c r="G2" s="136" t="s">
        <v>89</v>
      </c>
      <c r="H2" s="137">
        <v>222</v>
      </c>
      <c r="I2" s="136" t="s">
        <v>90</v>
      </c>
      <c r="J2" s="138">
        <v>1227151</v>
      </c>
      <c r="L2" t="s">
        <v>194</v>
      </c>
      <c r="M2" t="s">
        <v>195</v>
      </c>
      <c r="N2">
        <v>7456</v>
      </c>
      <c r="O2">
        <v>1</v>
      </c>
      <c r="Q2">
        <v>2013</v>
      </c>
      <c r="R2" t="s">
        <v>196</v>
      </c>
      <c r="S2">
        <v>17654.25</v>
      </c>
      <c r="T2">
        <v>10721.72</v>
      </c>
      <c r="U2" s="158">
        <f>T2/1.1023</f>
        <v>9726.6805769754137</v>
      </c>
      <c r="V2" s="158">
        <f>U2+Z44</f>
        <v>9745.3693825914143</v>
      </c>
      <c r="W2">
        <v>180405.546</v>
      </c>
    </row>
    <row r="3" spans="1:23" ht="19.5" x14ac:dyDescent="0.35">
      <c r="A3" s="4" t="s">
        <v>0</v>
      </c>
      <c r="B3" s="8">
        <f>+Summary!C4</f>
        <v>2013</v>
      </c>
      <c r="C3" s="8" t="s">
        <v>3</v>
      </c>
      <c r="D3" s="8" t="s">
        <v>4</v>
      </c>
      <c r="E3" s="2"/>
      <c r="G3" s="136" t="s">
        <v>91</v>
      </c>
      <c r="H3" s="137">
        <v>149</v>
      </c>
      <c r="I3" s="136" t="s">
        <v>92</v>
      </c>
      <c r="J3" s="138">
        <v>33688</v>
      </c>
      <c r="L3" t="s">
        <v>194</v>
      </c>
      <c r="M3" t="s">
        <v>195</v>
      </c>
      <c r="N3">
        <v>7456</v>
      </c>
      <c r="O3">
        <v>2</v>
      </c>
      <c r="Q3">
        <v>2013</v>
      </c>
      <c r="R3" t="s">
        <v>196</v>
      </c>
      <c r="S3">
        <v>17241.87</v>
      </c>
      <c r="T3">
        <v>10710.307000000001</v>
      </c>
      <c r="U3" s="158">
        <f t="shared" ref="U3:U7" si="0">T3/1.1023</f>
        <v>9716.3267712963807</v>
      </c>
      <c r="V3" s="158">
        <f>U3</f>
        <v>9716.3267712963807</v>
      </c>
      <c r="W3">
        <v>180239.443</v>
      </c>
    </row>
    <row r="4" spans="1:23" x14ac:dyDescent="0.25">
      <c r="A4" s="26" t="s">
        <v>33</v>
      </c>
      <c r="B4" s="27">
        <f>0.15*(S5+S6)</f>
        <v>1336144.9544999998</v>
      </c>
      <c r="C4" s="145">
        <f>D4/B4</f>
        <v>0.95962107930148477</v>
      </c>
      <c r="D4" s="6">
        <f>V5+V6</f>
        <v>1282192.8633405231</v>
      </c>
      <c r="G4" s="136" t="s">
        <v>93</v>
      </c>
      <c r="H4" s="137">
        <v>61.2</v>
      </c>
      <c r="I4" s="136" t="s">
        <v>92</v>
      </c>
      <c r="J4" s="138">
        <v>222</v>
      </c>
      <c r="L4" t="s">
        <v>194</v>
      </c>
      <c r="M4" t="s">
        <v>197</v>
      </c>
      <c r="N4">
        <v>55179</v>
      </c>
      <c r="O4" t="s">
        <v>198</v>
      </c>
      <c r="Q4">
        <v>2013</v>
      </c>
      <c r="R4" t="s">
        <v>196</v>
      </c>
      <c r="S4">
        <v>1684625.55</v>
      </c>
      <c r="T4">
        <v>692761.81599999999</v>
      </c>
      <c r="U4" s="158">
        <f t="shared" si="0"/>
        <v>628469.39671595755</v>
      </c>
      <c r="V4" s="158">
        <f>U4+Z50</f>
        <v>629083.00937317358</v>
      </c>
      <c r="W4" s="146">
        <v>11656127.307</v>
      </c>
    </row>
    <row r="5" spans="1:23" x14ac:dyDescent="0.25">
      <c r="A5" s="28" t="s">
        <v>34</v>
      </c>
      <c r="B5" s="27">
        <f>S2+S3</f>
        <v>34896.119999999995</v>
      </c>
      <c r="C5" s="145">
        <f t="shared" ref="C5:C9" si="1">D5/B5</f>
        <v>0.55770372619900999</v>
      </c>
      <c r="D5" s="6">
        <f>V2+V3</f>
        <v>19461.696153887795</v>
      </c>
      <c r="G5" s="136" t="s">
        <v>94</v>
      </c>
      <c r="H5" s="137">
        <v>24</v>
      </c>
      <c r="I5" s="136" t="s">
        <v>92</v>
      </c>
      <c r="J5" s="138">
        <v>25921</v>
      </c>
      <c r="L5" t="s">
        <v>199</v>
      </c>
      <c r="M5" t="s">
        <v>200</v>
      </c>
      <c r="N5">
        <v>6076</v>
      </c>
      <c r="O5">
        <v>3</v>
      </c>
      <c r="Q5">
        <v>2013</v>
      </c>
      <c r="R5" t="s">
        <v>196</v>
      </c>
      <c r="S5">
        <v>6556031.8799999999</v>
      </c>
      <c r="T5">
        <v>6858347.6840000004</v>
      </c>
      <c r="U5" s="158">
        <f>(0.15*T5)/1.1023</f>
        <v>933277.83053615165</v>
      </c>
      <c r="V5" s="158">
        <f>U5+Z42+Z43</f>
        <v>942796.12497528666</v>
      </c>
      <c r="W5" s="146">
        <v>65392320.759999998</v>
      </c>
    </row>
    <row r="6" spans="1:23" x14ac:dyDescent="0.25">
      <c r="A6" s="28" t="s">
        <v>35</v>
      </c>
      <c r="B6" s="27">
        <f>J4</f>
        <v>222</v>
      </c>
      <c r="C6" s="145">
        <f t="shared" si="1"/>
        <v>0.76586560676756754</v>
      </c>
      <c r="D6" s="6">
        <f>W28+Z45</f>
        <v>170.0221647024</v>
      </c>
      <c r="G6" s="136" t="s">
        <v>95</v>
      </c>
      <c r="H6" s="137">
        <v>278.3</v>
      </c>
      <c r="I6" s="136" t="s">
        <v>92</v>
      </c>
      <c r="J6" s="138">
        <v>1796280</v>
      </c>
      <c r="L6" t="s">
        <v>199</v>
      </c>
      <c r="M6" t="s">
        <v>200</v>
      </c>
      <c r="N6">
        <v>6076</v>
      </c>
      <c r="O6">
        <v>4</v>
      </c>
      <c r="Q6">
        <v>2013</v>
      </c>
      <c r="R6" t="s">
        <v>196</v>
      </c>
      <c r="S6">
        <v>2351601.15</v>
      </c>
      <c r="T6">
        <v>2494113.4980000001</v>
      </c>
      <c r="U6" s="158">
        <f>(0.15*T6)/1.1023</f>
        <v>339396.73836523632</v>
      </c>
      <c r="V6" s="158">
        <f>U6</f>
        <v>339396.73836523632</v>
      </c>
      <c r="W6" s="146">
        <v>23780646.502</v>
      </c>
    </row>
    <row r="7" spans="1:23" x14ac:dyDescent="0.25">
      <c r="A7" s="28" t="s">
        <v>36</v>
      </c>
      <c r="B7" s="27">
        <f>J5</f>
        <v>25921</v>
      </c>
      <c r="C7" s="145">
        <f t="shared" si="1"/>
        <v>0.49698629760833296</v>
      </c>
      <c r="D7" s="6">
        <f>W29+Z46</f>
        <v>12882.381820305598</v>
      </c>
      <c r="G7" s="136" t="s">
        <v>96</v>
      </c>
      <c r="H7" s="137">
        <v>6.9</v>
      </c>
      <c r="I7" s="136" t="s">
        <v>92</v>
      </c>
      <c r="J7" s="139">
        <v>5632</v>
      </c>
      <c r="L7" t="s">
        <v>201</v>
      </c>
      <c r="M7" t="s">
        <v>202</v>
      </c>
      <c r="N7">
        <v>7350</v>
      </c>
      <c r="O7" t="s">
        <v>203</v>
      </c>
      <c r="Q7">
        <v>2013</v>
      </c>
      <c r="R7" t="s">
        <v>196</v>
      </c>
      <c r="S7">
        <v>1823378.23</v>
      </c>
      <c r="T7">
        <v>754021.04399999999</v>
      </c>
      <c r="U7" s="158">
        <f t="shared" si="0"/>
        <v>684043.40379207104</v>
      </c>
      <c r="V7" s="158">
        <f>U7+Z47</f>
        <v>684701.29095363908</v>
      </c>
      <c r="W7" s="146">
        <v>12687909.27</v>
      </c>
    </row>
    <row r="8" spans="1:23" x14ac:dyDescent="0.25">
      <c r="A8" s="28" t="s">
        <v>37</v>
      </c>
      <c r="B8" s="27">
        <f>S7</f>
        <v>1823378.23</v>
      </c>
      <c r="C8" s="145">
        <f t="shared" si="1"/>
        <v>0.37551248539017551</v>
      </c>
      <c r="D8" s="6">
        <f>V7</f>
        <v>684701.29095363908</v>
      </c>
      <c r="G8" s="136" t="s">
        <v>97</v>
      </c>
      <c r="H8" s="140">
        <v>50</v>
      </c>
      <c r="I8" s="136" t="s">
        <v>98</v>
      </c>
      <c r="J8" s="138">
        <v>294063</v>
      </c>
    </row>
    <row r="9" spans="1:23" x14ac:dyDescent="0.25">
      <c r="A9" s="28" t="s">
        <v>38</v>
      </c>
      <c r="B9" s="27">
        <f>J7</f>
        <v>5632</v>
      </c>
      <c r="C9" s="145">
        <f t="shared" si="1"/>
        <v>0.66422619094431823</v>
      </c>
      <c r="D9" s="6">
        <f>W31+Z48</f>
        <v>3740.9219073984004</v>
      </c>
      <c r="G9" s="136" t="s">
        <v>99</v>
      </c>
      <c r="H9" s="137">
        <v>15</v>
      </c>
      <c r="I9" s="136" t="s">
        <v>100</v>
      </c>
      <c r="J9" s="138">
        <v>104654</v>
      </c>
    </row>
    <row r="10" spans="1:23" x14ac:dyDescent="0.25">
      <c r="A10" s="28" t="s">
        <v>255</v>
      </c>
      <c r="B10" s="27">
        <f>J8</f>
        <v>294063</v>
      </c>
      <c r="C10" s="27">
        <v>0</v>
      </c>
      <c r="D10" s="6">
        <f t="shared" ref="D6:D10" si="2">(+B10*C10)/2000</f>
        <v>0</v>
      </c>
      <c r="G10" s="136" t="s">
        <v>101</v>
      </c>
      <c r="H10" s="137">
        <v>18</v>
      </c>
      <c r="I10" s="136" t="s">
        <v>100</v>
      </c>
      <c r="J10" s="138">
        <v>84904</v>
      </c>
    </row>
    <row r="11" spans="1:23" x14ac:dyDescent="0.25">
      <c r="A11" s="28" t="s">
        <v>39</v>
      </c>
      <c r="B11" s="27">
        <f>J9</f>
        <v>104654</v>
      </c>
      <c r="C11" s="27">
        <v>0</v>
      </c>
      <c r="D11" s="6">
        <f t="shared" ref="D11:D40" si="3">(+B11*C11)/2000</f>
        <v>0</v>
      </c>
      <c r="G11" s="136" t="s">
        <v>102</v>
      </c>
      <c r="H11" s="137">
        <v>17.600000000000001</v>
      </c>
      <c r="I11" s="136" t="s">
        <v>100</v>
      </c>
      <c r="J11" s="138">
        <v>82922</v>
      </c>
    </row>
    <row r="12" spans="1:23" x14ac:dyDescent="0.25">
      <c r="A12" s="28" t="s">
        <v>40</v>
      </c>
      <c r="B12" s="27">
        <f>J10</f>
        <v>84904</v>
      </c>
      <c r="C12" s="27">
        <v>0</v>
      </c>
      <c r="D12" s="6">
        <f t="shared" si="3"/>
        <v>0</v>
      </c>
      <c r="G12" s="136" t="s">
        <v>103</v>
      </c>
      <c r="H12" s="137">
        <v>34.6</v>
      </c>
      <c r="I12" s="136" t="s">
        <v>100</v>
      </c>
      <c r="J12" s="138">
        <v>176539</v>
      </c>
    </row>
    <row r="13" spans="1:23" x14ac:dyDescent="0.25">
      <c r="A13" s="28" t="s">
        <v>41</v>
      </c>
      <c r="B13" s="27">
        <f t="shared" ref="B13:B18" si="4">J11</f>
        <v>82922</v>
      </c>
      <c r="C13" s="27">
        <v>0</v>
      </c>
      <c r="D13" s="6">
        <f t="shared" si="3"/>
        <v>0</v>
      </c>
      <c r="G13" s="136" t="s">
        <v>104</v>
      </c>
      <c r="H13" s="137">
        <v>87</v>
      </c>
      <c r="I13" s="136" t="s">
        <v>100</v>
      </c>
      <c r="J13" s="138">
        <v>504779</v>
      </c>
    </row>
    <row r="14" spans="1:23" x14ac:dyDescent="0.25">
      <c r="A14" s="28" t="s">
        <v>42</v>
      </c>
      <c r="B14" s="27">
        <f t="shared" si="4"/>
        <v>176539</v>
      </c>
      <c r="C14" s="27">
        <v>0</v>
      </c>
      <c r="D14" s="6">
        <f t="shared" si="3"/>
        <v>0</v>
      </c>
      <c r="G14" s="136" t="s">
        <v>105</v>
      </c>
      <c r="H14" s="137">
        <v>10.199999999999999</v>
      </c>
      <c r="I14" s="136" t="s">
        <v>100</v>
      </c>
      <c r="J14" s="138">
        <v>68384</v>
      </c>
    </row>
    <row r="15" spans="1:23" x14ac:dyDescent="0.25">
      <c r="A15" s="28" t="s">
        <v>43</v>
      </c>
      <c r="B15" s="27">
        <f t="shared" si="4"/>
        <v>504779</v>
      </c>
      <c r="C15" s="27">
        <v>0</v>
      </c>
      <c r="D15" s="6">
        <f t="shared" si="3"/>
        <v>0</v>
      </c>
      <c r="G15" s="136" t="s">
        <v>106</v>
      </c>
      <c r="H15" s="137">
        <v>254.6</v>
      </c>
      <c r="I15" s="136" t="s">
        <v>100</v>
      </c>
      <c r="J15" s="138">
        <v>1042427</v>
      </c>
    </row>
    <row r="16" spans="1:23" x14ac:dyDescent="0.25">
      <c r="A16" s="28" t="s">
        <v>44</v>
      </c>
      <c r="B16" s="27">
        <f t="shared" si="4"/>
        <v>68384</v>
      </c>
      <c r="C16" s="27">
        <v>0</v>
      </c>
      <c r="D16" s="6">
        <f t="shared" si="3"/>
        <v>0</v>
      </c>
      <c r="G16" s="136" t="s">
        <v>107</v>
      </c>
      <c r="H16" s="137">
        <v>562.4</v>
      </c>
      <c r="I16" s="136" t="s">
        <v>100</v>
      </c>
      <c r="J16" s="138">
        <v>1581223</v>
      </c>
    </row>
    <row r="17" spans="1:23" x14ac:dyDescent="0.25">
      <c r="A17" s="28" t="s">
        <v>45</v>
      </c>
      <c r="B17" s="27">
        <f t="shared" si="4"/>
        <v>1042427</v>
      </c>
      <c r="C17" s="27">
        <v>0</v>
      </c>
      <c r="D17" s="6">
        <f t="shared" si="3"/>
        <v>0</v>
      </c>
    </row>
    <row r="18" spans="1:23" x14ac:dyDescent="0.25">
      <c r="A18" s="28" t="s">
        <v>46</v>
      </c>
      <c r="B18" s="27">
        <f t="shared" si="4"/>
        <v>1581223</v>
      </c>
      <c r="C18" s="27">
        <v>0</v>
      </c>
      <c r="D18" s="6">
        <f t="shared" si="3"/>
        <v>0</v>
      </c>
    </row>
    <row r="19" spans="1:23" ht="15.75" x14ac:dyDescent="0.25">
      <c r="A19" s="28" t="s">
        <v>79</v>
      </c>
      <c r="B19" s="27">
        <f>S4</f>
        <v>1684625.55</v>
      </c>
      <c r="C19" s="145">
        <f>D19/B19</f>
        <v>0.37342601705950235</v>
      </c>
      <c r="D19" s="6">
        <f>V4</f>
        <v>629083.00937317358</v>
      </c>
      <c r="G19" s="75" t="s">
        <v>108</v>
      </c>
      <c r="H19" s="76"/>
      <c r="I19" s="77"/>
      <c r="J19" s="77"/>
      <c r="K19" s="170" t="s">
        <v>109</v>
      </c>
      <c r="L19" s="171"/>
      <c r="M19" s="170" t="s">
        <v>110</v>
      </c>
      <c r="N19" s="172"/>
      <c r="O19" s="172"/>
      <c r="P19" s="172"/>
      <c r="Q19" s="171"/>
      <c r="R19" s="170" t="s">
        <v>111</v>
      </c>
      <c r="S19" s="172"/>
      <c r="T19" s="78" t="s">
        <v>112</v>
      </c>
      <c r="U19" s="78" t="s">
        <v>113</v>
      </c>
      <c r="V19" s="170" t="s">
        <v>114</v>
      </c>
      <c r="W19" s="171"/>
    </row>
    <row r="20" spans="1:23" ht="15.75" x14ac:dyDescent="0.25">
      <c r="A20" s="28" t="s">
        <v>168</v>
      </c>
      <c r="B20" s="27">
        <v>0</v>
      </c>
      <c r="C20" s="27">
        <v>0</v>
      </c>
      <c r="D20" s="6">
        <f t="shared" si="3"/>
        <v>0</v>
      </c>
      <c r="G20" s="79" t="s">
        <v>115</v>
      </c>
      <c r="H20" s="80">
        <v>2013</v>
      </c>
      <c r="I20" s="77"/>
      <c r="J20" s="81"/>
      <c r="K20" s="82" t="s">
        <v>116</v>
      </c>
      <c r="L20" s="82" t="s">
        <v>117</v>
      </c>
      <c r="M20" s="83" t="s">
        <v>118</v>
      </c>
      <c r="N20" s="84" t="s">
        <v>119</v>
      </c>
      <c r="O20" s="83" t="s">
        <v>120</v>
      </c>
      <c r="P20" s="83" t="s">
        <v>121</v>
      </c>
      <c r="Q20" s="83" t="s">
        <v>122</v>
      </c>
      <c r="R20" s="84" t="s">
        <v>123</v>
      </c>
      <c r="S20" s="84" t="s">
        <v>124</v>
      </c>
      <c r="T20" s="85" t="s">
        <v>125</v>
      </c>
      <c r="U20" s="85" t="s">
        <v>126</v>
      </c>
      <c r="V20" s="85" t="s">
        <v>127</v>
      </c>
      <c r="W20" s="86" t="s">
        <v>128</v>
      </c>
    </row>
    <row r="21" spans="1:23" ht="75.75" x14ac:dyDescent="0.25">
      <c r="A21" s="28" t="s">
        <v>169</v>
      </c>
      <c r="B21" s="27">
        <v>277931</v>
      </c>
      <c r="C21" s="27">
        <v>0</v>
      </c>
      <c r="D21" s="6">
        <f t="shared" si="3"/>
        <v>0</v>
      </c>
      <c r="G21" s="87"/>
      <c r="H21" s="88"/>
      <c r="I21" s="89"/>
      <c r="J21" s="90"/>
      <c r="K21" s="91" t="s">
        <v>129</v>
      </c>
      <c r="L21" s="91" t="s">
        <v>130</v>
      </c>
      <c r="M21" s="91" t="s">
        <v>131</v>
      </c>
      <c r="N21" s="91" t="s">
        <v>132</v>
      </c>
      <c r="O21" s="91" t="s">
        <v>133</v>
      </c>
      <c r="P21" s="91" t="s">
        <v>134</v>
      </c>
      <c r="Q21" s="91" t="s">
        <v>135</v>
      </c>
      <c r="R21" s="92" t="s">
        <v>136</v>
      </c>
      <c r="S21" s="92" t="s">
        <v>137</v>
      </c>
      <c r="T21" s="92" t="s">
        <v>138</v>
      </c>
      <c r="U21" s="92" t="s">
        <v>139</v>
      </c>
      <c r="V21" s="92" t="s">
        <v>140</v>
      </c>
      <c r="W21" s="93" t="s">
        <v>141</v>
      </c>
    </row>
    <row r="22" spans="1:23" ht="45" x14ac:dyDescent="0.25">
      <c r="A22" s="28" t="s">
        <v>170</v>
      </c>
      <c r="B22" s="27">
        <v>158</v>
      </c>
      <c r="C22" s="27">
        <v>0</v>
      </c>
      <c r="D22" s="6">
        <f t="shared" si="3"/>
        <v>0</v>
      </c>
      <c r="G22" s="94"/>
      <c r="H22" s="76"/>
      <c r="I22" s="95"/>
      <c r="J22" s="81"/>
      <c r="K22" s="96"/>
      <c r="L22" s="96"/>
      <c r="M22" s="96"/>
      <c r="N22" s="96"/>
      <c r="O22" s="97" t="s">
        <v>142</v>
      </c>
      <c r="P22" s="97" t="s">
        <v>143</v>
      </c>
      <c r="Q22" s="97"/>
      <c r="R22" s="98"/>
      <c r="S22" s="98"/>
      <c r="T22" s="99"/>
      <c r="U22" s="99"/>
      <c r="V22" s="93" t="s">
        <v>144</v>
      </c>
      <c r="W22" s="100" t="s">
        <v>145</v>
      </c>
    </row>
    <row r="23" spans="1:23" x14ac:dyDescent="0.25">
      <c r="A23" s="28" t="s">
        <v>171</v>
      </c>
      <c r="B23" s="27">
        <v>3463</v>
      </c>
      <c r="C23" s="27">
        <v>0</v>
      </c>
      <c r="D23" s="6">
        <f t="shared" si="3"/>
        <v>0</v>
      </c>
      <c r="G23" s="101">
        <v>0</v>
      </c>
      <c r="H23" s="102" t="s">
        <v>146</v>
      </c>
      <c r="I23" s="103" t="s">
        <v>92</v>
      </c>
      <c r="J23" s="104">
        <v>0.5</v>
      </c>
      <c r="K23" s="105">
        <v>1000</v>
      </c>
      <c r="L23" s="106" t="s">
        <v>147</v>
      </c>
      <c r="M23" s="107">
        <v>5.0999999999999997E-2</v>
      </c>
      <c r="N23" s="108" t="s">
        <v>148</v>
      </c>
      <c r="O23" s="106" t="s">
        <v>149</v>
      </c>
      <c r="P23" s="105">
        <f>K23*M23</f>
        <v>51</v>
      </c>
      <c r="Q23" s="109" t="s">
        <v>150</v>
      </c>
      <c r="R23" s="110">
        <v>14</v>
      </c>
      <c r="S23" s="106" t="s">
        <v>151</v>
      </c>
      <c r="T23" s="111">
        <v>1</v>
      </c>
      <c r="U23" s="112">
        <v>1</v>
      </c>
      <c r="V23" s="113">
        <f>+P23*R23*T23*U23*3.66666666666667</f>
        <v>2618.0000000000023</v>
      </c>
      <c r="W23" s="114">
        <f>V23/1000</f>
        <v>2.6180000000000021</v>
      </c>
    </row>
    <row r="24" spans="1:23" x14ac:dyDescent="0.25">
      <c r="A24" s="28" t="s">
        <v>172</v>
      </c>
      <c r="B24" s="27">
        <v>346963</v>
      </c>
      <c r="C24" s="27">
        <v>0</v>
      </c>
      <c r="D24" s="6">
        <f t="shared" si="3"/>
        <v>0</v>
      </c>
      <c r="G24" s="115" t="s">
        <v>152</v>
      </c>
      <c r="H24" s="115" t="s">
        <v>153</v>
      </c>
      <c r="I24" s="116" t="s">
        <v>154</v>
      </c>
      <c r="J24" s="116" t="s">
        <v>155</v>
      </c>
      <c r="K24" s="117"/>
      <c r="L24" s="118"/>
      <c r="M24" s="118"/>
      <c r="N24" s="118"/>
      <c r="O24" s="118"/>
      <c r="P24" s="118"/>
      <c r="Q24" s="118"/>
      <c r="R24" s="119"/>
      <c r="S24" s="120"/>
      <c r="T24" s="121"/>
      <c r="U24" s="121"/>
      <c r="V24" s="121"/>
      <c r="W24" s="118"/>
    </row>
    <row r="25" spans="1:23" ht="30" x14ac:dyDescent="0.25">
      <c r="A25" s="28" t="s">
        <v>173</v>
      </c>
      <c r="B25" s="27">
        <v>11326</v>
      </c>
      <c r="C25" s="27">
        <v>0</v>
      </c>
      <c r="D25" s="6">
        <f t="shared" si="3"/>
        <v>0</v>
      </c>
      <c r="G25" s="122">
        <v>1</v>
      </c>
      <c r="H25" s="74" t="s">
        <v>33</v>
      </c>
      <c r="I25" s="74" t="s">
        <v>90</v>
      </c>
      <c r="J25" s="123">
        <v>0.15</v>
      </c>
      <c r="K25" s="124">
        <v>768825</v>
      </c>
      <c r="L25" s="125" t="s">
        <v>156</v>
      </c>
      <c r="M25" s="126">
        <v>17.024999999999999</v>
      </c>
      <c r="N25" s="125" t="s">
        <v>157</v>
      </c>
      <c r="O25" s="125" t="s">
        <v>149</v>
      </c>
      <c r="P25" s="127">
        <f>K25*M25</f>
        <v>13089245.624999998</v>
      </c>
      <c r="Q25" s="128" t="s">
        <v>158</v>
      </c>
      <c r="R25" s="129">
        <v>93.4</v>
      </c>
      <c r="S25" s="128" t="s">
        <v>159</v>
      </c>
      <c r="T25" s="130">
        <v>0.98</v>
      </c>
      <c r="U25" s="131">
        <v>1</v>
      </c>
      <c r="V25" s="132">
        <f t="shared" ref="V25:V32" si="5">+P25*R25*T25*U25</f>
        <v>1198084830.5474999</v>
      </c>
      <c r="W25" s="132">
        <f t="shared" ref="W25:W32" si="6">V25/1000</f>
        <v>1198084.8305474999</v>
      </c>
    </row>
    <row r="26" spans="1:23" ht="25.5" x14ac:dyDescent="0.25">
      <c r="A26" s="28" t="s">
        <v>174</v>
      </c>
      <c r="B26" s="27">
        <v>73478</v>
      </c>
      <c r="C26" s="27">
        <v>0</v>
      </c>
      <c r="D26" s="6">
        <f t="shared" si="3"/>
        <v>0</v>
      </c>
      <c r="G26" s="122">
        <f t="shared" ref="G26:G33" si="7">G25+1</f>
        <v>2</v>
      </c>
      <c r="H26" s="74" t="s">
        <v>33</v>
      </c>
      <c r="I26" s="74" t="s">
        <v>160</v>
      </c>
      <c r="J26" s="133">
        <v>0.15</v>
      </c>
      <c r="K26" s="124">
        <v>1648</v>
      </c>
      <c r="L26" s="125" t="s">
        <v>161</v>
      </c>
      <c r="M26" s="129">
        <f>140000*42/1000000</f>
        <v>5.88</v>
      </c>
      <c r="N26" s="134" t="s">
        <v>162</v>
      </c>
      <c r="O26" s="125" t="s">
        <v>149</v>
      </c>
      <c r="P26" s="127">
        <f>(K26*M26)</f>
        <v>9690.24</v>
      </c>
      <c r="Q26" s="128" t="s">
        <v>158</v>
      </c>
      <c r="R26" s="129">
        <v>73.959999999999994</v>
      </c>
      <c r="S26" s="128" t="s">
        <v>159</v>
      </c>
      <c r="T26" s="130">
        <v>0.99</v>
      </c>
      <c r="U26" s="131">
        <v>1</v>
      </c>
      <c r="V26" s="132">
        <f t="shared" si="5"/>
        <v>709523.24889599998</v>
      </c>
      <c r="W26" s="132">
        <f t="shared" si="6"/>
        <v>709.52324889599993</v>
      </c>
    </row>
    <row r="27" spans="1:23" x14ac:dyDescent="0.25">
      <c r="A27" s="28" t="s">
        <v>175</v>
      </c>
      <c r="B27" s="27">
        <v>1248</v>
      </c>
      <c r="C27" s="27">
        <v>0</v>
      </c>
      <c r="D27" s="6">
        <f t="shared" si="3"/>
        <v>0</v>
      </c>
      <c r="G27" s="122">
        <f t="shared" si="7"/>
        <v>3</v>
      </c>
      <c r="H27" s="74" t="s">
        <v>163</v>
      </c>
      <c r="I27" s="74" t="s">
        <v>92</v>
      </c>
      <c r="J27" s="133">
        <v>1</v>
      </c>
      <c r="K27" s="129">
        <v>349.61099999999999</v>
      </c>
      <c r="L27" s="125" t="s">
        <v>164</v>
      </c>
      <c r="M27" s="135">
        <v>1028</v>
      </c>
      <c r="N27" s="125" t="s">
        <v>165</v>
      </c>
      <c r="O27" s="125" t="s">
        <v>149</v>
      </c>
      <c r="P27" s="127">
        <f t="shared" ref="P27:P31" si="8">K27*M27</f>
        <v>359400.10800000001</v>
      </c>
      <c r="Q27" s="128" t="s">
        <v>158</v>
      </c>
      <c r="R27" s="129">
        <v>53.02</v>
      </c>
      <c r="S27" s="128" t="s">
        <v>159</v>
      </c>
      <c r="T27" s="130">
        <v>0.995</v>
      </c>
      <c r="U27" s="131">
        <v>1</v>
      </c>
      <c r="V27" s="132">
        <f t="shared" si="5"/>
        <v>18960116.757529199</v>
      </c>
      <c r="W27" s="132">
        <f t="shared" si="6"/>
        <v>18960.116757529198</v>
      </c>
    </row>
    <row r="28" spans="1:23" x14ac:dyDescent="0.25">
      <c r="A28" s="28" t="s">
        <v>176</v>
      </c>
      <c r="B28" s="27">
        <v>297027</v>
      </c>
      <c r="C28" s="27">
        <v>0</v>
      </c>
      <c r="D28" s="6">
        <f t="shared" si="3"/>
        <v>0</v>
      </c>
      <c r="G28" s="122">
        <f t="shared" si="7"/>
        <v>4</v>
      </c>
      <c r="H28" s="74" t="s">
        <v>166</v>
      </c>
      <c r="I28" s="74" t="s">
        <v>92</v>
      </c>
      <c r="J28" s="133">
        <v>1</v>
      </c>
      <c r="K28" s="129">
        <v>3.1320000000000001</v>
      </c>
      <c r="L28" s="125" t="s">
        <v>164</v>
      </c>
      <c r="M28" s="135">
        <v>1028</v>
      </c>
      <c r="N28" s="125" t="s">
        <v>165</v>
      </c>
      <c r="O28" s="125" t="s">
        <v>149</v>
      </c>
      <c r="P28" s="127">
        <f t="shared" si="8"/>
        <v>3219.6959999999999</v>
      </c>
      <c r="Q28" s="128" t="s">
        <v>158</v>
      </c>
      <c r="R28" s="129">
        <v>53.02</v>
      </c>
      <c r="S28" s="128" t="s">
        <v>159</v>
      </c>
      <c r="T28" s="130">
        <v>0.995</v>
      </c>
      <c r="U28" s="131">
        <v>1</v>
      </c>
      <c r="V28" s="132">
        <f t="shared" si="5"/>
        <v>169854.74051040001</v>
      </c>
      <c r="W28" s="132">
        <f t="shared" si="6"/>
        <v>169.85474051040001</v>
      </c>
    </row>
    <row r="29" spans="1:23" x14ac:dyDescent="0.25">
      <c r="A29" s="28" t="s">
        <v>177</v>
      </c>
      <c r="B29" s="27">
        <v>63</v>
      </c>
      <c r="C29" s="27">
        <v>0</v>
      </c>
      <c r="D29" s="6">
        <f t="shared" si="3"/>
        <v>0</v>
      </c>
      <c r="G29" s="122">
        <f t="shared" si="7"/>
        <v>5</v>
      </c>
      <c r="H29" s="74" t="s">
        <v>36</v>
      </c>
      <c r="I29" s="74" t="s">
        <v>92</v>
      </c>
      <c r="J29" s="133">
        <v>1</v>
      </c>
      <c r="K29" s="129">
        <v>237.30799999999999</v>
      </c>
      <c r="L29" s="125" t="s">
        <v>164</v>
      </c>
      <c r="M29" s="135">
        <v>1028</v>
      </c>
      <c r="N29" s="125" t="s">
        <v>165</v>
      </c>
      <c r="O29" s="125" t="s">
        <v>149</v>
      </c>
      <c r="P29" s="127">
        <f t="shared" si="8"/>
        <v>243952.62399999998</v>
      </c>
      <c r="Q29" s="128" t="s">
        <v>158</v>
      </c>
      <c r="R29" s="129">
        <v>53.02</v>
      </c>
      <c r="S29" s="128" t="s">
        <v>159</v>
      </c>
      <c r="T29" s="130">
        <v>0.995</v>
      </c>
      <c r="U29" s="131">
        <v>1</v>
      </c>
      <c r="V29" s="132">
        <f t="shared" si="5"/>
        <v>12869696.283857599</v>
      </c>
      <c r="W29" s="132">
        <f t="shared" si="6"/>
        <v>12869.696283857598</v>
      </c>
    </row>
    <row r="30" spans="1:23" x14ac:dyDescent="0.25">
      <c r="A30" s="28" t="s">
        <v>178</v>
      </c>
      <c r="B30" s="27">
        <f>131448+177116+36891</f>
        <v>345455</v>
      </c>
      <c r="C30" s="27">
        <v>0</v>
      </c>
      <c r="D30" s="6">
        <f t="shared" si="3"/>
        <v>0</v>
      </c>
      <c r="G30" s="122">
        <f t="shared" si="7"/>
        <v>6</v>
      </c>
      <c r="H30" s="74" t="s">
        <v>37</v>
      </c>
      <c r="I30" s="74" t="s">
        <v>92</v>
      </c>
      <c r="J30" s="133">
        <v>1</v>
      </c>
      <c r="K30" s="129">
        <v>12307.078</v>
      </c>
      <c r="L30" s="125" t="s">
        <v>164</v>
      </c>
      <c r="M30" s="135">
        <v>1028</v>
      </c>
      <c r="N30" s="125" t="s">
        <v>165</v>
      </c>
      <c r="O30" s="125" t="s">
        <v>149</v>
      </c>
      <c r="P30" s="127">
        <f t="shared" si="8"/>
        <v>12651676.184</v>
      </c>
      <c r="Q30" s="128" t="s">
        <v>158</v>
      </c>
      <c r="R30" s="129">
        <v>53.02</v>
      </c>
      <c r="S30" s="128" t="s">
        <v>159</v>
      </c>
      <c r="T30" s="130">
        <v>0.995</v>
      </c>
      <c r="U30" s="131">
        <v>1</v>
      </c>
      <c r="V30" s="132">
        <f t="shared" si="5"/>
        <v>667437911.91930163</v>
      </c>
      <c r="W30" s="132">
        <f t="shared" si="6"/>
        <v>667437.91191930161</v>
      </c>
    </row>
    <row r="31" spans="1:23" x14ac:dyDescent="0.25">
      <c r="A31" s="28" t="s">
        <v>179</v>
      </c>
      <c r="B31" s="27">
        <v>9583</v>
      </c>
      <c r="C31" s="27">
        <v>0</v>
      </c>
      <c r="D31" s="6">
        <f t="shared" si="3"/>
        <v>0</v>
      </c>
      <c r="G31" s="122">
        <f t="shared" si="7"/>
        <v>7</v>
      </c>
      <c r="H31" s="74" t="s">
        <v>38</v>
      </c>
      <c r="I31" s="74" t="s">
        <v>92</v>
      </c>
      <c r="J31" s="133">
        <v>1</v>
      </c>
      <c r="K31" s="129">
        <v>68.912000000000006</v>
      </c>
      <c r="L31" s="125" t="s">
        <v>164</v>
      </c>
      <c r="M31" s="135">
        <v>1028</v>
      </c>
      <c r="N31" s="125" t="s">
        <v>165</v>
      </c>
      <c r="O31" s="125" t="s">
        <v>149</v>
      </c>
      <c r="P31" s="127">
        <f t="shared" si="8"/>
        <v>70841.536000000007</v>
      </c>
      <c r="Q31" s="128" t="s">
        <v>158</v>
      </c>
      <c r="R31" s="129">
        <v>53.02</v>
      </c>
      <c r="S31" s="128" t="s">
        <v>159</v>
      </c>
      <c r="T31" s="130">
        <v>0.995</v>
      </c>
      <c r="U31" s="131">
        <v>1</v>
      </c>
      <c r="V31" s="132">
        <f t="shared" si="5"/>
        <v>3737238.1475264006</v>
      </c>
      <c r="W31" s="132">
        <f t="shared" si="6"/>
        <v>3737.2381475264006</v>
      </c>
    </row>
    <row r="32" spans="1:23" x14ac:dyDescent="0.25">
      <c r="A32" s="28" t="s">
        <v>180</v>
      </c>
      <c r="B32" s="27">
        <v>52576</v>
      </c>
      <c r="C32" s="27">
        <v>0</v>
      </c>
      <c r="D32" s="6">
        <f t="shared" si="3"/>
        <v>0</v>
      </c>
      <c r="G32" s="122">
        <f t="shared" si="7"/>
        <v>8</v>
      </c>
      <c r="H32" s="74"/>
      <c r="I32" s="141"/>
      <c r="J32" s="133">
        <v>1</v>
      </c>
      <c r="K32" s="129"/>
      <c r="L32" s="125"/>
      <c r="M32" s="124"/>
      <c r="N32" s="125"/>
      <c r="O32" s="125"/>
      <c r="P32" s="127">
        <f>K50*M32</f>
        <v>0</v>
      </c>
      <c r="Q32" s="128"/>
      <c r="R32" s="124"/>
      <c r="S32" s="128"/>
      <c r="T32" s="142"/>
      <c r="U32" s="131"/>
      <c r="V32" s="132">
        <f t="shared" si="5"/>
        <v>0</v>
      </c>
      <c r="W32" s="132">
        <f t="shared" si="6"/>
        <v>0</v>
      </c>
    </row>
    <row r="33" spans="1:27" x14ac:dyDescent="0.25">
      <c r="A33" s="28" t="s">
        <v>181</v>
      </c>
      <c r="B33" s="27">
        <v>1195</v>
      </c>
      <c r="C33" s="27">
        <v>0</v>
      </c>
      <c r="D33" s="6">
        <f t="shared" si="3"/>
        <v>0</v>
      </c>
      <c r="G33" s="122">
        <f t="shared" si="7"/>
        <v>9</v>
      </c>
      <c r="H33" s="143" t="s">
        <v>167</v>
      </c>
      <c r="I33" s="144" t="s">
        <v>92</v>
      </c>
      <c r="J33" s="133">
        <v>1</v>
      </c>
      <c r="K33" s="129">
        <v>11478.835999999999</v>
      </c>
      <c r="L33" s="125" t="s">
        <v>164</v>
      </c>
      <c r="M33" s="135">
        <v>1028</v>
      </c>
      <c r="N33" s="125" t="s">
        <v>165</v>
      </c>
      <c r="O33" s="125" t="s">
        <v>149</v>
      </c>
      <c r="P33" s="127">
        <f>K33*M33</f>
        <v>11800243.408</v>
      </c>
      <c r="Q33" s="128" t="s">
        <v>158</v>
      </c>
      <c r="R33" s="129">
        <v>53.02</v>
      </c>
      <c r="S33" s="128" t="s">
        <v>159</v>
      </c>
      <c r="T33" s="130">
        <v>0.995</v>
      </c>
      <c r="U33" s="131">
        <v>1</v>
      </c>
      <c r="V33" s="132">
        <f>+P33*R33*T33*U33</f>
        <v>622520660.96469927</v>
      </c>
      <c r="W33" s="132">
        <f>V33/1000</f>
        <v>622520.66096469923</v>
      </c>
    </row>
    <row r="34" spans="1:27" x14ac:dyDescent="0.25">
      <c r="A34" s="28" t="s">
        <v>182</v>
      </c>
      <c r="B34" s="27">
        <v>34991</v>
      </c>
      <c r="C34" s="27">
        <v>0</v>
      </c>
      <c r="D34" s="6">
        <f t="shared" si="3"/>
        <v>0</v>
      </c>
    </row>
    <row r="35" spans="1:27" x14ac:dyDescent="0.25">
      <c r="A35" s="28" t="s">
        <v>222</v>
      </c>
      <c r="B35" s="27">
        <v>10741</v>
      </c>
      <c r="C35" s="27"/>
      <c r="D35" s="6">
        <f t="shared" si="3"/>
        <v>0</v>
      </c>
    </row>
    <row r="36" spans="1:27" x14ac:dyDescent="0.25">
      <c r="A36" s="28" t="s">
        <v>223</v>
      </c>
      <c r="B36" s="27">
        <v>131017</v>
      </c>
      <c r="C36" s="27"/>
      <c r="D36" s="6">
        <f t="shared" si="3"/>
        <v>0</v>
      </c>
      <c r="F36" s="70"/>
      <c r="G36" s="70" t="s">
        <v>252</v>
      </c>
      <c r="H36" s="71"/>
      <c r="I36" s="72"/>
      <c r="J36" s="72"/>
      <c r="K36" s="73" t="s">
        <v>109</v>
      </c>
      <c r="L36" s="73"/>
      <c r="M36" t="s">
        <v>110</v>
      </c>
      <c r="R36" t="s">
        <v>111</v>
      </c>
      <c r="T36" t="s">
        <v>112</v>
      </c>
      <c r="V36" t="s">
        <v>113</v>
      </c>
      <c r="W36" t="s">
        <v>114</v>
      </c>
    </row>
    <row r="37" spans="1:27" x14ac:dyDescent="0.25">
      <c r="A37" s="28"/>
      <c r="B37" s="27"/>
      <c r="C37" s="27"/>
      <c r="D37" s="6">
        <f t="shared" si="3"/>
        <v>0</v>
      </c>
      <c r="F37" s="70"/>
      <c r="G37" s="70" t="s">
        <v>115</v>
      </c>
      <c r="H37" s="71">
        <v>2013</v>
      </c>
      <c r="I37" s="72"/>
      <c r="J37" s="72"/>
      <c r="K37" s="73" t="s">
        <v>116</v>
      </c>
      <c r="L37" s="73" t="s">
        <v>117</v>
      </c>
      <c r="M37" t="s">
        <v>118</v>
      </c>
      <c r="N37" t="s">
        <v>119</v>
      </c>
      <c r="O37" t="s">
        <v>120</v>
      </c>
      <c r="P37" t="s">
        <v>121</v>
      </c>
      <c r="Q37" t="s">
        <v>122</v>
      </c>
      <c r="R37" t="s">
        <v>123</v>
      </c>
      <c r="S37" t="s">
        <v>124</v>
      </c>
      <c r="T37" t="s">
        <v>125</v>
      </c>
      <c r="U37" t="s">
        <v>126</v>
      </c>
      <c r="V37" t="s">
        <v>127</v>
      </c>
      <c r="W37" t="s">
        <v>128</v>
      </c>
      <c r="X37" t="s">
        <v>238</v>
      </c>
    </row>
    <row r="38" spans="1:27" x14ac:dyDescent="0.25">
      <c r="A38" s="28"/>
      <c r="B38" s="27"/>
      <c r="C38" s="27"/>
      <c r="D38" s="6">
        <f t="shared" si="3"/>
        <v>0</v>
      </c>
      <c r="F38" s="70"/>
      <c r="G38" s="70"/>
      <c r="H38" s="71"/>
      <c r="I38" s="72"/>
      <c r="J38" s="72"/>
      <c r="K38" s="73" t="s">
        <v>129</v>
      </c>
      <c r="L38" t="s">
        <v>130</v>
      </c>
      <c r="M38" t="s">
        <v>131</v>
      </c>
      <c r="N38" t="s">
        <v>132</v>
      </c>
      <c r="O38" t="s">
        <v>133</v>
      </c>
      <c r="P38" t="s">
        <v>134</v>
      </c>
      <c r="Q38" t="s">
        <v>135</v>
      </c>
      <c r="R38" t="s">
        <v>239</v>
      </c>
      <c r="S38" t="s">
        <v>137</v>
      </c>
      <c r="T38" t="s">
        <v>240</v>
      </c>
      <c r="U38" t="s">
        <v>241</v>
      </c>
      <c r="V38" t="s">
        <v>139</v>
      </c>
      <c r="W38" t="s">
        <v>242</v>
      </c>
      <c r="X38" t="s">
        <v>243</v>
      </c>
      <c r="Z38" t="s">
        <v>244</v>
      </c>
    </row>
    <row r="39" spans="1:27" x14ac:dyDescent="0.25">
      <c r="A39" s="28"/>
      <c r="B39" s="27"/>
      <c r="C39" s="27"/>
      <c r="D39" s="6">
        <f t="shared" si="3"/>
        <v>0</v>
      </c>
      <c r="F39" s="70"/>
      <c r="G39" s="70"/>
      <c r="H39" s="71"/>
      <c r="I39" s="72"/>
      <c r="J39" s="72"/>
      <c r="K39" s="73"/>
      <c r="O39" t="s">
        <v>142</v>
      </c>
      <c r="P39" t="s">
        <v>143</v>
      </c>
      <c r="W39" t="s">
        <v>245</v>
      </c>
      <c r="X39" t="s">
        <v>246</v>
      </c>
    </row>
    <row r="40" spans="1:27" ht="15.75" thickBot="1" x14ac:dyDescent="0.3">
      <c r="A40" s="29"/>
      <c r="B40" s="30"/>
      <c r="C40" s="30"/>
      <c r="D40" s="9">
        <f t="shared" si="3"/>
        <v>0</v>
      </c>
      <c r="G40" t="s">
        <v>247</v>
      </c>
      <c r="K40">
        <v>1000</v>
      </c>
      <c r="L40" t="s">
        <v>147</v>
      </c>
      <c r="M40">
        <v>5.0999999999999997E-2</v>
      </c>
      <c r="N40" t="s">
        <v>148</v>
      </c>
      <c r="O40" t="s">
        <v>149</v>
      </c>
      <c r="P40">
        <v>51</v>
      </c>
      <c r="Q40" t="s">
        <v>150</v>
      </c>
      <c r="R40">
        <v>1E-3</v>
      </c>
      <c r="S40" t="s">
        <v>248</v>
      </c>
      <c r="T40">
        <v>2E-3</v>
      </c>
      <c r="U40" t="s">
        <v>249</v>
      </c>
      <c r="V40">
        <v>1</v>
      </c>
      <c r="W40">
        <v>5.1000000000000004E-2</v>
      </c>
      <c r="X40">
        <v>0.10200000000000001</v>
      </c>
    </row>
    <row r="41" spans="1:27" ht="16.5" thickTop="1" thickBot="1" x14ac:dyDescent="0.3">
      <c r="A41" s="1"/>
      <c r="B41" s="10">
        <f>SUM(B4:B40)</f>
        <v>10447929.854499999</v>
      </c>
      <c r="C41" s="177">
        <f>D41/B41</f>
        <v>0.2519381563975478</v>
      </c>
      <c r="D41" s="10">
        <f>SUM(D4:D40)</f>
        <v>2632232.1857136297</v>
      </c>
      <c r="G41" t="s">
        <v>152</v>
      </c>
      <c r="H41" t="s">
        <v>153</v>
      </c>
      <c r="I41" t="s">
        <v>154</v>
      </c>
      <c r="J41" t="s">
        <v>155</v>
      </c>
      <c r="AA41" t="s">
        <v>153</v>
      </c>
    </row>
    <row r="42" spans="1:27" x14ac:dyDescent="0.25">
      <c r="G42">
        <v>1</v>
      </c>
      <c r="H42" t="s">
        <v>33</v>
      </c>
      <c r="I42" t="s">
        <v>90</v>
      </c>
      <c r="J42">
        <v>0.15</v>
      </c>
      <c r="K42">
        <v>768825</v>
      </c>
      <c r="L42" t="s">
        <v>156</v>
      </c>
      <c r="M42">
        <v>17.024999999999999</v>
      </c>
      <c r="N42" t="s">
        <v>157</v>
      </c>
      <c r="O42" t="s">
        <v>149</v>
      </c>
      <c r="P42">
        <v>13089245.624999998</v>
      </c>
      <c r="Q42" t="s">
        <v>158</v>
      </c>
      <c r="R42">
        <v>1.0999999999999999E-2</v>
      </c>
      <c r="S42" t="s">
        <v>250</v>
      </c>
      <c r="T42">
        <v>1.6000000000000001E-3</v>
      </c>
      <c r="U42" t="s">
        <v>250</v>
      </c>
      <c r="V42">
        <v>1</v>
      </c>
      <c r="W42">
        <v>143981.70187499997</v>
      </c>
      <c r="X42">
        <v>20942.792999999998</v>
      </c>
      <c r="Z42" s="176">
        <v>9515.8815693749984</v>
      </c>
      <c r="AA42" t="s">
        <v>33</v>
      </c>
    </row>
    <row r="43" spans="1:27" x14ac:dyDescent="0.25">
      <c r="A43" t="s">
        <v>228</v>
      </c>
      <c r="G43">
        <v>2</v>
      </c>
      <c r="H43" t="s">
        <v>33</v>
      </c>
      <c r="I43" t="s">
        <v>160</v>
      </c>
      <c r="J43">
        <v>0.15</v>
      </c>
      <c r="K43">
        <v>1648</v>
      </c>
      <c r="L43" t="s">
        <v>161</v>
      </c>
      <c r="M43">
        <v>5.88</v>
      </c>
      <c r="N43" t="s">
        <v>251</v>
      </c>
      <c r="O43" t="s">
        <v>149</v>
      </c>
      <c r="P43">
        <v>9690.24</v>
      </c>
      <c r="Q43" t="s">
        <v>158</v>
      </c>
      <c r="R43">
        <v>3.0000000000000001E-3</v>
      </c>
      <c r="S43" t="s">
        <v>250</v>
      </c>
      <c r="T43">
        <v>5.9999999999999995E-4</v>
      </c>
      <c r="U43" t="s">
        <v>250</v>
      </c>
      <c r="V43">
        <v>1</v>
      </c>
      <c r="W43">
        <v>29.070720000000001</v>
      </c>
      <c r="X43">
        <v>5.8141439999999998</v>
      </c>
      <c r="Z43" s="176">
        <v>2.41286976</v>
      </c>
      <c r="AA43" t="s">
        <v>33</v>
      </c>
    </row>
    <row r="44" spans="1:27" x14ac:dyDescent="0.25">
      <c r="A44" t="s">
        <v>227</v>
      </c>
      <c r="B44" s="73"/>
      <c r="G44">
        <v>3</v>
      </c>
      <c r="H44" t="s">
        <v>163</v>
      </c>
      <c r="I44" t="s">
        <v>92</v>
      </c>
      <c r="J44">
        <v>1</v>
      </c>
      <c r="K44">
        <v>349.61099999999999</v>
      </c>
      <c r="L44" t="s">
        <v>164</v>
      </c>
      <c r="M44">
        <v>1028</v>
      </c>
      <c r="N44" t="s">
        <v>165</v>
      </c>
      <c r="O44" t="s">
        <v>149</v>
      </c>
      <c r="P44">
        <v>359400.10800000001</v>
      </c>
      <c r="Q44" t="s">
        <v>158</v>
      </c>
      <c r="R44">
        <v>1E-3</v>
      </c>
      <c r="S44" t="s">
        <v>250</v>
      </c>
      <c r="T44">
        <v>1E-4</v>
      </c>
      <c r="U44" t="s">
        <v>250</v>
      </c>
      <c r="V44">
        <v>1</v>
      </c>
      <c r="W44">
        <v>359.40010799999999</v>
      </c>
      <c r="X44">
        <v>35.940010800000003</v>
      </c>
      <c r="Z44" s="176">
        <v>18.688805616</v>
      </c>
      <c r="AA44" t="s">
        <v>163</v>
      </c>
    </row>
    <row r="45" spans="1:27" x14ac:dyDescent="0.25">
      <c r="A45" s="70"/>
      <c r="B45" s="73"/>
      <c r="G45">
        <v>4</v>
      </c>
      <c r="H45" t="s">
        <v>166</v>
      </c>
      <c r="I45" t="s">
        <v>92</v>
      </c>
      <c r="J45">
        <v>1</v>
      </c>
      <c r="K45">
        <v>3.1320000000000001</v>
      </c>
      <c r="L45" t="s">
        <v>164</v>
      </c>
      <c r="M45">
        <v>1028</v>
      </c>
      <c r="N45" t="s">
        <v>165</v>
      </c>
      <c r="O45" t="s">
        <v>149</v>
      </c>
      <c r="P45">
        <v>3219.6959999999999</v>
      </c>
      <c r="Q45" t="s">
        <v>158</v>
      </c>
      <c r="R45">
        <v>1E-3</v>
      </c>
      <c r="S45" t="s">
        <v>250</v>
      </c>
      <c r="T45">
        <v>1E-4</v>
      </c>
      <c r="U45" t="s">
        <v>250</v>
      </c>
      <c r="V45">
        <v>1</v>
      </c>
      <c r="W45">
        <v>3.2196959999999999</v>
      </c>
      <c r="X45">
        <v>0.32196960000000002</v>
      </c>
      <c r="Z45" s="176">
        <v>0.167424192</v>
      </c>
      <c r="AA45" t="s">
        <v>166</v>
      </c>
    </row>
    <row r="46" spans="1:27" x14ac:dyDescent="0.25">
      <c r="B46" s="151"/>
      <c r="G46">
        <v>5</v>
      </c>
      <c r="H46" t="s">
        <v>36</v>
      </c>
      <c r="I46" t="s">
        <v>92</v>
      </c>
      <c r="J46">
        <v>1</v>
      </c>
      <c r="K46">
        <v>237.30799999999999</v>
      </c>
      <c r="L46" t="s">
        <v>164</v>
      </c>
      <c r="M46">
        <v>1028</v>
      </c>
      <c r="N46" t="s">
        <v>165</v>
      </c>
      <c r="O46" t="s">
        <v>149</v>
      </c>
      <c r="P46">
        <v>243952.62399999998</v>
      </c>
      <c r="Q46" t="s">
        <v>158</v>
      </c>
      <c r="R46">
        <v>1E-3</v>
      </c>
      <c r="S46" t="s">
        <v>250</v>
      </c>
      <c r="T46">
        <v>1E-4</v>
      </c>
      <c r="U46" t="s">
        <v>250</v>
      </c>
      <c r="V46">
        <v>1</v>
      </c>
      <c r="W46">
        <v>243.95262399999999</v>
      </c>
      <c r="X46">
        <v>24.3952624</v>
      </c>
      <c r="Z46" s="176">
        <v>12.685536447999999</v>
      </c>
      <c r="AA46" t="s">
        <v>36</v>
      </c>
    </row>
    <row r="47" spans="1:27" x14ac:dyDescent="0.25">
      <c r="G47">
        <v>6</v>
      </c>
      <c r="H47" t="s">
        <v>37</v>
      </c>
      <c r="I47" t="s">
        <v>92</v>
      </c>
      <c r="J47">
        <v>1</v>
      </c>
      <c r="K47">
        <v>12307.078</v>
      </c>
      <c r="L47" t="s">
        <v>164</v>
      </c>
      <c r="M47">
        <v>1028</v>
      </c>
      <c r="N47" t="s">
        <v>165</v>
      </c>
      <c r="O47" t="s">
        <v>149</v>
      </c>
      <c r="P47">
        <v>12651676.184</v>
      </c>
      <c r="Q47" t="s">
        <v>158</v>
      </c>
      <c r="R47">
        <v>1E-3</v>
      </c>
      <c r="S47" t="s">
        <v>250</v>
      </c>
      <c r="T47">
        <v>1E-4</v>
      </c>
      <c r="U47" t="s">
        <v>250</v>
      </c>
      <c r="V47">
        <v>1</v>
      </c>
      <c r="W47">
        <v>12651.676184</v>
      </c>
      <c r="X47">
        <v>1265.1676184</v>
      </c>
      <c r="Z47" s="176">
        <v>657.88716156800001</v>
      </c>
      <c r="AA47" t="s">
        <v>37</v>
      </c>
    </row>
    <row r="48" spans="1:27" x14ac:dyDescent="0.25">
      <c r="G48">
        <v>7</v>
      </c>
      <c r="H48" t="s">
        <v>38</v>
      </c>
      <c r="I48" t="s">
        <v>92</v>
      </c>
      <c r="J48">
        <v>1</v>
      </c>
      <c r="K48">
        <v>68.912000000000006</v>
      </c>
      <c r="L48" t="s">
        <v>164</v>
      </c>
      <c r="M48">
        <v>1028</v>
      </c>
      <c r="N48" t="s">
        <v>165</v>
      </c>
      <c r="O48" t="s">
        <v>149</v>
      </c>
      <c r="P48">
        <v>70841.536000000007</v>
      </c>
      <c r="Q48" t="s">
        <v>158</v>
      </c>
      <c r="R48">
        <v>1E-3</v>
      </c>
      <c r="S48" t="s">
        <v>250</v>
      </c>
      <c r="T48">
        <v>1E-4</v>
      </c>
      <c r="U48" t="s">
        <v>250</v>
      </c>
      <c r="V48">
        <v>1</v>
      </c>
      <c r="W48">
        <v>70.841536000000005</v>
      </c>
      <c r="X48">
        <v>7.0841536000000014</v>
      </c>
      <c r="Z48" s="176">
        <v>3.6837598720000004</v>
      </c>
      <c r="AA48" t="s">
        <v>38</v>
      </c>
    </row>
    <row r="49" spans="7:27" x14ac:dyDescent="0.25">
      <c r="G49">
        <v>8</v>
      </c>
      <c r="J49">
        <v>1</v>
      </c>
      <c r="K49">
        <v>0</v>
      </c>
      <c r="L49">
        <v>0</v>
      </c>
      <c r="M49">
        <v>0</v>
      </c>
      <c r="W49">
        <v>0</v>
      </c>
      <c r="X49">
        <v>0</v>
      </c>
      <c r="Z49" s="176">
        <v>0</v>
      </c>
    </row>
    <row r="50" spans="7:27" x14ac:dyDescent="0.25">
      <c r="G50">
        <v>9</v>
      </c>
      <c r="H50" t="s">
        <v>167</v>
      </c>
      <c r="J50">
        <v>1</v>
      </c>
      <c r="K50">
        <v>11478.835999999999</v>
      </c>
      <c r="L50" t="s">
        <v>164</v>
      </c>
      <c r="M50">
        <v>1028</v>
      </c>
      <c r="N50" t="s">
        <v>165</v>
      </c>
      <c r="O50" t="s">
        <v>149</v>
      </c>
      <c r="P50">
        <v>11800243.408</v>
      </c>
      <c r="Q50" t="e">
        <v>#REF!</v>
      </c>
      <c r="R50">
        <v>1E-3</v>
      </c>
      <c r="S50" t="s">
        <v>250</v>
      </c>
      <c r="T50">
        <v>1E-4</v>
      </c>
      <c r="U50" t="s">
        <v>250</v>
      </c>
      <c r="V50">
        <v>1</v>
      </c>
      <c r="W50">
        <v>11800.243408</v>
      </c>
      <c r="X50">
        <v>1180.0243408000001</v>
      </c>
      <c r="Z50" s="176">
        <v>613.612657216</v>
      </c>
      <c r="AA50" t="s">
        <v>167</v>
      </c>
    </row>
  </sheetData>
  <mergeCells count="4">
    <mergeCell ref="K19:L19"/>
    <mergeCell ref="M19:Q19"/>
    <mergeCell ref="R19:S19"/>
    <mergeCell ref="V19:W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workbookViewId="0">
      <selection activeCell="B59" sqref="B59"/>
    </sheetView>
  </sheetViews>
  <sheetFormatPr defaultColWidth="12.7109375" defaultRowHeight="15" x14ac:dyDescent="0.25"/>
  <cols>
    <col min="1" max="1" width="42.7109375" customWidth="1"/>
    <col min="2" max="2" width="10.140625" bestFit="1" customWidth="1"/>
    <col min="4" max="4" width="36.140625" bestFit="1" customWidth="1"/>
    <col min="5" max="5" width="13.140625" customWidth="1"/>
    <col min="7" max="7" width="16.85546875" style="158" bestFit="1" customWidth="1"/>
  </cols>
  <sheetData>
    <row r="1" spans="1:8" ht="36" customHeight="1" thickBot="1" x14ac:dyDescent="0.3">
      <c r="A1" s="153" t="s">
        <v>224</v>
      </c>
      <c r="B1" s="152">
        <v>2013</v>
      </c>
      <c r="D1" s="147"/>
      <c r="E1" s="148"/>
    </row>
    <row r="2" spans="1:8" ht="18" x14ac:dyDescent="0.35">
      <c r="B2" s="173" t="s">
        <v>230</v>
      </c>
      <c r="C2" s="173"/>
      <c r="D2" s="174"/>
      <c r="E2" s="161">
        <v>0.437</v>
      </c>
      <c r="F2" t="s">
        <v>231</v>
      </c>
    </row>
    <row r="3" spans="1:8" ht="18" x14ac:dyDescent="0.35">
      <c r="B3" s="173" t="s">
        <v>229</v>
      </c>
      <c r="C3" s="173"/>
      <c r="D3" s="173"/>
      <c r="E3" s="157">
        <f>'Known Resources'!C41</f>
        <v>0.2519381563975478</v>
      </c>
      <c r="F3" t="s">
        <v>231</v>
      </c>
    </row>
    <row r="4" spans="1:8" ht="45" x14ac:dyDescent="0.25">
      <c r="A4" s="154" t="s">
        <v>204</v>
      </c>
      <c r="B4" s="154" t="s">
        <v>205</v>
      </c>
      <c r="C4" s="154"/>
      <c r="D4" s="154" t="s">
        <v>204</v>
      </c>
      <c r="E4" s="154" t="s">
        <v>206</v>
      </c>
      <c r="F4" s="155" t="s">
        <v>225</v>
      </c>
      <c r="G4" s="160" t="s">
        <v>226</v>
      </c>
      <c r="H4" s="156"/>
    </row>
    <row r="5" spans="1:8" x14ac:dyDescent="0.25">
      <c r="A5" s="70" t="s">
        <v>47</v>
      </c>
      <c r="B5" s="73">
        <v>1400</v>
      </c>
      <c r="D5" s="149" t="s">
        <v>47</v>
      </c>
      <c r="E5" s="150">
        <v>2400</v>
      </c>
      <c r="F5" s="151">
        <f>B5-E5</f>
        <v>-1000</v>
      </c>
      <c r="G5" s="158">
        <f>IF(F5&gt;0,F5*$E$2,F5*$E$3)</f>
        <v>-251.9381563975478</v>
      </c>
    </row>
    <row r="6" spans="1:8" x14ac:dyDescent="0.25">
      <c r="A6" s="70" t="s">
        <v>207</v>
      </c>
      <c r="B6" s="73">
        <v>501744</v>
      </c>
      <c r="D6" s="149" t="s">
        <v>207</v>
      </c>
      <c r="E6" s="150">
        <v>179761</v>
      </c>
      <c r="F6" s="151">
        <f t="shared" ref="F6:F58" si="0">B6-E6</f>
        <v>321983</v>
      </c>
      <c r="G6" s="158">
        <f t="shared" ref="G6:G58" si="1">IF(F6&gt;0,F6*$E$2,F6*$E$3)</f>
        <v>140706.571</v>
      </c>
    </row>
    <row r="7" spans="1:8" x14ac:dyDescent="0.25">
      <c r="A7" s="70" t="s">
        <v>48</v>
      </c>
      <c r="B7" s="73">
        <v>38848</v>
      </c>
      <c r="D7" s="149" t="s">
        <v>48</v>
      </c>
      <c r="E7" s="150">
        <v>255866</v>
      </c>
      <c r="F7" s="151">
        <f t="shared" si="0"/>
        <v>-217018</v>
      </c>
      <c r="G7" s="158">
        <f t="shared" si="1"/>
        <v>-54675.11482508303</v>
      </c>
    </row>
    <row r="8" spans="1:8" x14ac:dyDescent="0.25">
      <c r="A8" s="149" t="s">
        <v>208</v>
      </c>
      <c r="B8" s="73">
        <v>0</v>
      </c>
      <c r="D8" s="149" t="s">
        <v>208</v>
      </c>
      <c r="E8" s="150">
        <v>39</v>
      </c>
      <c r="F8" s="151">
        <f t="shared" si="0"/>
        <v>-39</v>
      </c>
      <c r="G8" s="158">
        <f t="shared" si="1"/>
        <v>-9.8255880995043636</v>
      </c>
    </row>
    <row r="9" spans="1:8" x14ac:dyDescent="0.25">
      <c r="A9" s="149" t="s">
        <v>209</v>
      </c>
      <c r="B9" s="73">
        <v>0</v>
      </c>
      <c r="D9" s="149" t="s">
        <v>209</v>
      </c>
      <c r="E9" s="150">
        <v>1200</v>
      </c>
      <c r="F9" s="151">
        <f t="shared" si="0"/>
        <v>-1200</v>
      </c>
      <c r="G9" s="158">
        <f t="shared" si="1"/>
        <v>-302.32578767705735</v>
      </c>
    </row>
    <row r="10" spans="1:8" x14ac:dyDescent="0.25">
      <c r="A10" s="149" t="s">
        <v>210</v>
      </c>
      <c r="B10" s="73">
        <v>0</v>
      </c>
      <c r="D10" s="149" t="s">
        <v>210</v>
      </c>
      <c r="E10" s="150">
        <v>400</v>
      </c>
      <c r="F10" s="151">
        <f t="shared" si="0"/>
        <v>-400</v>
      </c>
      <c r="G10" s="158">
        <f t="shared" si="1"/>
        <v>-100.77526255901913</v>
      </c>
    </row>
    <row r="11" spans="1:8" x14ac:dyDescent="0.25">
      <c r="A11" s="70" t="s">
        <v>49</v>
      </c>
      <c r="B11" s="73">
        <v>265838</v>
      </c>
      <c r="D11" s="149" t="s">
        <v>49</v>
      </c>
      <c r="E11" s="150">
        <v>276556</v>
      </c>
      <c r="F11" s="151">
        <f t="shared" si="0"/>
        <v>-10718</v>
      </c>
      <c r="G11" s="158">
        <f t="shared" si="1"/>
        <v>-2700.2731602689173</v>
      </c>
    </row>
    <row r="12" spans="1:8" x14ac:dyDescent="0.25">
      <c r="A12" s="70" t="s">
        <v>50</v>
      </c>
      <c r="B12" s="73">
        <v>53814</v>
      </c>
      <c r="D12" s="149" t="s">
        <v>50</v>
      </c>
      <c r="E12" s="150">
        <v>176441</v>
      </c>
      <c r="F12" s="151">
        <f t="shared" si="0"/>
        <v>-122627</v>
      </c>
      <c r="G12" s="158">
        <f t="shared" si="1"/>
        <v>-30894.420304562092</v>
      </c>
    </row>
    <row r="13" spans="1:8" x14ac:dyDescent="0.25">
      <c r="A13" s="70" t="s">
        <v>51</v>
      </c>
      <c r="B13" s="73">
        <v>6028</v>
      </c>
      <c r="D13" s="149" t="s">
        <v>51</v>
      </c>
      <c r="E13" s="150">
        <v>8801</v>
      </c>
      <c r="F13" s="151">
        <f t="shared" si="0"/>
        <v>-2773</v>
      </c>
      <c r="G13" s="158">
        <f t="shared" si="1"/>
        <v>-698.62450769040004</v>
      </c>
    </row>
    <row r="14" spans="1:8" x14ac:dyDescent="0.25">
      <c r="A14" s="149" t="s">
        <v>211</v>
      </c>
      <c r="B14" s="73">
        <v>0</v>
      </c>
      <c r="D14" s="149" t="s">
        <v>211</v>
      </c>
      <c r="E14" s="150">
        <v>33280</v>
      </c>
      <c r="F14" s="151">
        <f t="shared" si="0"/>
        <v>-33280</v>
      </c>
      <c r="G14" s="158">
        <f t="shared" si="1"/>
        <v>-8384.50184491039</v>
      </c>
    </row>
    <row r="15" spans="1:8" x14ac:dyDescent="0.25">
      <c r="A15" s="70" t="s">
        <v>52</v>
      </c>
      <c r="B15" s="73">
        <v>13797</v>
      </c>
      <c r="D15" s="149" t="s">
        <v>52</v>
      </c>
      <c r="E15" s="150">
        <v>21250</v>
      </c>
      <c r="F15" s="151">
        <f t="shared" si="0"/>
        <v>-7453</v>
      </c>
      <c r="G15" s="158">
        <f t="shared" si="1"/>
        <v>-1877.6950796309238</v>
      </c>
    </row>
    <row r="16" spans="1:8" x14ac:dyDescent="0.25">
      <c r="A16" s="70" t="s">
        <v>53</v>
      </c>
      <c r="B16" s="73">
        <v>954</v>
      </c>
      <c r="D16" s="149" t="s">
        <v>53</v>
      </c>
      <c r="E16" s="150">
        <v>4225</v>
      </c>
      <c r="F16" s="151">
        <f t="shared" si="0"/>
        <v>-3271</v>
      </c>
      <c r="G16" s="158">
        <f t="shared" si="1"/>
        <v>-824.08970957637882</v>
      </c>
    </row>
    <row r="17" spans="1:7" x14ac:dyDescent="0.25">
      <c r="A17" s="70" t="s">
        <v>54</v>
      </c>
      <c r="B17" s="73">
        <v>2000</v>
      </c>
      <c r="D17" s="149" t="s">
        <v>54</v>
      </c>
      <c r="E17" s="150">
        <v>2574</v>
      </c>
      <c r="F17" s="151">
        <f t="shared" si="0"/>
        <v>-574</v>
      </c>
      <c r="G17" s="158">
        <f t="shared" si="1"/>
        <v>-144.61250177219245</v>
      </c>
    </row>
    <row r="18" spans="1:7" x14ac:dyDescent="0.25">
      <c r="A18" s="70" t="s">
        <v>55</v>
      </c>
      <c r="B18" s="73">
        <v>34423</v>
      </c>
      <c r="D18" s="149" t="s">
        <v>212</v>
      </c>
      <c r="E18" s="150">
        <v>90784</v>
      </c>
      <c r="F18" s="151">
        <f t="shared" si="0"/>
        <v>-56361</v>
      </c>
      <c r="G18" s="158">
        <f t="shared" si="1"/>
        <v>-14199.486432722191</v>
      </c>
    </row>
    <row r="19" spans="1:7" x14ac:dyDescent="0.25">
      <c r="A19" s="70" t="s">
        <v>56</v>
      </c>
      <c r="B19" s="73">
        <v>30946</v>
      </c>
      <c r="D19" s="149" t="s">
        <v>56</v>
      </c>
      <c r="E19" s="150">
        <v>39232</v>
      </c>
      <c r="F19" s="151">
        <f t="shared" si="0"/>
        <v>-8286</v>
      </c>
      <c r="G19" s="158">
        <f t="shared" si="1"/>
        <v>-2087.5595639100811</v>
      </c>
    </row>
    <row r="20" spans="1:7" x14ac:dyDescent="0.25">
      <c r="A20" s="70" t="s">
        <v>57</v>
      </c>
      <c r="B20" s="73">
        <v>3101</v>
      </c>
      <c r="D20" s="149" t="s">
        <v>57</v>
      </c>
      <c r="E20" s="150">
        <v>12935</v>
      </c>
      <c r="F20" s="151">
        <f t="shared" si="0"/>
        <v>-9834</v>
      </c>
      <c r="G20" s="158">
        <f t="shared" si="1"/>
        <v>-2477.5598300134852</v>
      </c>
    </row>
    <row r="21" spans="1:7" x14ac:dyDescent="0.25">
      <c r="A21" s="70" t="s">
        <v>58</v>
      </c>
      <c r="B21" s="73">
        <v>3600</v>
      </c>
      <c r="D21" s="149" t="s">
        <v>58</v>
      </c>
      <c r="E21" s="150">
        <v>17202</v>
      </c>
      <c r="F21" s="151">
        <f t="shared" si="0"/>
        <v>-13602</v>
      </c>
      <c r="G21" s="158">
        <f t="shared" si="1"/>
        <v>-3426.862803319445</v>
      </c>
    </row>
    <row r="22" spans="1:7" x14ac:dyDescent="0.25">
      <c r="A22" s="70" t="s">
        <v>59</v>
      </c>
      <c r="B22" s="73">
        <v>34067</v>
      </c>
      <c r="D22" s="149" t="s">
        <v>59</v>
      </c>
      <c r="E22" s="150">
        <v>8106</v>
      </c>
      <c r="F22" s="151">
        <f t="shared" si="0"/>
        <v>25961</v>
      </c>
      <c r="G22" s="158">
        <f t="shared" si="1"/>
        <v>11344.957</v>
      </c>
    </row>
    <row r="23" spans="1:7" x14ac:dyDescent="0.25">
      <c r="A23" s="70" t="s">
        <v>60</v>
      </c>
      <c r="B23" s="73">
        <v>154076</v>
      </c>
      <c r="D23" s="149" t="s">
        <v>60</v>
      </c>
      <c r="E23" s="150">
        <v>337924</v>
      </c>
      <c r="F23" s="151">
        <f t="shared" si="0"/>
        <v>-183848</v>
      </c>
      <c r="G23" s="158">
        <f t="shared" si="1"/>
        <v>-46318.326177376366</v>
      </c>
    </row>
    <row r="24" spans="1:7" x14ac:dyDescent="0.25">
      <c r="A24" s="70" t="s">
        <v>61</v>
      </c>
      <c r="B24" s="73">
        <v>2251</v>
      </c>
      <c r="D24" s="70" t="s">
        <v>61</v>
      </c>
      <c r="E24" s="150">
        <v>0</v>
      </c>
      <c r="F24" s="151">
        <f t="shared" si="0"/>
        <v>2251</v>
      </c>
      <c r="G24" s="158">
        <f t="shared" si="1"/>
        <v>983.68700000000001</v>
      </c>
    </row>
    <row r="25" spans="1:7" x14ac:dyDescent="0.25">
      <c r="A25" s="70" t="s">
        <v>62</v>
      </c>
      <c r="B25" s="73">
        <v>105321</v>
      </c>
      <c r="D25" s="149" t="s">
        <v>62</v>
      </c>
      <c r="E25" s="150">
        <v>158205</v>
      </c>
      <c r="F25" s="151">
        <f t="shared" si="0"/>
        <v>-52884</v>
      </c>
      <c r="G25" s="158">
        <f t="shared" si="1"/>
        <v>-13323.497462927917</v>
      </c>
    </row>
    <row r="26" spans="1:7" x14ac:dyDescent="0.25">
      <c r="A26" s="70" t="s">
        <v>63</v>
      </c>
      <c r="B26" s="73">
        <v>108</v>
      </c>
      <c r="D26" s="70" t="s">
        <v>63</v>
      </c>
      <c r="E26" s="150">
        <v>0</v>
      </c>
      <c r="F26" s="151">
        <f t="shared" si="0"/>
        <v>108</v>
      </c>
      <c r="G26" s="158">
        <f t="shared" si="1"/>
        <v>47.195999999999998</v>
      </c>
    </row>
    <row r="27" spans="1:7" x14ac:dyDescent="0.25">
      <c r="A27" s="70" t="s">
        <v>64</v>
      </c>
      <c r="B27" s="73">
        <v>352</v>
      </c>
      <c r="D27" s="149" t="s">
        <v>213</v>
      </c>
      <c r="E27" s="150">
        <v>59432</v>
      </c>
      <c r="F27" s="151">
        <f t="shared" si="0"/>
        <v>-59080</v>
      </c>
      <c r="G27" s="158">
        <f t="shared" si="1"/>
        <v>-14884.506279967123</v>
      </c>
    </row>
    <row r="28" spans="1:7" x14ac:dyDescent="0.25">
      <c r="A28" s="70" t="s">
        <v>65</v>
      </c>
      <c r="B28" s="73">
        <v>2000</v>
      </c>
      <c r="D28" s="149" t="s">
        <v>65</v>
      </c>
      <c r="E28" s="150">
        <v>20025</v>
      </c>
      <c r="F28" s="151">
        <f t="shared" si="0"/>
        <v>-18025</v>
      </c>
      <c r="G28" s="158">
        <f t="shared" si="1"/>
        <v>-4541.1852690657988</v>
      </c>
    </row>
    <row r="29" spans="1:7" x14ac:dyDescent="0.25">
      <c r="A29" s="70" t="s">
        <v>66</v>
      </c>
      <c r="B29" s="73">
        <v>38322</v>
      </c>
      <c r="D29" s="149" t="s">
        <v>66</v>
      </c>
      <c r="E29" s="150">
        <v>113663</v>
      </c>
      <c r="F29" s="151">
        <f t="shared" si="0"/>
        <v>-75341</v>
      </c>
      <c r="G29" s="158">
        <f t="shared" si="1"/>
        <v>-18981.272641147647</v>
      </c>
    </row>
    <row r="30" spans="1:7" x14ac:dyDescent="0.25">
      <c r="A30" s="149" t="s">
        <v>214</v>
      </c>
      <c r="B30" s="73">
        <v>0</v>
      </c>
      <c r="D30" s="149" t="s">
        <v>214</v>
      </c>
      <c r="E30" s="150">
        <v>4392</v>
      </c>
      <c r="F30" s="151">
        <f t="shared" si="0"/>
        <v>-4392</v>
      </c>
      <c r="G30" s="158">
        <f t="shared" si="1"/>
        <v>-1106.51238289803</v>
      </c>
    </row>
    <row r="31" spans="1:7" x14ac:dyDescent="0.25">
      <c r="A31" s="70" t="s">
        <v>67</v>
      </c>
      <c r="B31" s="73">
        <v>102228</v>
      </c>
      <c r="D31" s="149" t="s">
        <v>67</v>
      </c>
      <c r="E31" s="150">
        <v>162693</v>
      </c>
      <c r="F31" s="151">
        <f t="shared" si="0"/>
        <v>-60465</v>
      </c>
      <c r="G31" s="158">
        <f t="shared" si="1"/>
        <v>-15233.440626577727</v>
      </c>
    </row>
    <row r="32" spans="1:7" x14ac:dyDescent="0.25">
      <c r="A32" s="149" t="s">
        <v>215</v>
      </c>
      <c r="B32" s="73">
        <v>0</v>
      </c>
      <c r="D32" s="149" t="s">
        <v>215</v>
      </c>
      <c r="E32" s="150">
        <v>4630</v>
      </c>
      <c r="F32" s="151">
        <f t="shared" si="0"/>
        <v>-4630</v>
      </c>
      <c r="G32" s="158">
        <f t="shared" si="1"/>
        <v>-1166.4736641206464</v>
      </c>
    </row>
    <row r="33" spans="1:7" x14ac:dyDescent="0.25">
      <c r="A33" s="70" t="s">
        <v>68</v>
      </c>
      <c r="B33" s="73">
        <v>13782</v>
      </c>
      <c r="D33" s="149" t="s">
        <v>68</v>
      </c>
      <c r="E33" s="150">
        <v>1903</v>
      </c>
      <c r="F33" s="151">
        <f t="shared" si="0"/>
        <v>11879</v>
      </c>
      <c r="G33" s="158">
        <f t="shared" si="1"/>
        <v>5191.1229999999996</v>
      </c>
    </row>
    <row r="34" spans="1:7" x14ac:dyDescent="0.25">
      <c r="A34" s="70" t="s">
        <v>69</v>
      </c>
      <c r="B34" s="73">
        <v>3000</v>
      </c>
      <c r="D34" s="149" t="s">
        <v>69</v>
      </c>
      <c r="E34" s="150">
        <v>10600</v>
      </c>
      <c r="F34" s="151">
        <f t="shared" si="0"/>
        <v>-7600</v>
      </c>
      <c r="G34" s="158">
        <f t="shared" si="1"/>
        <v>-1914.7299886213632</v>
      </c>
    </row>
    <row r="35" spans="1:7" x14ac:dyDescent="0.25">
      <c r="A35" s="70" t="s">
        <v>70</v>
      </c>
      <c r="B35" s="73">
        <v>10471</v>
      </c>
      <c r="D35" s="149" t="s">
        <v>70</v>
      </c>
      <c r="E35" s="150">
        <v>95148</v>
      </c>
      <c r="F35" s="151">
        <f t="shared" si="0"/>
        <v>-84677</v>
      </c>
      <c r="G35" s="158">
        <f t="shared" si="1"/>
        <v>-21333.367269275153</v>
      </c>
    </row>
    <row r="36" spans="1:7" x14ac:dyDescent="0.25">
      <c r="A36" s="70" t="s">
        <v>71</v>
      </c>
      <c r="B36" s="73">
        <v>73495</v>
      </c>
      <c r="D36" s="149" t="s">
        <v>71</v>
      </c>
      <c r="E36" s="150">
        <v>140296</v>
      </c>
      <c r="F36" s="151">
        <f t="shared" si="0"/>
        <v>-66801</v>
      </c>
      <c r="G36" s="158">
        <f t="shared" si="1"/>
        <v>-16829.720785512589</v>
      </c>
    </row>
    <row r="37" spans="1:7" x14ac:dyDescent="0.25">
      <c r="A37" s="70" t="s">
        <v>72</v>
      </c>
      <c r="B37" s="73">
        <v>5704</v>
      </c>
      <c r="D37" s="149" t="s">
        <v>72</v>
      </c>
      <c r="E37" s="150">
        <v>95051</v>
      </c>
      <c r="F37" s="151">
        <f t="shared" si="0"/>
        <v>-89347</v>
      </c>
      <c r="G37" s="158">
        <f t="shared" si="1"/>
        <v>-22509.918459651704</v>
      </c>
    </row>
    <row r="38" spans="1:7" x14ac:dyDescent="0.25">
      <c r="A38" s="70" t="s">
        <v>73</v>
      </c>
      <c r="B38" s="73">
        <v>51304</v>
      </c>
      <c r="D38" s="149" t="s">
        <v>73</v>
      </c>
      <c r="E38" s="150">
        <v>360921</v>
      </c>
      <c r="F38" s="151">
        <f t="shared" si="0"/>
        <v>-309617</v>
      </c>
      <c r="G38" s="158">
        <f t="shared" si="1"/>
        <v>-78004.336169339556</v>
      </c>
    </row>
    <row r="39" spans="1:7" x14ac:dyDescent="0.25">
      <c r="A39" s="70" t="s">
        <v>216</v>
      </c>
      <c r="B39" s="73">
        <v>9409</v>
      </c>
      <c r="D39" s="149" t="s">
        <v>216</v>
      </c>
      <c r="E39" s="150">
        <v>7880</v>
      </c>
      <c r="F39" s="151">
        <f t="shared" si="0"/>
        <v>1529</v>
      </c>
      <c r="G39" s="158">
        <f t="shared" si="1"/>
        <v>668.173</v>
      </c>
    </row>
    <row r="40" spans="1:7" x14ac:dyDescent="0.25">
      <c r="A40" s="70" t="s">
        <v>74</v>
      </c>
      <c r="B40" s="73">
        <v>7033</v>
      </c>
      <c r="D40" s="149" t="s">
        <v>74</v>
      </c>
      <c r="E40" s="150">
        <v>11730</v>
      </c>
      <c r="F40" s="151">
        <f t="shared" si="0"/>
        <v>-4697</v>
      </c>
      <c r="G40" s="158">
        <f t="shared" si="1"/>
        <v>-1183.3535205992821</v>
      </c>
    </row>
    <row r="41" spans="1:7" x14ac:dyDescent="0.25">
      <c r="A41" s="149" t="s">
        <v>75</v>
      </c>
      <c r="B41" s="73">
        <v>0</v>
      </c>
      <c r="D41" s="149" t="s">
        <v>75</v>
      </c>
      <c r="E41" s="150">
        <v>70154</v>
      </c>
      <c r="F41" s="151">
        <f t="shared" si="0"/>
        <v>-70154</v>
      </c>
      <c r="G41" s="158">
        <f t="shared" si="1"/>
        <v>-17674.469423913568</v>
      </c>
    </row>
    <row r="42" spans="1:7" x14ac:dyDescent="0.25">
      <c r="A42" s="70" t="s">
        <v>76</v>
      </c>
      <c r="B42" s="73">
        <v>26545</v>
      </c>
      <c r="D42" s="149" t="s">
        <v>76</v>
      </c>
      <c r="E42" s="150">
        <v>20111</v>
      </c>
      <c r="F42" s="151">
        <f t="shared" si="0"/>
        <v>6434</v>
      </c>
      <c r="G42" s="158">
        <f t="shared" si="1"/>
        <v>2811.6579999999999</v>
      </c>
    </row>
    <row r="43" spans="1:7" x14ac:dyDescent="0.25">
      <c r="A43" s="70" t="s">
        <v>77</v>
      </c>
      <c r="B43" s="73">
        <v>45139</v>
      </c>
      <c r="D43" s="149" t="s">
        <v>77</v>
      </c>
      <c r="E43" s="150">
        <v>224464</v>
      </c>
      <c r="F43" s="151">
        <f t="shared" si="0"/>
        <v>-179325</v>
      </c>
      <c r="G43" s="158">
        <f t="shared" si="1"/>
        <v>-45178.809895990256</v>
      </c>
    </row>
    <row r="44" spans="1:7" x14ac:dyDescent="0.25">
      <c r="A44" s="70" t="s">
        <v>78</v>
      </c>
      <c r="B44" s="73">
        <v>19953</v>
      </c>
      <c r="D44" s="149" t="s">
        <v>78</v>
      </c>
      <c r="E44" s="150">
        <v>49450</v>
      </c>
      <c r="F44" s="151">
        <f t="shared" si="0"/>
        <v>-29497</v>
      </c>
      <c r="G44" s="158">
        <f t="shared" si="1"/>
        <v>-7431.4197992584677</v>
      </c>
    </row>
    <row r="45" spans="1:7" x14ac:dyDescent="0.25">
      <c r="A45" s="149" t="s">
        <v>217</v>
      </c>
      <c r="B45" s="73">
        <v>0</v>
      </c>
      <c r="D45" s="149" t="s">
        <v>217</v>
      </c>
      <c r="E45" s="150">
        <v>208</v>
      </c>
      <c r="F45" s="151">
        <f t="shared" si="0"/>
        <v>-208</v>
      </c>
      <c r="G45" s="158">
        <f t="shared" si="1"/>
        <v>-52.403136530689942</v>
      </c>
    </row>
    <row r="46" spans="1:7" x14ac:dyDescent="0.25">
      <c r="A46" s="149" t="s">
        <v>219</v>
      </c>
      <c r="B46" s="73">
        <v>0</v>
      </c>
      <c r="D46" s="149" t="s">
        <v>219</v>
      </c>
      <c r="E46" s="150">
        <v>3400</v>
      </c>
      <c r="F46" s="151">
        <f t="shared" si="0"/>
        <v>-3400</v>
      </c>
      <c r="G46" s="158">
        <f t="shared" si="1"/>
        <v>-856.5897317516625</v>
      </c>
    </row>
    <row r="47" spans="1:7" x14ac:dyDescent="0.25">
      <c r="A47" s="70" t="s">
        <v>80</v>
      </c>
      <c r="B47" s="73">
        <v>17712</v>
      </c>
      <c r="D47" s="149" t="s">
        <v>80</v>
      </c>
      <c r="E47" s="150">
        <v>10897</v>
      </c>
      <c r="F47" s="151">
        <f t="shared" si="0"/>
        <v>6815</v>
      </c>
      <c r="G47" s="158">
        <f t="shared" si="1"/>
        <v>2978.1550000000002</v>
      </c>
    </row>
    <row r="48" spans="1:7" x14ac:dyDescent="0.25">
      <c r="A48" s="70" t="s">
        <v>81</v>
      </c>
      <c r="B48" s="73">
        <v>145136</v>
      </c>
      <c r="D48" s="149" t="s">
        <v>81</v>
      </c>
      <c r="E48" s="150">
        <v>427743</v>
      </c>
      <c r="F48" s="151">
        <f t="shared" si="0"/>
        <v>-282607</v>
      </c>
      <c r="G48" s="158">
        <f t="shared" si="1"/>
        <v>-71199.486565041792</v>
      </c>
    </row>
    <row r="49" spans="1:8" x14ac:dyDescent="0.25">
      <c r="A49" s="70" t="s">
        <v>82</v>
      </c>
      <c r="B49" s="73">
        <v>200</v>
      </c>
      <c r="D49" s="149" t="s">
        <v>82</v>
      </c>
      <c r="E49" s="150">
        <v>39443</v>
      </c>
      <c r="F49" s="151">
        <f t="shared" si="0"/>
        <v>-39243</v>
      </c>
      <c r="G49" s="158">
        <f t="shared" si="1"/>
        <v>-9886.8090715089675</v>
      </c>
    </row>
    <row r="50" spans="1:8" x14ac:dyDescent="0.25">
      <c r="A50" s="70" t="s">
        <v>83</v>
      </c>
      <c r="B50" s="73">
        <v>1400</v>
      </c>
      <c r="D50" s="149" t="s">
        <v>83</v>
      </c>
      <c r="E50" s="150">
        <v>599896</v>
      </c>
      <c r="F50" s="151">
        <f t="shared" si="0"/>
        <v>-598496</v>
      </c>
      <c r="G50" s="158">
        <f t="shared" si="1"/>
        <v>-150783.97885130678</v>
      </c>
    </row>
    <row r="51" spans="1:8" x14ac:dyDescent="0.25">
      <c r="A51" s="149" t="s">
        <v>220</v>
      </c>
      <c r="B51" s="73">
        <v>0</v>
      </c>
      <c r="D51" s="149" t="s">
        <v>220</v>
      </c>
      <c r="E51" s="150">
        <v>600</v>
      </c>
      <c r="F51" s="151">
        <f t="shared" si="0"/>
        <v>-600</v>
      </c>
      <c r="G51" s="158">
        <f t="shared" si="1"/>
        <v>-151.16289383852867</v>
      </c>
    </row>
    <row r="52" spans="1:8" x14ac:dyDescent="0.25">
      <c r="A52" s="70" t="s">
        <v>84</v>
      </c>
      <c r="B52" s="73">
        <v>8765</v>
      </c>
      <c r="D52" s="149" t="s">
        <v>84</v>
      </c>
      <c r="E52" s="150">
        <v>10572</v>
      </c>
      <c r="F52" s="151">
        <f t="shared" si="0"/>
        <v>-1807</v>
      </c>
      <c r="G52" s="158">
        <f t="shared" si="1"/>
        <v>-455.25224861036889</v>
      </c>
    </row>
    <row r="53" spans="1:8" x14ac:dyDescent="0.25">
      <c r="A53" s="70" t="s">
        <v>218</v>
      </c>
      <c r="B53" s="73">
        <v>136888</v>
      </c>
      <c r="D53" s="70" t="s">
        <v>218</v>
      </c>
      <c r="E53" s="150">
        <v>0</v>
      </c>
      <c r="F53" s="151">
        <f t="shared" si="0"/>
        <v>136888</v>
      </c>
      <c r="G53" s="158">
        <f t="shared" si="1"/>
        <v>59820.055999999997</v>
      </c>
    </row>
    <row r="54" spans="1:8" x14ac:dyDescent="0.25">
      <c r="A54" s="70" t="s">
        <v>85</v>
      </c>
      <c r="B54" s="73">
        <v>52241</v>
      </c>
      <c r="D54" s="149" t="s">
        <v>85</v>
      </c>
      <c r="E54" s="150">
        <v>19075</v>
      </c>
      <c r="F54" s="151">
        <f t="shared" si="0"/>
        <v>33166</v>
      </c>
      <c r="G54" s="158">
        <f t="shared" si="1"/>
        <v>14493.541999999999</v>
      </c>
    </row>
    <row r="55" spans="1:8" x14ac:dyDescent="0.25">
      <c r="A55" s="70" t="s">
        <v>86</v>
      </c>
      <c r="B55" s="73">
        <v>1348367</v>
      </c>
      <c r="D55" s="149" t="s">
        <v>86</v>
      </c>
      <c r="E55" s="150">
        <v>65899</v>
      </c>
      <c r="F55" s="151">
        <f t="shared" si="0"/>
        <v>1282468</v>
      </c>
      <c r="G55" s="158">
        <f t="shared" si="1"/>
        <v>560438.51599999995</v>
      </c>
    </row>
    <row r="56" spans="1:8" x14ac:dyDescent="0.25">
      <c r="A56" s="70" t="s">
        <v>87</v>
      </c>
      <c r="B56" s="73">
        <v>29467</v>
      </c>
      <c r="D56" s="149" t="s">
        <v>87</v>
      </c>
      <c r="E56" s="150">
        <v>79</v>
      </c>
      <c r="F56" s="151">
        <f t="shared" si="0"/>
        <v>29388</v>
      </c>
      <c r="G56" s="158">
        <f t="shared" si="1"/>
        <v>12842.556</v>
      </c>
    </row>
    <row r="57" spans="1:8" x14ac:dyDescent="0.25">
      <c r="A57" s="70" t="s">
        <v>88</v>
      </c>
      <c r="B57" s="73">
        <v>42256</v>
      </c>
      <c r="D57" s="149" t="s">
        <v>88</v>
      </c>
      <c r="E57" s="150">
        <v>143449</v>
      </c>
      <c r="F57" s="151">
        <f t="shared" si="0"/>
        <v>-101193</v>
      </c>
      <c r="G57" s="158">
        <f t="shared" si="1"/>
        <v>-25494.377860337056</v>
      </c>
    </row>
    <row r="58" spans="1:8" x14ac:dyDescent="0.25">
      <c r="A58" s="149" t="s">
        <v>221</v>
      </c>
      <c r="B58" s="175">
        <v>0</v>
      </c>
      <c r="D58" s="149" t="s">
        <v>221</v>
      </c>
      <c r="E58" s="150">
        <v>8600</v>
      </c>
      <c r="F58" s="151">
        <f t="shared" si="0"/>
        <v>-8600</v>
      </c>
      <c r="G58" s="158">
        <f t="shared" si="1"/>
        <v>-2166.6681450189112</v>
      </c>
    </row>
    <row r="59" spans="1:8" x14ac:dyDescent="0.25">
      <c r="D59" s="149"/>
      <c r="E59" s="150"/>
    </row>
    <row r="60" spans="1:8" x14ac:dyDescent="0.25">
      <c r="B60" s="151"/>
      <c r="D60" s="149"/>
      <c r="E60" s="150"/>
      <c r="F60" s="151">
        <f>SUM(F5:F58)</f>
        <v>-966100</v>
      </c>
      <c r="G60" s="158">
        <f>SUM(G5:G58)/2000</f>
        <v>50.304228160809664</v>
      </c>
      <c r="H60" s="151"/>
    </row>
    <row r="61" spans="1:8" x14ac:dyDescent="0.25">
      <c r="A61" t="s">
        <v>228</v>
      </c>
    </row>
    <row r="62" spans="1:8" x14ac:dyDescent="0.25">
      <c r="A62" t="s">
        <v>227</v>
      </c>
    </row>
    <row r="63" spans="1:8" x14ac:dyDescent="0.25">
      <c r="H63" s="157"/>
    </row>
    <row r="84" spans="6:6" x14ac:dyDescent="0.25">
      <c r="F84" s="151"/>
    </row>
    <row r="94" spans="6:6" x14ac:dyDescent="0.25">
      <c r="F94" s="151"/>
    </row>
  </sheetData>
  <mergeCells count="2">
    <mergeCell ref="B3:D3"/>
    <mergeCell ref="B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CA645F23003C46B84054C42F9D5FA9" ma:contentTypeVersion="44" ma:contentTypeDescription="" ma:contentTypeScope="" ma:versionID="0e1795185b2d8597e0fa603190e8bd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2021-06-07T07:00:00+00:00</OpenedDate>
    <Date1 xmlns="dc463f71-b30c-4ab2-9473-d307f9d35888">2021-06-07T07:00:00+00:00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210422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59ED07-94BD-4CF9-BA44-5F8E33333A91}"/>
</file>

<file path=customXml/itemProps2.xml><?xml version="1.0" encoding="utf-8"?>
<ds:datastoreItem xmlns:ds="http://schemas.openxmlformats.org/officeDocument/2006/customXml" ds:itemID="{57BE1F28-303A-4833-8A05-0A33588D1988}">
  <ds:schemaRefs>
    <ds:schemaRef ds:uri="http://purl.org/dc/elements/1.1/"/>
    <ds:schemaRef ds:uri="dc463f71-b30c-4ab2-9473-d307f9d35888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70923F-E817-4DDD-8127-0F7DCDC87975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dcterms:created xsi:type="dcterms:W3CDTF">2016-02-08T23:38:12Z</dcterms:created>
  <dcterms:modified xsi:type="dcterms:W3CDTF">2021-05-28T16:03:57Z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0x0101006E56B4D1795A2E4DB2F0B01679ED314A004ECA645F23003C46B84054C42F9D5FA9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